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drawings/drawing5.xml" ContentType="application/vnd.openxmlformats-officedocument.drawing+xml"/>
  <Override PartName="/xl/ctrlProps/ctrlProp4.xml" ContentType="application/vnd.ms-excel.controlproperties+xml"/>
  <Override PartName="/xl/drawings/drawing6.xml" ContentType="application/vnd.openxmlformats-officedocument.drawing+xml"/>
  <Override PartName="/xl/ctrlProps/ctrlProp5.xml" ContentType="application/vnd.ms-excel.controlproperties+xml"/>
  <Override PartName="/xl/drawings/drawing7.xml" ContentType="application/vnd.openxmlformats-officedocument.drawing+xml"/>
  <Override PartName="/xl/ctrlProps/ctrlProp6.xml" ContentType="application/vnd.ms-excel.controlproperties+xml"/>
  <Override PartName="/xl/drawings/drawing8.xml" ContentType="application/vnd.openxmlformats-officedocument.drawing+xml"/>
  <Override PartName="/xl/ctrlProps/ctrlProp7.xml" ContentType="application/vnd.ms-excel.controlproperties+xml"/>
  <Override PartName="/xl/drawings/drawing9.xml" ContentType="application/vnd.openxmlformats-officedocument.drawing+xml"/>
  <Override PartName="/xl/ctrlProps/ctrlProp8.xml" ContentType="application/vnd.ms-excel.controlproperties+xml"/>
  <Override PartName="/xl/drawings/drawing10.xml" ContentType="application/vnd.openxmlformats-officedocument.drawing+xml"/>
  <Override PartName="/xl/ctrlProps/ctrlProp9.xml" ContentType="application/vnd.ms-excel.controlproperties+xml"/>
  <Override PartName="/xl/drawings/drawing11.xml" ContentType="application/vnd.openxmlformats-officedocument.drawing+xml"/>
  <Override PartName="/xl/ctrlProps/ctrlProp10.xml" ContentType="application/vnd.ms-excel.controlproperties+xml"/>
  <Override PartName="/xl/drawings/drawing12.xml" ContentType="application/vnd.openxmlformats-officedocument.drawing+xml"/>
  <Override PartName="/xl/ctrlProps/ctrlProp11.xml" ContentType="application/vnd.ms-excel.controlproperties+xml"/>
  <Override PartName="/xl/drawings/drawing13.xml" ContentType="application/vnd.openxmlformats-officedocument.drawing+xml"/>
  <Override PartName="/xl/ctrlProps/ctrlProp12.xml" ContentType="application/vnd.ms-excel.controlproperties+xml"/>
  <Override PartName="/xl/drawings/drawing14.xml" ContentType="application/vnd.openxmlformats-officedocument.drawing+xml"/>
  <Override PartName="/xl/ctrlProps/ctrlProp13.xml" ContentType="application/vnd.ms-excel.controlproperties+xml"/>
  <Override PartName="/xl/drawings/drawing15.xml" ContentType="application/vnd.openxmlformats-officedocument.drawing+xml"/>
  <Override PartName="/xl/ctrlProps/ctrlProp14.xml" ContentType="application/vnd.ms-excel.controlproperties+xml"/>
  <Override PartName="/xl/drawings/drawing16.xml" ContentType="application/vnd.openxmlformats-officedocument.drawing+xml"/>
  <Override PartName="/xl/ctrlProps/ctrlProp15.xml" ContentType="application/vnd.ms-excel.controlproperties+xml"/>
  <Override PartName="/xl/drawings/drawing17.xml" ContentType="application/vnd.openxmlformats-officedocument.drawing+xml"/>
  <Override PartName="/xl/ctrlProps/ctrlProp1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R:\Risk Management\Transportation Charging\Transportation charges\2026_27\Final\GD3 PCFM\"/>
    </mc:Choice>
  </mc:AlternateContent>
  <xr:revisionPtr revIDLastSave="0" documentId="13_ncr:1_{28471535-8287-49DD-B4FF-65E3716F2ECE}" xr6:coauthVersionLast="47" xr6:coauthVersionMax="47" xr10:uidLastSave="{00000000-0000-0000-0000-000000000000}"/>
  <bookViews>
    <workbookView xWindow="-46190" yWindow="-2910" windowWidth="23260" windowHeight="12580" tabRatio="884" firstSheet="1" activeTab="17" xr2:uid="{85717CA1-C423-41A0-BDA3-62F5118BFBAD}"/>
  </bookViews>
  <sheets>
    <sheet name="Cover" sheetId="24" r:id="rId1"/>
    <sheet name="UserInterface" sheetId="42" r:id="rId2"/>
    <sheet name="Checks" sheetId="40" r:id="rId3"/>
    <sheet name="Post-FD ChangeLog" sheetId="43" r:id="rId4"/>
    <sheet name="LicenseeSelect" sheetId="14" r:id="rId5"/>
    <sheet name="VariantAllowances" sheetId="27" r:id="rId6"/>
    <sheet name="Transform" sheetId="15" r:id="rId7"/>
    <sheet name="Totex" sheetId="2" r:id="rId8"/>
    <sheet name="TIM" sheetId="4" r:id="rId9"/>
    <sheet name="Depreciation" sheetId="25" r:id="rId10"/>
    <sheet name="FuelPoor" sheetId="22" r:id="rId11"/>
    <sheet name="Return&amp;RAV" sheetId="8" r:id="rId12"/>
    <sheet name="TaxPools" sheetId="9" r:id="rId13"/>
    <sheet name="Finance" sheetId="13" r:id="rId14"/>
    <sheet name="Tax" sheetId="11" r:id="rId15"/>
    <sheet name="ReturnAdj" sheetId="39" r:id="rId16"/>
    <sheet name="Revenue" sheetId="12" r:id="rId17"/>
    <sheet name="AllowedRevenue" sheetId="26" r:id="rId18"/>
    <sheet name="Inflation" sheetId="20" r:id="rId19"/>
    <sheet name="Scotland" sheetId="35" r:id="rId20"/>
    <sheet name="Southern" sheetId="36" r:id="rId21"/>
  </sheets>
  <definedNames>
    <definedName name="________hom1" localSheetId="17" hidden="1">{#N/A,#N/A,FALSE,"Assessment";#N/A,#N/A,FALSE,"Staffing";#N/A,#N/A,FALSE,"Hires";#N/A,#N/A,FALSE,"Assumptions"}</definedName>
    <definedName name="________hom1" localSheetId="2" hidden="1">{#N/A,#N/A,FALSE,"Assessment";#N/A,#N/A,FALSE,"Staffing";#N/A,#N/A,FALSE,"Hires";#N/A,#N/A,FALSE,"Assumptions"}</definedName>
    <definedName name="________hom1" localSheetId="15" hidden="1">{#N/A,#N/A,FALSE,"Assessment";#N/A,#N/A,FALSE,"Staffing";#N/A,#N/A,FALSE,"Hires";#N/A,#N/A,FALSE,"Assumptions"}</definedName>
    <definedName name="________hom1" hidden="1">{#N/A,#N/A,FALSE,"Assessment";#N/A,#N/A,FALSE,"Staffing";#N/A,#N/A,FALSE,"Hires";#N/A,#N/A,FALSE,"Assumptions"}</definedName>
    <definedName name="________k1" localSheetId="17" hidden="1">{#N/A,#N/A,FALSE,"Assessment";#N/A,#N/A,FALSE,"Staffing";#N/A,#N/A,FALSE,"Hires";#N/A,#N/A,FALSE,"Assumptions"}</definedName>
    <definedName name="________k1" localSheetId="2" hidden="1">{#N/A,#N/A,FALSE,"Assessment";#N/A,#N/A,FALSE,"Staffing";#N/A,#N/A,FALSE,"Hires";#N/A,#N/A,FALSE,"Assumptions"}</definedName>
    <definedName name="________k1" localSheetId="15" hidden="1">{#N/A,#N/A,FALSE,"Assessment";#N/A,#N/A,FALSE,"Staffing";#N/A,#N/A,FALSE,"Hires";#N/A,#N/A,FALSE,"Assumptions"}</definedName>
    <definedName name="________k1" hidden="1">{#N/A,#N/A,FALSE,"Assessment";#N/A,#N/A,FALSE,"Staffing";#N/A,#N/A,FALSE,"Hires";#N/A,#N/A,FALSE,"Assumptions"}</definedName>
    <definedName name="________kk1" localSheetId="17" hidden="1">{#N/A,#N/A,FALSE,"Assessment";#N/A,#N/A,FALSE,"Staffing";#N/A,#N/A,FALSE,"Hires";#N/A,#N/A,FALSE,"Assumptions"}</definedName>
    <definedName name="________kk1" localSheetId="2" hidden="1">{#N/A,#N/A,FALSE,"Assessment";#N/A,#N/A,FALSE,"Staffing";#N/A,#N/A,FALSE,"Hires";#N/A,#N/A,FALSE,"Assumptions"}</definedName>
    <definedName name="________kk1" localSheetId="15" hidden="1">{#N/A,#N/A,FALSE,"Assessment";#N/A,#N/A,FALSE,"Staffing";#N/A,#N/A,FALSE,"Hires";#N/A,#N/A,FALSE,"Assumptions"}</definedName>
    <definedName name="________kk1" hidden="1">{#N/A,#N/A,FALSE,"Assessment";#N/A,#N/A,FALSE,"Staffing";#N/A,#N/A,FALSE,"Hires";#N/A,#N/A,FALSE,"Assumptions"}</definedName>
    <definedName name="________KKK1" localSheetId="17" hidden="1">{#N/A,#N/A,FALSE,"Assessment";#N/A,#N/A,FALSE,"Staffing";#N/A,#N/A,FALSE,"Hires";#N/A,#N/A,FALSE,"Assumptions"}</definedName>
    <definedName name="________KKK1" localSheetId="2" hidden="1">{#N/A,#N/A,FALSE,"Assessment";#N/A,#N/A,FALSE,"Staffing";#N/A,#N/A,FALSE,"Hires";#N/A,#N/A,FALSE,"Assumptions"}</definedName>
    <definedName name="________KKK1" localSheetId="15" hidden="1">{#N/A,#N/A,FALSE,"Assessment";#N/A,#N/A,FALSE,"Staffing";#N/A,#N/A,FALSE,"Hires";#N/A,#N/A,FALSE,"Assumptions"}</definedName>
    <definedName name="________KKK1" hidden="1">{#N/A,#N/A,FALSE,"Assessment";#N/A,#N/A,FALSE,"Staffing";#N/A,#N/A,FALSE,"Hires";#N/A,#N/A,FALSE,"Assumptions"}</definedName>
    <definedName name="________w2" localSheetId="17" hidden="1">{"Model Summary",#N/A,FALSE,"Print Chart";"Holdco",#N/A,FALSE,"Print Chart";"Genco",#N/A,FALSE,"Print Chart";"Servco",#N/A,FALSE,"Print Chart";"Genco_Detail",#N/A,FALSE,"Summary Financials";"Servco_Detail",#N/A,FALSE,"Summary Financials"}</definedName>
    <definedName name="________w2" localSheetId="2" hidden="1">{"Model Summary",#N/A,FALSE,"Print Chart";"Holdco",#N/A,FALSE,"Print Chart";"Genco",#N/A,FALSE,"Print Chart";"Servco",#N/A,FALSE,"Print Chart";"Genco_Detail",#N/A,FALSE,"Summary Financials";"Servco_Detail",#N/A,FALSE,"Summary Financials"}</definedName>
    <definedName name="________w2" localSheetId="15"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7" hidden="1">{"Model Summary",#N/A,FALSE,"Print Chart";"Holdco",#N/A,FALSE,"Print Chart";"Genco",#N/A,FALSE,"Print Chart";"Servco",#N/A,FALSE,"Print Chart";"Genco_Detail",#N/A,FALSE,"Summary Financials";"Servco_Detail",#N/A,FALSE,"Summary Financials"}</definedName>
    <definedName name="________wr6" localSheetId="2" hidden="1">{"Model Summary",#N/A,FALSE,"Print Chart";"Holdco",#N/A,FALSE,"Print Chart";"Genco",#N/A,FALSE,"Print Chart";"Servco",#N/A,FALSE,"Print Chart";"Genco_Detail",#N/A,FALSE,"Summary Financials";"Servco_Detail",#N/A,FALSE,"Summary Financials"}</definedName>
    <definedName name="________wr6" localSheetId="15"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7" hidden="1">{"holdco",#N/A,FALSE,"Summary Financials";"holdco",#N/A,FALSE,"Summary Financials"}</definedName>
    <definedName name="________wr9" localSheetId="2" hidden="1">{"holdco",#N/A,FALSE,"Summary Financials";"holdco",#N/A,FALSE,"Summary Financials"}</definedName>
    <definedName name="________wr9" localSheetId="15" hidden="1">{"holdco",#N/A,FALSE,"Summary Financials";"holdco",#N/A,FALSE,"Summary Financials"}</definedName>
    <definedName name="________wr9" hidden="1">{"holdco",#N/A,FALSE,"Summary Financials";"holdco",#N/A,FALSE,"Summary Financials"}</definedName>
    <definedName name="________wrn1" localSheetId="17" hidden="1">{"holdco",#N/A,FALSE,"Summary Financials";"holdco",#N/A,FALSE,"Summary Financials"}</definedName>
    <definedName name="________wrn1" localSheetId="2" hidden="1">{"holdco",#N/A,FALSE,"Summary Financials";"holdco",#N/A,FALSE,"Summary Financials"}</definedName>
    <definedName name="________wrn1" localSheetId="15" hidden="1">{"holdco",#N/A,FALSE,"Summary Financials";"holdco",#N/A,FALSE,"Summary Financials"}</definedName>
    <definedName name="________wrn1" hidden="1">{"holdco",#N/A,FALSE,"Summary Financials";"holdco",#N/A,FALSE,"Summary Financials"}</definedName>
    <definedName name="________wrn2" localSheetId="17" hidden="1">{"holdco",#N/A,FALSE,"Summary Financials";"holdco",#N/A,FALSE,"Summary Financials"}</definedName>
    <definedName name="________wrn2" localSheetId="2" hidden="1">{"holdco",#N/A,FALSE,"Summary Financials";"holdco",#N/A,FALSE,"Summary Financials"}</definedName>
    <definedName name="________wrn2" localSheetId="15" hidden="1">{"holdco",#N/A,FALSE,"Summary Financials";"holdco",#N/A,FALSE,"Summary Financials"}</definedName>
    <definedName name="________wrn2" hidden="1">{"holdco",#N/A,FALSE,"Summary Financials";"holdco",#N/A,FALSE,"Summary Financials"}</definedName>
    <definedName name="________wrn3" localSheetId="17" hidden="1">{"holdco",#N/A,FALSE,"Summary Financials";"holdco",#N/A,FALSE,"Summary Financials"}</definedName>
    <definedName name="________wrn3" localSheetId="2" hidden="1">{"holdco",#N/A,FALSE,"Summary Financials";"holdco",#N/A,FALSE,"Summary Financials"}</definedName>
    <definedName name="________wrn3" localSheetId="15" hidden="1">{"holdco",#N/A,FALSE,"Summary Financials";"holdco",#N/A,FALSE,"Summary Financials"}</definedName>
    <definedName name="________wrn3" hidden="1">{"holdco",#N/A,FALSE,"Summary Financials";"holdco",#N/A,FALSE,"Summary Financials"}</definedName>
    <definedName name="________wrn7" localSheetId="17" hidden="1">{"Model Summary",#N/A,FALSE,"Print Chart";"Holdco",#N/A,FALSE,"Print Chart";"Genco",#N/A,FALSE,"Print Chart";"Servco",#N/A,FALSE,"Print Chart";"Genco_Detail",#N/A,FALSE,"Summary Financials";"Servco_Detail",#N/A,FALSE,"Summary Financials"}</definedName>
    <definedName name="________wrn7" localSheetId="2" hidden="1">{"Model Summary",#N/A,FALSE,"Print Chart";"Holdco",#N/A,FALSE,"Print Chart";"Genco",#N/A,FALSE,"Print Chart";"Servco",#N/A,FALSE,"Print Chart";"Genco_Detail",#N/A,FALSE,"Summary Financials";"Servco_Detail",#N/A,FALSE,"Summary Financials"}</definedName>
    <definedName name="________wrn7" localSheetId="15"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7" hidden="1">{"holdco",#N/A,FALSE,"Summary Financials";"holdco",#N/A,FALSE,"Summary Financials"}</definedName>
    <definedName name="________wrn8" localSheetId="2" hidden="1">{"holdco",#N/A,FALSE,"Summary Financials";"holdco",#N/A,FALSE,"Summary Financials"}</definedName>
    <definedName name="________wrn8" localSheetId="15" hidden="1">{"holdco",#N/A,FALSE,"Summary Financials";"holdco",#N/A,FALSE,"Summary Financials"}</definedName>
    <definedName name="________wrn8" hidden="1">{"holdco",#N/A,FALSE,"Summary Financials";"holdco",#N/A,FALSE,"Summary Financials"}</definedName>
    <definedName name="_______bb2" localSheetId="17" hidden="1">{#N/A,#N/A,FALSE,"PRJCTED MNTHLY QTY's"}</definedName>
    <definedName name="_______bb2" localSheetId="2" hidden="1">{#N/A,#N/A,FALSE,"PRJCTED MNTHLY QTY's"}</definedName>
    <definedName name="_______bb2" localSheetId="15" hidden="1">{#N/A,#N/A,FALSE,"PRJCTED MNTHLY QTY's"}</definedName>
    <definedName name="_______bb2" hidden="1">{#N/A,#N/A,FALSE,"PRJCTED MNTHLY QTY's"}</definedName>
    <definedName name="_______Lee5" localSheetId="17" hidden="1">{#VALUE!,#N/A,FALSE,0}</definedName>
    <definedName name="_______Lee5" localSheetId="2" hidden="1">{#VALUE!,#N/A,FALSE,0}</definedName>
    <definedName name="_______Lee5" localSheetId="15" hidden="1">{#VALUE!,#N/A,FALSE,0}</definedName>
    <definedName name="_______Lee5" hidden="1">{#VALUE!,#N/A,FALSE,0}</definedName>
    <definedName name="______hom1" localSheetId="17" hidden="1">{#N/A,#N/A,FALSE,"Assessment";#N/A,#N/A,FALSE,"Staffing";#N/A,#N/A,FALSE,"Hires";#N/A,#N/A,FALSE,"Assumptions"}</definedName>
    <definedName name="______hom1" localSheetId="2" hidden="1">{#N/A,#N/A,FALSE,"Assessment";#N/A,#N/A,FALSE,"Staffing";#N/A,#N/A,FALSE,"Hires";#N/A,#N/A,FALSE,"Assumptions"}</definedName>
    <definedName name="______hom1" localSheetId="15" hidden="1">{#N/A,#N/A,FALSE,"Assessment";#N/A,#N/A,FALSE,"Staffing";#N/A,#N/A,FALSE,"Hires";#N/A,#N/A,FALSE,"Assumptions"}</definedName>
    <definedName name="______hom1" hidden="1">{#N/A,#N/A,FALSE,"Assessment";#N/A,#N/A,FALSE,"Staffing";#N/A,#N/A,FALSE,"Hires";#N/A,#N/A,FALSE,"Assumptions"}</definedName>
    <definedName name="______k1" localSheetId="17" hidden="1">{#N/A,#N/A,FALSE,"Assessment";#N/A,#N/A,FALSE,"Staffing";#N/A,#N/A,FALSE,"Hires";#N/A,#N/A,FALSE,"Assumptions"}</definedName>
    <definedName name="______k1" localSheetId="2" hidden="1">{#N/A,#N/A,FALSE,"Assessment";#N/A,#N/A,FALSE,"Staffing";#N/A,#N/A,FALSE,"Hires";#N/A,#N/A,FALSE,"Assumptions"}</definedName>
    <definedName name="______k1" localSheetId="15" hidden="1">{#N/A,#N/A,FALSE,"Assessment";#N/A,#N/A,FALSE,"Staffing";#N/A,#N/A,FALSE,"Hires";#N/A,#N/A,FALSE,"Assumptions"}</definedName>
    <definedName name="______k1" hidden="1">{#N/A,#N/A,FALSE,"Assessment";#N/A,#N/A,FALSE,"Staffing";#N/A,#N/A,FALSE,"Hires";#N/A,#N/A,FALSE,"Assumptions"}</definedName>
    <definedName name="______kk1" localSheetId="17" hidden="1">{#N/A,#N/A,FALSE,"Assessment";#N/A,#N/A,FALSE,"Staffing";#N/A,#N/A,FALSE,"Hires";#N/A,#N/A,FALSE,"Assumptions"}</definedName>
    <definedName name="______kk1" localSheetId="2" hidden="1">{#N/A,#N/A,FALSE,"Assessment";#N/A,#N/A,FALSE,"Staffing";#N/A,#N/A,FALSE,"Hires";#N/A,#N/A,FALSE,"Assumptions"}</definedName>
    <definedName name="______kk1" localSheetId="15" hidden="1">{#N/A,#N/A,FALSE,"Assessment";#N/A,#N/A,FALSE,"Staffing";#N/A,#N/A,FALSE,"Hires";#N/A,#N/A,FALSE,"Assumptions"}</definedName>
    <definedName name="______kk1" hidden="1">{#N/A,#N/A,FALSE,"Assessment";#N/A,#N/A,FALSE,"Staffing";#N/A,#N/A,FALSE,"Hires";#N/A,#N/A,FALSE,"Assumptions"}</definedName>
    <definedName name="______KKK1" localSheetId="17" hidden="1">{#N/A,#N/A,FALSE,"Assessment";#N/A,#N/A,FALSE,"Staffing";#N/A,#N/A,FALSE,"Hires";#N/A,#N/A,FALSE,"Assumptions"}</definedName>
    <definedName name="______KKK1" localSheetId="2" hidden="1">{#N/A,#N/A,FALSE,"Assessment";#N/A,#N/A,FALSE,"Staffing";#N/A,#N/A,FALSE,"Hires";#N/A,#N/A,FALSE,"Assumptions"}</definedName>
    <definedName name="______KKK1" localSheetId="15" hidden="1">{#N/A,#N/A,FALSE,"Assessment";#N/A,#N/A,FALSE,"Staffing";#N/A,#N/A,FALSE,"Hires";#N/A,#N/A,FALSE,"Assumptions"}</definedName>
    <definedName name="______KKK1" hidden="1">{#N/A,#N/A,FALSE,"Assessment";#N/A,#N/A,FALSE,"Staffing";#N/A,#N/A,FALSE,"Hires";#N/A,#N/A,FALSE,"Assumptions"}</definedName>
    <definedName name="______w2" localSheetId="17" hidden="1">{"Model Summary",#N/A,FALSE,"Print Chart";"Holdco",#N/A,FALSE,"Print Chart";"Genco",#N/A,FALSE,"Print Chart";"Servco",#N/A,FALSE,"Print Chart";"Genco_Detail",#N/A,FALSE,"Summary Financials";"Servco_Detail",#N/A,FALSE,"Summary Financials"}</definedName>
    <definedName name="______w2" localSheetId="2" hidden="1">{"Model Summary",#N/A,FALSE,"Print Chart";"Holdco",#N/A,FALSE,"Print Chart";"Genco",#N/A,FALSE,"Print Chart";"Servco",#N/A,FALSE,"Print Chart";"Genco_Detail",#N/A,FALSE,"Summary Financials";"Servco_Detail",#N/A,FALSE,"Summary Financials"}</definedName>
    <definedName name="______w2" localSheetId="15"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7" hidden="1">{"Model Summary",#N/A,FALSE,"Print Chart";"Holdco",#N/A,FALSE,"Print Chart";"Genco",#N/A,FALSE,"Print Chart";"Servco",#N/A,FALSE,"Print Chart";"Genco_Detail",#N/A,FALSE,"Summary Financials";"Servco_Detail",#N/A,FALSE,"Summary Financials"}</definedName>
    <definedName name="______wr6" localSheetId="2" hidden="1">{"Model Summary",#N/A,FALSE,"Print Chart";"Holdco",#N/A,FALSE,"Print Chart";"Genco",#N/A,FALSE,"Print Chart";"Servco",#N/A,FALSE,"Print Chart";"Genco_Detail",#N/A,FALSE,"Summary Financials";"Servco_Detail",#N/A,FALSE,"Summary Financials"}</definedName>
    <definedName name="______wr6" localSheetId="15"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7" hidden="1">{"holdco",#N/A,FALSE,"Summary Financials";"holdco",#N/A,FALSE,"Summary Financials"}</definedName>
    <definedName name="______wr9" localSheetId="2" hidden="1">{"holdco",#N/A,FALSE,"Summary Financials";"holdco",#N/A,FALSE,"Summary Financials"}</definedName>
    <definedName name="______wr9" localSheetId="15" hidden="1">{"holdco",#N/A,FALSE,"Summary Financials";"holdco",#N/A,FALSE,"Summary Financials"}</definedName>
    <definedName name="______wr9" hidden="1">{"holdco",#N/A,FALSE,"Summary Financials";"holdco",#N/A,FALSE,"Summary Financials"}</definedName>
    <definedName name="______wrn1" localSheetId="17" hidden="1">{"holdco",#N/A,FALSE,"Summary Financials";"holdco",#N/A,FALSE,"Summary Financials"}</definedName>
    <definedName name="______wrn1" localSheetId="2" hidden="1">{"holdco",#N/A,FALSE,"Summary Financials";"holdco",#N/A,FALSE,"Summary Financials"}</definedName>
    <definedName name="______wrn1" localSheetId="15" hidden="1">{"holdco",#N/A,FALSE,"Summary Financials";"holdco",#N/A,FALSE,"Summary Financials"}</definedName>
    <definedName name="______wrn1" hidden="1">{"holdco",#N/A,FALSE,"Summary Financials";"holdco",#N/A,FALSE,"Summary Financials"}</definedName>
    <definedName name="______wrn2" localSheetId="17" hidden="1">{"holdco",#N/A,FALSE,"Summary Financials";"holdco",#N/A,FALSE,"Summary Financials"}</definedName>
    <definedName name="______wrn2" localSheetId="2" hidden="1">{"holdco",#N/A,FALSE,"Summary Financials";"holdco",#N/A,FALSE,"Summary Financials"}</definedName>
    <definedName name="______wrn2" localSheetId="15" hidden="1">{"holdco",#N/A,FALSE,"Summary Financials";"holdco",#N/A,FALSE,"Summary Financials"}</definedName>
    <definedName name="______wrn2" hidden="1">{"holdco",#N/A,FALSE,"Summary Financials";"holdco",#N/A,FALSE,"Summary Financials"}</definedName>
    <definedName name="______wrn3" localSheetId="17" hidden="1">{"holdco",#N/A,FALSE,"Summary Financials";"holdco",#N/A,FALSE,"Summary Financials"}</definedName>
    <definedName name="______wrn3" localSheetId="2" hidden="1">{"holdco",#N/A,FALSE,"Summary Financials";"holdco",#N/A,FALSE,"Summary Financials"}</definedName>
    <definedName name="______wrn3" localSheetId="15" hidden="1">{"holdco",#N/A,FALSE,"Summary Financials";"holdco",#N/A,FALSE,"Summary Financials"}</definedName>
    <definedName name="______wrn3" hidden="1">{"holdco",#N/A,FALSE,"Summary Financials";"holdco",#N/A,FALSE,"Summary Financials"}</definedName>
    <definedName name="______wrn7" localSheetId="17" hidden="1">{"Model Summary",#N/A,FALSE,"Print Chart";"Holdco",#N/A,FALSE,"Print Chart";"Genco",#N/A,FALSE,"Print Chart";"Servco",#N/A,FALSE,"Print Chart";"Genco_Detail",#N/A,FALSE,"Summary Financials";"Servco_Detail",#N/A,FALSE,"Summary Financials"}</definedName>
    <definedName name="______wrn7" localSheetId="2" hidden="1">{"Model Summary",#N/A,FALSE,"Print Chart";"Holdco",#N/A,FALSE,"Print Chart";"Genco",#N/A,FALSE,"Print Chart";"Servco",#N/A,FALSE,"Print Chart";"Genco_Detail",#N/A,FALSE,"Summary Financials";"Servco_Detail",#N/A,FALSE,"Summary Financials"}</definedName>
    <definedName name="______wrn7" localSheetId="15"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7" hidden="1">{"holdco",#N/A,FALSE,"Summary Financials";"holdco",#N/A,FALSE,"Summary Financials"}</definedName>
    <definedName name="______wrn8" localSheetId="2" hidden="1">{"holdco",#N/A,FALSE,"Summary Financials";"holdco",#N/A,FALSE,"Summary Financials"}</definedName>
    <definedName name="______wrn8" localSheetId="15" hidden="1">{"holdco",#N/A,FALSE,"Summary Financials";"holdco",#N/A,FALSE,"Summary Financials"}</definedName>
    <definedName name="______wrn8" hidden="1">{"holdco",#N/A,FALSE,"Summary Financials";"holdco",#N/A,FALSE,"Summary Financials"}</definedName>
    <definedName name="_____KKK1" localSheetId="17" hidden="1">{#N/A,#N/A,FALSE,"Assessment";#N/A,#N/A,FALSE,"Staffing";#N/A,#N/A,FALSE,"Hires";#N/A,#N/A,FALSE,"Assumptions"}</definedName>
    <definedName name="_____KKK1" localSheetId="2" hidden="1">{#N/A,#N/A,FALSE,"Assessment";#N/A,#N/A,FALSE,"Staffing";#N/A,#N/A,FALSE,"Hires";#N/A,#N/A,FALSE,"Assumptions"}</definedName>
    <definedName name="_____KKK1" localSheetId="15" hidden="1">{#N/A,#N/A,FALSE,"Assessment";#N/A,#N/A,FALSE,"Staffing";#N/A,#N/A,FALSE,"Hires";#N/A,#N/A,FALSE,"Assumptions"}</definedName>
    <definedName name="_____KKK1" hidden="1">{#N/A,#N/A,FALSE,"Assessment";#N/A,#N/A,FALSE,"Staffing";#N/A,#N/A,FALSE,"Hires";#N/A,#N/A,FALSE,"Assumptions"}</definedName>
    <definedName name="_____wrn1" localSheetId="17" hidden="1">{"holdco",#N/A,FALSE,"Summary Financials";"holdco",#N/A,FALSE,"Summary Financials"}</definedName>
    <definedName name="_____wrn1" localSheetId="2" hidden="1">{"holdco",#N/A,FALSE,"Summary Financials";"holdco",#N/A,FALSE,"Summary Financials"}</definedName>
    <definedName name="_____wrn1" localSheetId="15" hidden="1">{"holdco",#N/A,FALSE,"Summary Financials";"holdco",#N/A,FALSE,"Summary Financials"}</definedName>
    <definedName name="_____wrn1" hidden="1">{"holdco",#N/A,FALSE,"Summary Financials";"holdco",#N/A,FALSE,"Summary Financials"}</definedName>
    <definedName name="_____wrn2" localSheetId="17" hidden="1">{"holdco",#N/A,FALSE,"Summary Financials";"holdco",#N/A,FALSE,"Summary Financials"}</definedName>
    <definedName name="_____wrn2" localSheetId="2" hidden="1">{"holdco",#N/A,FALSE,"Summary Financials";"holdco",#N/A,FALSE,"Summary Financials"}</definedName>
    <definedName name="_____wrn2" localSheetId="15" hidden="1">{"holdco",#N/A,FALSE,"Summary Financials";"holdco",#N/A,FALSE,"Summary Financials"}</definedName>
    <definedName name="_____wrn2" hidden="1">{"holdco",#N/A,FALSE,"Summary Financials";"holdco",#N/A,FALSE,"Summary Financials"}</definedName>
    <definedName name="_____wrn3" localSheetId="17" hidden="1">{"holdco",#N/A,FALSE,"Summary Financials";"holdco",#N/A,FALSE,"Summary Financials"}</definedName>
    <definedName name="_____wrn3" localSheetId="2" hidden="1">{"holdco",#N/A,FALSE,"Summary Financials";"holdco",#N/A,FALSE,"Summary Financials"}</definedName>
    <definedName name="_____wrn3" localSheetId="15" hidden="1">{"holdco",#N/A,FALSE,"Summary Financials";"holdco",#N/A,FALSE,"Summary Financials"}</definedName>
    <definedName name="_____wrn3" hidden="1">{"holdco",#N/A,FALSE,"Summary Financials";"holdco",#N/A,FALSE,"Summary Financials"}</definedName>
    <definedName name="_____wrn7" localSheetId="17" hidden="1">{"Model Summary",#N/A,FALSE,"Print Chart";"Holdco",#N/A,FALSE,"Print Chart";"Genco",#N/A,FALSE,"Print Chart";"Servco",#N/A,FALSE,"Print Chart";"Genco_Detail",#N/A,FALSE,"Summary Financials";"Servco_Detail",#N/A,FALSE,"Summary Financials"}</definedName>
    <definedName name="_____wrn7" localSheetId="2" hidden="1">{"Model Summary",#N/A,FALSE,"Print Chart";"Holdco",#N/A,FALSE,"Print Chart";"Genco",#N/A,FALSE,"Print Chart";"Servco",#N/A,FALSE,"Print Chart";"Genco_Detail",#N/A,FALSE,"Summary Financials";"Servco_Detail",#N/A,FALSE,"Summary Financials"}</definedName>
    <definedName name="_____wrn7" localSheetId="15"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7" hidden="1">{"holdco",#N/A,FALSE,"Summary Financials";"holdco",#N/A,FALSE,"Summary Financials"}</definedName>
    <definedName name="_____wrn8" localSheetId="2" hidden="1">{"holdco",#N/A,FALSE,"Summary Financials";"holdco",#N/A,FALSE,"Summary Financials"}</definedName>
    <definedName name="_____wrn8" localSheetId="15" hidden="1">{"holdco",#N/A,FALSE,"Summary Financials";"holdco",#N/A,FALSE,"Summary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localSheetId="17" hidden="1">{#N/A,#N/A,FALSE,"Assessment";#N/A,#N/A,FALSE,"Staffing";#N/A,#N/A,FALSE,"Hires";#N/A,#N/A,FALSE,"Assumptions"}</definedName>
    <definedName name="__hom1" localSheetId="2" hidden="1">{#N/A,#N/A,FALSE,"Assessment";#N/A,#N/A,FALSE,"Staffing";#N/A,#N/A,FALSE,"Hires";#N/A,#N/A,FALSE,"Assumptions"}</definedName>
    <definedName name="__hom1" localSheetId="15"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7" hidden="1">{#N/A,#N/A,FALSE,"Assessment";#N/A,#N/A,FALSE,"Staffing";#N/A,#N/A,FALSE,"Hires";#N/A,#N/A,FALSE,"Assumptions"}</definedName>
    <definedName name="__kk1" localSheetId="2" hidden="1">{#N/A,#N/A,FALSE,"Assessment";#N/A,#N/A,FALSE,"Staffing";#N/A,#N/A,FALSE,"Hires";#N/A,#N/A,FALSE,"Assumptions"}</definedName>
    <definedName name="__kk1" localSheetId="15" hidden="1">{#N/A,#N/A,FALSE,"Assessment";#N/A,#N/A,FALSE,"Staffing";#N/A,#N/A,FALSE,"Hires";#N/A,#N/A,FALSE,"Assumptions"}</definedName>
    <definedName name="__kk1" hidden="1">{#N/A,#N/A,FALSE,"Assessment";#N/A,#N/A,FALSE,"Staffing";#N/A,#N/A,FALSE,"Hires";#N/A,#N/A,FALSE,"Assumptions"}</definedName>
    <definedName name="__KKK1" localSheetId="17" hidden="1">{#N/A,#N/A,FALSE,"Assessment";#N/A,#N/A,FALSE,"Staffing";#N/A,#N/A,FALSE,"Hires";#N/A,#N/A,FALSE,"Assumptions"}</definedName>
    <definedName name="__KKK1" localSheetId="2" hidden="1">{#N/A,#N/A,FALSE,"Assessment";#N/A,#N/A,FALSE,"Staffing";#N/A,#N/A,FALSE,"Hires";#N/A,#N/A,FALSE,"Assumptions"}</definedName>
    <definedName name="__KKK1" localSheetId="15" hidden="1">{#N/A,#N/A,FALSE,"Assessment";#N/A,#N/A,FALSE,"Staffing";#N/A,#N/A,FALSE,"Hires";#N/A,#N/A,FALSE,"Assumptions"}</definedName>
    <definedName name="__KKK1" hidden="1">{#N/A,#N/A,FALSE,"Assessment";#N/A,#N/A,FALSE,"Staffing";#N/A,#N/A,FALSE,"Hires";#N/A,#N/A,FALSE,"Assumptions"}</definedName>
    <definedName name="__wrn1" localSheetId="17" hidden="1">{"holdco",#N/A,FALSE,"Summary Financials";"holdco",#N/A,FALSE,"Summary Financials"}</definedName>
    <definedName name="__wrn1" localSheetId="2" hidden="1">{"holdco",#N/A,FALSE,"Summary Financials";"holdco",#N/A,FALSE,"Summary Financials"}</definedName>
    <definedName name="__wrn1" localSheetId="15" hidden="1">{"holdco",#N/A,FALSE,"Summary Financials";"holdco",#N/A,FALSE,"Summary Financials"}</definedName>
    <definedName name="__wrn1" hidden="1">{"holdco",#N/A,FALSE,"Summary Financials";"holdco",#N/A,FALSE,"Summary Financials"}</definedName>
    <definedName name="__wrn2" localSheetId="17" hidden="1">{"holdco",#N/A,FALSE,"Summary Financials";"holdco",#N/A,FALSE,"Summary Financials"}</definedName>
    <definedName name="__wrn2" localSheetId="2" hidden="1">{"holdco",#N/A,FALSE,"Summary Financials";"holdco",#N/A,FALSE,"Summary Financials"}</definedName>
    <definedName name="__wrn2" localSheetId="15" hidden="1">{"holdco",#N/A,FALSE,"Summary Financials";"holdco",#N/A,FALSE,"Summary Financials"}</definedName>
    <definedName name="__wrn2" hidden="1">{"holdco",#N/A,FALSE,"Summary Financials";"holdco",#N/A,FALSE,"Summary Financials"}</definedName>
    <definedName name="__wrn3" localSheetId="17" hidden="1">{"holdco",#N/A,FALSE,"Summary Financials";"holdco",#N/A,FALSE,"Summary Financials"}</definedName>
    <definedName name="__wrn3" localSheetId="2" hidden="1">{"holdco",#N/A,FALSE,"Summary Financials";"holdco",#N/A,FALSE,"Summary Financials"}</definedName>
    <definedName name="__wrn3" localSheetId="15" hidden="1">{"holdco",#N/A,FALSE,"Summary Financials";"holdco",#N/A,FALSE,"Summary Financials"}</definedName>
    <definedName name="__wrn3" hidden="1">{"holdco",#N/A,FALSE,"Summary Financials";"holdco",#N/A,FALSE,"Summary Financials"}</definedName>
    <definedName name="__wrn7" localSheetId="17" hidden="1">{"Model Summary",#N/A,FALSE,"Print Chart";"Holdco",#N/A,FALSE,"Print Chart";"Genco",#N/A,FALSE,"Print Chart";"Servco",#N/A,FALSE,"Print Chart";"Genco_Detail",#N/A,FALSE,"Summary Financials";"Servco_Detail",#N/A,FALSE,"Summary Financials"}</definedName>
    <definedName name="__wrn7" localSheetId="2" hidden="1">{"Model Summary",#N/A,FALSE,"Print Chart";"Holdco",#N/A,FALSE,"Print Chart";"Genco",#N/A,FALSE,"Print Chart";"Servco",#N/A,FALSE,"Print Chart";"Genco_Detail",#N/A,FALSE,"Summary Financials";"Servco_Detail",#N/A,FALSE,"Summary Financials"}</definedName>
    <definedName name="__wrn7" localSheetId="15"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7" hidden="1">{"holdco",#N/A,FALSE,"Summary Financials";"holdco",#N/A,FALSE,"Summary Financials"}</definedName>
    <definedName name="__wrn8" localSheetId="2" hidden="1">{"holdco",#N/A,FALSE,"Summary Financials";"holdco",#N/A,FALSE,"Summary Financials"}</definedName>
    <definedName name="__wrn8" localSheetId="15" hidden="1">{"holdco",#N/A,FALSE,"Summary Financials";"holdco",#N/A,FALSE,"Summary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2026">LicenseeSelect!$K$588:$AY$588</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example" hidden="1">#REF!</definedName>
    <definedName name="_Fill" hidden="1">#REF!</definedName>
    <definedName name="_Key1" hidden="1">#REF!</definedName>
    <definedName name="_Key2" hidden="1">#REF!</definedName>
    <definedName name="_Order1" hidden="1">255</definedName>
    <definedName name="_Order2" hidden="1">0</definedName>
    <definedName name="_Sort" hidden="1">#REF!</definedName>
    <definedName name="a" localSheetId="17" hidden="1">{"staff",#N/A,FALSE,"Current Month"}</definedName>
    <definedName name="a" localSheetId="2" hidden="1">{"staff",#N/A,FALSE,"Current Month"}</definedName>
    <definedName name="a" localSheetId="15"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hidden="1">#REF!</definedName>
    <definedName name="ACwvu.Japan_Capers_Ed_Pub." hidden="1">#REF!</definedName>
    <definedName name="ACwvu.KJP_CC." hidden="1">#REF!</definedName>
    <definedName name="asdas" localSheetId="17" hidden="1">{#N/A,#N/A,FALSE,"TMCOMP96";#N/A,#N/A,FALSE,"MAT96";#N/A,#N/A,FALSE,"FANDA96";#N/A,#N/A,FALSE,"INTRAN96";#N/A,#N/A,FALSE,"NAA9697";#N/A,#N/A,FALSE,"ECWEBB";#N/A,#N/A,FALSE,"MFT96";#N/A,#N/A,FALSE,"CTrecon"}</definedName>
    <definedName name="asdas" localSheetId="2" hidden="1">{#N/A,#N/A,FALSE,"TMCOMP96";#N/A,#N/A,FALSE,"MAT96";#N/A,#N/A,FALSE,"FANDA96";#N/A,#N/A,FALSE,"INTRAN96";#N/A,#N/A,FALSE,"NAA9697";#N/A,#N/A,FALSE,"ECWEBB";#N/A,#N/A,FALSE,"MFT96";#N/A,#N/A,FALSE,"CTrecon"}</definedName>
    <definedName name="asdas" localSheetId="15"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b" localSheetId="17" hidden="1">{"staff",#N/A,FALSE,"Current Month"}</definedName>
    <definedName name="b" localSheetId="2" hidden="1">{"staff",#N/A,FALSE,"Current Month"}</definedName>
    <definedName name="b" localSheetId="15" hidden="1">{"staff",#N/A,FALSE,"Current Month"}</definedName>
    <definedName name="b" hidden="1">{"staff",#N/A,FALSE,"Current Month"}</definedName>
    <definedName name="BaseYear">LicenseeSelect!$I$583</definedName>
    <definedName name="bb" localSheetId="17" hidden="1">{#N/A,#N/A,FALSE,"PRJCTED MNTHLY QTY's"}</definedName>
    <definedName name="bb" localSheetId="2" hidden="1">{#N/A,#N/A,FALSE,"PRJCTED MNTHLY QTY's"}</definedName>
    <definedName name="bb" localSheetId="15" hidden="1">{#N/A,#N/A,FALSE,"PRJCTED MNTHLY QTY's"}</definedName>
    <definedName name="bb" hidden="1">{#N/A,#N/A,FALSE,"PRJCTED MNTHLY QTY's"}</definedName>
    <definedName name="bbbb" localSheetId="17" hidden="1">{#N/A,#N/A,FALSE,"PRJCTED QTRLY QTY's"}</definedName>
    <definedName name="bbbb" localSheetId="2" hidden="1">{#N/A,#N/A,FALSE,"PRJCTED QTRLY QTY's"}</definedName>
    <definedName name="bbbb" localSheetId="15" hidden="1">{#N/A,#N/A,FALSE,"PRJCTED QTRLY QTY's"}</definedName>
    <definedName name="bbbb" hidden="1">{#N/A,#N/A,FALSE,"PRJCTED QTRLY QTY's"}</definedName>
    <definedName name="bbbbbb" localSheetId="17" hidden="1">{#N/A,#N/A,FALSE,"PRJCTED QTRLY QTY's"}</definedName>
    <definedName name="bbbbbb" localSheetId="2" hidden="1">{#N/A,#N/A,FALSE,"PRJCTED QTRLY QTY's"}</definedName>
    <definedName name="bbbbbb" localSheetId="15" hidden="1">{#N/A,#N/A,FALSE,"PRJCTED QTRLY QTY's"}</definedName>
    <definedName name="bbbbbb" hidden="1">{#N/A,#N/A,FALSE,"PRJCTED QTRLY QTY's"}</definedName>
    <definedName name="BExEZ4HBCC06708765M8A06KCR7P" hidden="1">#N/A</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#REF!</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Cwvu.CapersView." hidden="1">#REF!</definedName>
    <definedName name="Cwvu.Japan_Capers_Ed_Pub." hidden="1">#REF!</definedName>
    <definedName name="dgsgf" localSheetId="17" hidden="1">{#N/A,#N/A,FALSE,"TMCOMP96";#N/A,#N/A,FALSE,"MAT96";#N/A,#N/A,FALSE,"FANDA96";#N/A,#N/A,FALSE,"INTRAN96";#N/A,#N/A,FALSE,"NAA9697";#N/A,#N/A,FALSE,"ECWEBB";#N/A,#N/A,FALSE,"MFT96";#N/A,#N/A,FALSE,"CTrecon"}</definedName>
    <definedName name="dgsgf" localSheetId="2" hidden="1">{#N/A,#N/A,FALSE,"TMCOMP96";#N/A,#N/A,FALSE,"MAT96";#N/A,#N/A,FALSE,"FANDA96";#N/A,#N/A,FALSE,"INTRAN96";#N/A,#N/A,FALSE,"NAA9697";#N/A,#N/A,FALSE,"ECWEBB";#N/A,#N/A,FALSE,"MFT96";#N/A,#N/A,FALSE,"CTrecon"}</definedName>
    <definedName name="dgsgf" localSheetId="15"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stribution" hidden="1">#REF!</definedName>
    <definedName name="ExtraProfiles" hidden="1">#REF!</definedName>
    <definedName name="f" localSheetId="17" hidden="1">{"'PRODUCTIONCOST SHEET'!$B$3:$G$48"}</definedName>
    <definedName name="f" localSheetId="2" hidden="1">{"'PRODUCTIONCOST SHEET'!$B$3:$G$48"}</definedName>
    <definedName name="f" localSheetId="15" hidden="1">{"'PRODUCTIONCOST SHEET'!$B$3:$G$48"}</definedName>
    <definedName name="f" hidden="1">{"'PRODUCTIONCOST SHEET'!$B$3:$G$48"}</definedName>
    <definedName name="ff" localSheetId="17" hidden="1">{#N/A,#N/A,FALSE,"PRJCTED MNTHLY QTY's"}</definedName>
    <definedName name="ff" localSheetId="2" hidden="1">{#N/A,#N/A,FALSE,"PRJCTED MNTHLY QTY's"}</definedName>
    <definedName name="ff" localSheetId="15" hidden="1">{#N/A,#N/A,FALSE,"PRJCTED MNTHLY QTY's"}</definedName>
    <definedName name="ff" hidden="1">{#N/A,#N/A,FALSE,"PRJCTED MNTHLY QTY's"}</definedName>
    <definedName name="fffff" localSheetId="17" hidden="1">{#N/A,#N/A,FALSE,"PRJCTED QTRLY QTY's"}</definedName>
    <definedName name="fffff" localSheetId="2" hidden="1">{#N/A,#N/A,FALSE,"PRJCTED QTRLY QTY's"}</definedName>
    <definedName name="fffff" localSheetId="15" hidden="1">{#N/A,#N/A,FALSE,"PRJCTED QTRLY QTY's"}</definedName>
    <definedName name="fffff" hidden="1">{#N/A,#N/A,FALSE,"PRJCTED QTRLY QTY's"}</definedName>
    <definedName name="fg" localSheetId="17" hidden="1">{#N/A,#N/A,FALSE,"TMCOMP96";#N/A,#N/A,FALSE,"MAT96";#N/A,#N/A,FALSE,"FANDA96";#N/A,#N/A,FALSE,"INTRAN96";#N/A,#N/A,FALSE,"NAA9697";#N/A,#N/A,FALSE,"ECWEBB";#N/A,#N/A,FALSE,"MFT96";#N/A,#N/A,FALSE,"CTrecon"}</definedName>
    <definedName name="fg" localSheetId="2" hidden="1">{#N/A,#N/A,FALSE,"TMCOMP96";#N/A,#N/A,FALSE,"MAT96";#N/A,#N/A,FALSE,"FANDA96";#N/A,#N/A,FALSE,"INTRAN96";#N/A,#N/A,FALSE,"NAA9697";#N/A,#N/A,FALSE,"ECWEBB";#N/A,#N/A,FALSE,"MFT96";#N/A,#N/A,FALSE,"CTrecon"}</definedName>
    <definedName name="fg" localSheetId="15"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17" hidden="1">{#N/A,#N/A,FALSE,"TMCOMP96";#N/A,#N/A,FALSE,"MAT96";#N/A,#N/A,FALSE,"FANDA96";#N/A,#N/A,FALSE,"INTRAN96";#N/A,#N/A,FALSE,"NAA9697";#N/A,#N/A,FALSE,"ECWEBB";#N/A,#N/A,FALSE,"MFT96";#N/A,#N/A,FALSE,"CTrecon"}</definedName>
    <definedName name="fgfd" localSheetId="2" hidden="1">{#N/A,#N/A,FALSE,"TMCOMP96";#N/A,#N/A,FALSE,"MAT96";#N/A,#N/A,FALSE,"FANDA96";#N/A,#N/A,FALSE,"INTRAN96";#N/A,#N/A,FALSE,"NAA9697";#N/A,#N/A,FALSE,"ECWEBB";#N/A,#N/A,FALSE,"MFT96";#N/A,#N/A,FALSE,"CTrecon"}</definedName>
    <definedName name="fgfd" localSheetId="15"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ghj" localSheetId="17" hidden="1">{#N/A,#N/A,FALSE,"TMCOMP96";#N/A,#N/A,FALSE,"MAT96";#N/A,#N/A,FALSE,"FANDA96";#N/A,#N/A,FALSE,"INTRAN96";#N/A,#N/A,FALSE,"NAA9697";#N/A,#N/A,FALSE,"ECWEBB";#N/A,#N/A,FALSE,"MFT96";#N/A,#N/A,FALSE,"CTrecon"}</definedName>
    <definedName name="ghj" localSheetId="2" hidden="1">{#N/A,#N/A,FALSE,"TMCOMP96";#N/A,#N/A,FALSE,"MAT96";#N/A,#N/A,FALSE,"FANDA96";#N/A,#N/A,FALSE,"INTRAN96";#N/A,#N/A,FALSE,"NAA9697";#N/A,#N/A,FALSE,"ECWEBB";#N/A,#N/A,FALSE,"MFT96";#N/A,#N/A,FALSE,"CTrecon"}</definedName>
    <definedName name="ghj" localSheetId="15"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jk" localSheetId="17" hidden="1">{#N/A,#N/A,FALSE,"DI 2 YEAR MASTER SCHEDULE"}</definedName>
    <definedName name="gjk" localSheetId="2" hidden="1">{#N/A,#N/A,FALSE,"DI 2 YEAR MASTER SCHEDULE"}</definedName>
    <definedName name="gjk" localSheetId="15" hidden="1">{#N/A,#N/A,FALSE,"DI 2 YEAR MASTER SCHEDULE"}</definedName>
    <definedName name="gjk" hidden="1">{#N/A,#N/A,FALSE,"DI 2 YEAR MASTER SCHEDULE"}</definedName>
    <definedName name="gwge" hidden="1">#REF!</definedName>
    <definedName name="hh" localSheetId="17"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2"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7" hidden="1">{"'PRODUCTIONCOST SHEET'!$B$3:$G$48"}</definedName>
    <definedName name="HTML_Control" localSheetId="2" hidden="1">{"'PRODUCTIONCOST SHEET'!$B$3:$G$48"}</definedName>
    <definedName name="HTML_Control" localSheetId="15"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"06/22/2018 13:52:39"</definedName>
    <definedName name="IQ_QTD" hidden="1">750000</definedName>
    <definedName name="IQ_TODAY" hidden="1">0</definedName>
    <definedName name="IQ_YTDMONTH" hidden="1">130000</definedName>
    <definedName name="jhkgh" localSheetId="17" hidden="1">{#N/A,#N/A,FALSE,"TMCOMP96";#N/A,#N/A,FALSE,"MAT96";#N/A,#N/A,FALSE,"FANDA96";#N/A,#N/A,FALSE,"INTRAN96";#N/A,#N/A,FALSE,"NAA9697";#N/A,#N/A,FALSE,"ECWEBB";#N/A,#N/A,FALSE,"MFT96";#N/A,#N/A,FALSE,"CTrecon"}</definedName>
    <definedName name="jhkgh" localSheetId="2" hidden="1">{#N/A,#N/A,FALSE,"TMCOMP96";#N/A,#N/A,FALSE,"MAT96";#N/A,#N/A,FALSE,"FANDA96";#N/A,#N/A,FALSE,"INTRAN96";#N/A,#N/A,FALSE,"NAA9697";#N/A,#N/A,FALSE,"ECWEBB";#N/A,#N/A,FALSE,"MFT96";#N/A,#N/A,FALSE,"CTrecon"}</definedName>
    <definedName name="jhkgh" localSheetId="15"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17" hidden="1">{#N/A,#N/A,FALSE,"TMCOMP96";#N/A,#N/A,FALSE,"MAT96";#N/A,#N/A,FALSE,"FANDA96";#N/A,#N/A,FALSE,"INTRAN96";#N/A,#N/A,FALSE,"NAA9697";#N/A,#N/A,FALSE,"ECWEBB";#N/A,#N/A,FALSE,"MFT96";#N/A,#N/A,FALSE,"CTrecon"}</definedName>
    <definedName name="jhkgh2" localSheetId="2" hidden="1">{#N/A,#N/A,FALSE,"TMCOMP96";#N/A,#N/A,FALSE,"MAT96";#N/A,#N/A,FALSE,"FANDA96";#N/A,#N/A,FALSE,"INTRAN96";#N/A,#N/A,FALSE,"NAA9697";#N/A,#N/A,FALSE,"ECWEBB";#N/A,#N/A,FALSE,"MFT96";#N/A,#N/A,FALSE,"CTrecon"}</definedName>
    <definedName name="jhkgh2" localSheetId="15"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hkjk" localSheetId="17" hidden="1">{"staff",#N/A,FALSE,"Current Month"}</definedName>
    <definedName name="khkjk" localSheetId="2" hidden="1">{"staff",#N/A,FALSE,"Current Month"}</definedName>
    <definedName name="khkjk" localSheetId="15" hidden="1">{"staff",#N/A,FALSE,"Current Month"}</definedName>
    <definedName name="khkjk" hidden="1">{"staff",#N/A,FALSE,"Current Month"}</definedName>
    <definedName name="l" localSheetId="17" hidden="1">{#N/A,#N/A,FALSE,"DI 2 YEAR MASTER SCHEDULE"}</definedName>
    <definedName name="l" localSheetId="2" hidden="1">{#N/A,#N/A,FALSE,"DI 2 YEAR MASTER SCHEDULE"}</definedName>
    <definedName name="l" localSheetId="15" hidden="1">{#N/A,#N/A,FALSE,"DI 2 YEAR MASTER SCHEDULE"}</definedName>
    <definedName name="l" hidden="1">{#N/A,#N/A,FALSE,"DI 2 YEAR MASTER SCHEDULE"}</definedName>
    <definedName name="ListOffset" hidden="1">1</definedName>
    <definedName name="lkl" localSheetId="17" hidden="1">{#N/A,#N/A,FALSE,"DI 2 YEAR MASTER SCHEDULE"}</definedName>
    <definedName name="lkl" localSheetId="2" hidden="1">{#N/A,#N/A,FALSE,"DI 2 YEAR MASTER SCHEDULE"}</definedName>
    <definedName name="lkl" localSheetId="15" hidden="1">{#N/A,#N/A,FALSE,"DI 2 YEAR MASTER SCHEDULE"}</definedName>
    <definedName name="lkl" hidden="1">{#N/A,#N/A,FALSE,"DI 2 YEAR MASTER SCHEDULE"}</definedName>
    <definedName name="m_identity">UserInterface!$C$22</definedName>
    <definedName name="mm" localSheetId="17"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2"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2"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n_identity">UserInterface!$P$11</definedName>
    <definedName name="nn" localSheetId="17" hidden="1">{#N/A,#N/A,FALSE,"PRJCTED QTRLY $'s"}</definedName>
    <definedName name="nn" localSheetId="2" hidden="1">{#N/A,#N/A,FALSE,"PRJCTED QTRLY $'s"}</definedName>
    <definedName name="nn" localSheetId="15" hidden="1">{#N/A,#N/A,FALSE,"PRJCTED QTRLY $'s"}</definedName>
    <definedName name="nn" hidden="1">{#N/A,#N/A,FALSE,"PRJCTED QTRLY $'s"}</definedName>
    <definedName name="nominal">"£m nominal"</definedName>
    <definedName name="odd" localSheetId="17" hidden="1">{"staff",#N/A,FALSE,"Current Month"}</definedName>
    <definedName name="odd" localSheetId="2" hidden="1">{"staff",#N/A,FALSE,"Current Month"}</definedName>
    <definedName name="odd" localSheetId="15" hidden="1">{"staff",#N/A,FALSE,"Current Month"}</definedName>
    <definedName name="odd" hidden="1">{"staff",#N/A,FALSE,"Current Month"}</definedName>
    <definedName name="Option2" localSheetId="17" hidden="1">{#N/A,#N/A,FALSE,"TMCOMP96";#N/A,#N/A,FALSE,"MAT96";#N/A,#N/A,FALSE,"FANDA96";#N/A,#N/A,FALSE,"INTRAN96";#N/A,#N/A,FALSE,"NAA9697";#N/A,#N/A,FALSE,"ECWEBB";#N/A,#N/A,FALSE,"MFT96";#N/A,#N/A,FALSE,"CTrecon"}</definedName>
    <definedName name="Option2" localSheetId="2" hidden="1">{#N/A,#N/A,FALSE,"TMCOMP96";#N/A,#N/A,FALSE,"MAT96";#N/A,#N/A,FALSE,"FANDA96";#N/A,#N/A,FALSE,"INTRAN96";#N/A,#N/A,FALSE,"NAA9697";#N/A,#N/A,FALSE,"ECWEBB";#N/A,#N/A,FALSE,"MFT96";#N/A,#N/A,FALSE,"CTrecon"}</definedName>
    <definedName name="Option2" localSheetId="15"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Pal_Workbook_GUID" hidden="1">"LJ9YVKRJVQ1A1KNUG7XIT5A9"</definedName>
    <definedName name="PCf">Transform!$L$150:$AY$150</definedName>
    <definedName name="Pop" hidden="1">#REF!</definedName>
    <definedName name="Population" hidden="1">#REF!</definedName>
    <definedName name="PreRIIO">LicenseeSelect!#REF!</definedName>
    <definedName name="price_label">LicenseeSelect!$I$595</definedName>
    <definedName name="Profiles" hidden="1">#REF!</definedName>
    <definedName name="Projections" hidden="1">#REF!</definedName>
    <definedName name="qs" localSheetId="17" hidden="1">{#N/A,#N/A,FALSE,"PRJCTED MNTHLY QTY's"}</definedName>
    <definedName name="qs" localSheetId="2" hidden="1">{#N/A,#N/A,FALSE,"PRJCTED MNTHLY QTY's"}</definedName>
    <definedName name="qs" localSheetId="15" hidden="1">{#N/A,#N/A,FALSE,"PRJCTED MNTHLY QTY's"}</definedName>
    <definedName name="qs" hidden="1">{#N/A,#N/A,FALSE,"PRJCTED MNTHLY QTY's"}</definedName>
    <definedName name="Results" hidden="1">#REF!</definedName>
    <definedName name="RIIO1">LicenseeSelect!$K$587:$AY$587</definedName>
    <definedName name="RIIO2">LicenseeSelect!$K$586:$AY$586</definedName>
    <definedName name="RIIO3">LicenseeSelect!$K$585:$AY$585</definedName>
    <definedName name="RiskAfterRecalcMacro" hidden="1">"Simulation"</definedName>
    <definedName name="RiskAfterSimMacro" hidden="1">"Reset"</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TRUE</definedName>
    <definedName name="RiskRunAfterSimMacro" hidden="1">TRUE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TRUE</definedName>
    <definedName name="RiskUseMultipleCPUs" hidden="1">FALSE</definedName>
    <definedName name="RoundFac" localSheetId="2">Checks!$I$53</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localSheetId="17" hidden="1">{#N/A,#N/A,FALSE,"TMCOMP96";#N/A,#N/A,FALSE,"MAT96";#N/A,#N/A,FALSE,"FANDA96";#N/A,#N/A,FALSE,"INTRAN96";#N/A,#N/A,FALSE,"NAA9697";#N/A,#N/A,FALSE,"ECWEBB";#N/A,#N/A,FALSE,"MFT96";#N/A,#N/A,FALSE,"CTrecon"}</definedName>
    <definedName name="sdf" localSheetId="2" hidden="1">{#N/A,#N/A,FALSE,"TMCOMP96";#N/A,#N/A,FALSE,"MAT96";#N/A,#N/A,FALSE,"FANDA96";#N/A,#N/A,FALSE,"INTRAN96";#N/A,#N/A,FALSE,"NAA9697";#N/A,#N/A,FALSE,"ECWEBB";#N/A,#N/A,FALSE,"MFT96";#N/A,#N/A,FALSE,"CTrecon"}</definedName>
    <definedName name="sdf" localSheetId="15"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17" hidden="1">{#N/A,#N/A,FALSE,"TMCOMP96";#N/A,#N/A,FALSE,"MAT96";#N/A,#N/A,FALSE,"FANDA96";#N/A,#N/A,FALSE,"INTRAN96";#N/A,#N/A,FALSE,"NAA9697";#N/A,#N/A,FALSE,"ECWEBB";#N/A,#N/A,FALSE,"MFT96";#N/A,#N/A,FALSE,"CTrecon"}</definedName>
    <definedName name="sdff" localSheetId="2" hidden="1">{#N/A,#N/A,FALSE,"TMCOMP96";#N/A,#N/A,FALSE,"MAT96";#N/A,#N/A,FALSE,"FANDA96";#N/A,#N/A,FALSE,"INTRAN96";#N/A,#N/A,FALSE,"NAA9697";#N/A,#N/A,FALSE,"ECWEBB";#N/A,#N/A,FALSE,"MFT96";#N/A,#N/A,FALSE,"CTrecon"}</definedName>
    <definedName name="sdff" localSheetId="15"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fad" localSheetId="17" hidden="1">{#N/A,#N/A,FALSE,"TMCOMP96";#N/A,#N/A,FALSE,"MAT96";#N/A,#N/A,FALSE,"FANDA96";#N/A,#N/A,FALSE,"INTRAN96";#N/A,#N/A,FALSE,"NAA9697";#N/A,#N/A,FALSE,"ECWEBB";#N/A,#N/A,FALSE,"MFT96";#N/A,#N/A,FALSE,"CTrecon"}</definedName>
    <definedName name="sfad" localSheetId="2" hidden="1">{#N/A,#N/A,FALSE,"TMCOMP96";#N/A,#N/A,FALSE,"MAT96";#N/A,#N/A,FALSE,"FANDA96";#N/A,#N/A,FALSE,"INTRAN96";#N/A,#N/A,FALSE,"NAA9697";#N/A,#N/A,FALSE,"ECWEBB";#N/A,#N/A,FALSE,"MFT96";#N/A,#N/A,FALSE,"CTrecon"}</definedName>
    <definedName name="sfad" localSheetId="15"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tartingBalance">LicenseeSelect!$K$584:$AY$584</definedName>
    <definedName name="StartPreVest">LicenseeSelect!$K$593:$AY$593</definedName>
    <definedName name="StartRIIO3">LicenseeSelect!$I$584</definedName>
    <definedName name="Swvu.CapersView." hidden="1">#REF!</definedName>
    <definedName name="Swvu.Japan_Capers_Ed_Pub." hidden="1">#REF!</definedName>
    <definedName name="Swvu.KJP_CC." hidden="1">#REF!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rggh" localSheetId="17" hidden="1">{#N/A,#N/A,FALSE,"TMCOMP96";#N/A,#N/A,FALSE,"MAT96";#N/A,#N/A,FALSE,"FANDA96";#N/A,#N/A,FALSE,"INTRAN96";#N/A,#N/A,FALSE,"NAA9697";#N/A,#N/A,FALSE,"ECWEBB";#N/A,#N/A,FALSE,"MFT96";#N/A,#N/A,FALSE,"CTrecon"}</definedName>
    <definedName name="trggh" localSheetId="2" hidden="1">{#N/A,#N/A,FALSE,"TMCOMP96";#N/A,#N/A,FALSE,"MAT96";#N/A,#N/A,FALSE,"FANDA96";#N/A,#N/A,FALSE,"INTRAN96";#N/A,#N/A,FALSE,"NAA9697";#N/A,#N/A,FALSE,"ECWEBB";#N/A,#N/A,FALSE,"MFT96";#N/A,#N/A,FALSE,"CTrecon"}</definedName>
    <definedName name="trggh" localSheetId="15"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u" localSheetId="17" hidden="1">{#VALUE!,#N/A,FALSE,0}</definedName>
    <definedName name="u" localSheetId="2" hidden="1">{#VALUE!,#N/A,FALSE,0}</definedName>
    <definedName name="u" localSheetId="15" hidden="1">{#VALUE!,#N/A,FALSE,0}</definedName>
    <definedName name="u" hidden="1">{#VALUE!,#N/A,FALSE,0}</definedName>
    <definedName name="UAG" localSheetId="17" hidden="1">{#N/A,#N/A,FALSE,"DI 2 YEAR MASTER SCHEDULE"}</definedName>
    <definedName name="UAG" localSheetId="2" hidden="1">{#N/A,#N/A,FALSE,"DI 2 YEAR MASTER SCHEDULE"}</definedName>
    <definedName name="UAG" localSheetId="15" hidden="1">{#N/A,#N/A,FALSE,"DI 2 YEAR MASTER SCHEDULE"}</definedName>
    <definedName name="UAG" hidden="1">{#N/A,#N/A,FALSE,"DI 2 YEAR MASTER SCHEDULE"}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7" hidden="1">{"Japan_Capers_Ed_Pub",#N/A,FALSE,"DI 2 YEAR MASTER SCHEDULE"}</definedName>
    <definedName name="v" localSheetId="2" hidden="1">{"Japan_Capers_Ed_Pub",#N/A,FALSE,"DI 2 YEAR MASTER SCHEDULE"}</definedName>
    <definedName name="v" localSheetId="15" hidden="1">{"Japan_Capers_Ed_Pub",#N/A,FALSE,"DI 2 YEAR MASTER SCHEDULE"}</definedName>
    <definedName name="v" hidden="1">{"Japan_Capers_Ed_Pub",#N/A,FALSE,"DI 2 YEAR MASTER SCHEDULE"}</definedName>
    <definedName name="wrn.CapersPlotter." localSheetId="17" hidden="1">{#N/A,#N/A,FALSE,"DI 2 YEAR MASTER SCHEDULE"}</definedName>
    <definedName name="wrn.CapersPlotter." localSheetId="2" hidden="1">{#N/A,#N/A,FALSE,"DI 2 YEAR MASTER SCHEDULE"}</definedName>
    <definedName name="wrn.CapersPlotter." localSheetId="15" hidden="1">{#N/A,#N/A,FALSE,"DI 2 YEAR MASTER SCHEDULE"}</definedName>
    <definedName name="wrn.CapersPlotter." hidden="1">{#N/A,#N/A,FALSE,"DI 2 YEAR MASTER SCHEDULE"}</definedName>
    <definedName name="wrn.Edutainment._.Priority._.List." localSheetId="17" hidden="1">{#N/A,#N/A,FALSE,"DI 2 YEAR MASTER SCHEDULE"}</definedName>
    <definedName name="wrn.Edutainment._.Priority._.List." localSheetId="2" hidden="1">{#N/A,#N/A,FALSE,"DI 2 YEAR MASTER SCHEDULE"}</definedName>
    <definedName name="wrn.Edutainment._.Priority._.List." localSheetId="15" hidden="1">{#N/A,#N/A,FALSE,"DI 2 YEAR MASTER SCHEDULE"}</definedName>
    <definedName name="wrn.Edutainment._.Priority._.List." hidden="1">{#N/A,#N/A,FALSE,"DI 2 YEAR MASTER SCHEDULE"}</definedName>
    <definedName name="wrn.Japan_Capers_Ed._.Pub." localSheetId="17" hidden="1">{"Japan_Capers_Ed_Pub",#N/A,FALSE,"DI 2 YEAR MASTER SCHEDULE"}</definedName>
    <definedName name="wrn.Japan_Capers_Ed._.Pub." localSheetId="2" hidden="1">{"Japan_Capers_Ed_Pub",#N/A,FALSE,"DI 2 YEAR MASTER SCHEDULE"}</definedName>
    <definedName name="wrn.Japan_Capers_Ed._.Pub." localSheetId="15" hidden="1">{"Japan_Capers_Ed_Pub",#N/A,FALSE,"DI 2 YEAR MASTER SCHEDULE"}</definedName>
    <definedName name="wrn.Japan_Capers_Ed._.Pub." hidden="1">{"Japan_Capers_Ed_Pub",#N/A,FALSE,"DI 2 YEAR MASTER SCHEDULE"}</definedName>
    <definedName name="wrn.Mat." localSheetId="17" hidden="1">{"staff",#N/A,FALSE,"Current Month"}</definedName>
    <definedName name="wrn.Mat." localSheetId="2" hidden="1">{"staff",#N/A,FALSE,"Current Month"}</definedName>
    <definedName name="wrn.Mat." localSheetId="15" hidden="1">{"staff",#N/A,FALSE,"Current Month"}</definedName>
    <definedName name="wrn.Mat." hidden="1">{"staff",#N/A,FALSE,"Current Month"}</definedName>
    <definedName name="wrn.Priority._.list." localSheetId="17" hidden="1">{#N/A,#N/A,FALSE,"DI 2 YEAR MASTER SCHEDULE"}</definedName>
    <definedName name="wrn.Priority._.list." localSheetId="2" hidden="1">{#N/A,#N/A,FALSE,"DI 2 YEAR MASTER SCHEDULE"}</definedName>
    <definedName name="wrn.Priority._.list." localSheetId="15" hidden="1">{#N/A,#N/A,FALSE,"DI 2 YEAR MASTER SCHEDULE"}</definedName>
    <definedName name="wrn.Priority._.list." hidden="1">{#N/A,#N/A,FALSE,"DI 2 YEAR MASTER SCHEDULE"}</definedName>
    <definedName name="wrn.Prjcted._.Mnthly._.Qtys." localSheetId="17" hidden="1">{#N/A,#N/A,FALSE,"PRJCTED MNTHLY QTY's"}</definedName>
    <definedName name="wrn.Prjcted._.Mnthly._.Qtys." localSheetId="2" hidden="1">{#N/A,#N/A,FALSE,"PRJCTED MNTHLY QTY's"}</definedName>
    <definedName name="wrn.Prjcted._.Mnthly._.Qtys." localSheetId="15" hidden="1">{#N/A,#N/A,FALSE,"PRJCTED MNTHLY QTY's"}</definedName>
    <definedName name="wrn.Prjcted._.Mnthly._.Qtys." hidden="1">{#N/A,#N/A,FALSE,"PRJCTED MNTHLY QTY's"}</definedName>
    <definedName name="wrn.Prjcted._.Qtrly._.Dollars." localSheetId="17" hidden="1">{#N/A,#N/A,FALSE,"PRJCTED QTRLY $'s"}</definedName>
    <definedName name="wrn.Prjcted._.Qtrly._.Dollars." localSheetId="2" hidden="1">{#N/A,#N/A,FALSE,"PRJCTED QTRLY $'s"}</definedName>
    <definedName name="wrn.Prjcted._.Qtrly._.Dollars." localSheetId="15" hidden="1">{#N/A,#N/A,FALSE,"PRJCTED QTRLY $'s"}</definedName>
    <definedName name="wrn.Prjcted._.Qtrly._.Dollars." hidden="1">{#N/A,#N/A,FALSE,"PRJCTED QTRLY $'s"}</definedName>
    <definedName name="wrn.Prjcted._.Qtrly._.Qtys." localSheetId="17" hidden="1">{#N/A,#N/A,FALSE,"PRJCTED QTRLY QTY's"}</definedName>
    <definedName name="wrn.Prjcted._.Qtrly._.Qtys." localSheetId="2" hidden="1">{#N/A,#N/A,FALSE,"PRJCTED QTRLY QTY's"}</definedName>
    <definedName name="wrn.Prjcted._.Qtrly._.Qtys." localSheetId="15" hidden="1">{#N/A,#N/A,FALSE,"PRJCTED QTRLY QTY's"}</definedName>
    <definedName name="wrn.Prjcted._.Qtrly._.Qtys." hidden="1">{#N/A,#N/A,FALSE,"PRJCTED QTRLY QTY's"}</definedName>
    <definedName name="wrn.TMCOMP." localSheetId="17" hidden="1">{#N/A,#N/A,FALSE,"TMCOMP96";#N/A,#N/A,FALSE,"MAT96";#N/A,#N/A,FALSE,"FANDA96";#N/A,#N/A,FALSE,"INTRAN96";#N/A,#N/A,FALSE,"NAA9697";#N/A,#N/A,FALSE,"ECWEBB";#N/A,#N/A,FALSE,"MFT96";#N/A,#N/A,FALSE,"CTrecon"}</definedName>
    <definedName name="wrn.TMCOMP." localSheetId="2" hidden="1">{#N/A,#N/A,FALSE,"TMCOMP96";#N/A,#N/A,FALSE,"MAT96";#N/A,#N/A,FALSE,"FANDA96";#N/A,#N/A,FALSE,"INTRAN96";#N/A,#N/A,FALSE,"NAA9697";#N/A,#N/A,FALSE,"ECWEBB";#N/A,#N/A,FALSE,"MFT96";#N/A,#N/A,FALSE,"CTrecon"}</definedName>
    <definedName name="wrn.TMCOMP." localSheetId="15"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 name="wvu.CapersView." localSheetId="17"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2"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2"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7"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2"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7" hidden="1">{#N/A,#N/A,FALSE,"DI 2 YEAR MASTER SCHEDULE"}</definedName>
    <definedName name="x" localSheetId="2" hidden="1">{#N/A,#N/A,FALSE,"DI 2 YEAR MASTER SCHEDULE"}</definedName>
    <definedName name="x" localSheetId="15" hidden="1">{#N/A,#N/A,FALSE,"DI 2 YEAR MASTER SCHEDULE"}</definedName>
    <definedName name="x" hidden="1">{#N/A,#N/A,FALSE,"DI 2 YEAR MASTER SCHEDULE"}</definedName>
    <definedName name="y" localSheetId="17"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2"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z" localSheetId="17" hidden="1">{#N/A,#N/A,FALSE,"DI 2 YEAR MASTER SCHEDULE"}</definedName>
    <definedName name="z" localSheetId="2" hidden="1">{#N/A,#N/A,FALSE,"DI 2 YEAR MASTER SCHEDULE"}</definedName>
    <definedName name="z" localSheetId="15" hidden="1">{#N/A,#N/A,FALSE,"DI 2 YEAR MASTER SCHEDULE"}</definedName>
    <definedName name="z" hidden="1">{#N/A,#N/A,FALSE,"DI 2 YEAR MASTER SCHEDULE"}</definedName>
    <definedName name="Z_9A428CE1_B4D9_11D0_A8AA_0000C071AEE7_.wvu.Cols" hidden="1">#REF!,#REF!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5" i="36" l="1" a="1"/>
  <c r="E205" i="36" s="1"/>
  <c r="BB205" i="36"/>
  <c r="BC205" i="36"/>
  <c r="BD205" i="36"/>
  <c r="E206" i="36" a="1"/>
  <c r="E206" i="36" s="1"/>
  <c r="BB206" i="36"/>
  <c r="BC206" i="36"/>
  <c r="BD206" i="36"/>
  <c r="E207" i="36" a="1"/>
  <c r="E207" i="36"/>
  <c r="BB207" i="36"/>
  <c r="BC207" i="36"/>
  <c r="BD207" i="36"/>
  <c r="E208" i="36" a="1"/>
  <c r="E208" i="36"/>
  <c r="BB208" i="36"/>
  <c r="BC208" i="36"/>
  <c r="BD208" i="36"/>
  <c r="E209" i="36" a="1"/>
  <c r="E209" i="36" s="1"/>
  <c r="BB209" i="36"/>
  <c r="BC209" i="36"/>
  <c r="BD209" i="36"/>
  <c r="E210" i="36" a="1"/>
  <c r="E210" i="36" s="1"/>
  <c r="BB210" i="36"/>
  <c r="BC210" i="36"/>
  <c r="BD210" i="36"/>
  <c r="E211" i="36" a="1"/>
  <c r="E211" i="36" s="1"/>
  <c r="BB211" i="36"/>
  <c r="BC211" i="36"/>
  <c r="BD211" i="36"/>
  <c r="E212" i="36" a="1"/>
  <c r="E212" i="36"/>
  <c r="BB212" i="36"/>
  <c r="BC212" i="36"/>
  <c r="BD212" i="36"/>
  <c r="E213" i="36" a="1"/>
  <c r="E213" i="36"/>
  <c r="BB213" i="36"/>
  <c r="BC213" i="36"/>
  <c r="BD213" i="36"/>
  <c r="E214" i="36" a="1"/>
  <c r="E214" i="36" s="1"/>
  <c r="BB214" i="36"/>
  <c r="BC214" i="36"/>
  <c r="BD214" i="36"/>
  <c r="E215" i="36" a="1"/>
  <c r="E215" i="36" s="1"/>
  <c r="BB215" i="36"/>
  <c r="BC215" i="36"/>
  <c r="BD215" i="36"/>
  <c r="E216" i="36" a="1"/>
  <c r="E216" i="36" s="1"/>
  <c r="BB216" i="36"/>
  <c r="BC216" i="36"/>
  <c r="BD216" i="36"/>
  <c r="E217" i="36" a="1"/>
  <c r="E217" i="36" s="1"/>
  <c r="BB217" i="36"/>
  <c r="BC217" i="36"/>
  <c r="BD217" i="36"/>
  <c r="E218" i="36" a="1"/>
  <c r="E218" i="36"/>
  <c r="BB218" i="36"/>
  <c r="BC218" i="36"/>
  <c r="BD218" i="36"/>
  <c r="E219" i="36" a="1"/>
  <c r="E219" i="36" s="1"/>
  <c r="BB219" i="36"/>
  <c r="BC219" i="36"/>
  <c r="BD219" i="36"/>
  <c r="E220" i="36" a="1"/>
  <c r="E220" i="36"/>
  <c r="BB220" i="36"/>
  <c r="BC220" i="36"/>
  <c r="BD220" i="36"/>
  <c r="E221" i="36" a="1"/>
  <c r="E221" i="36" s="1"/>
  <c r="BB221" i="36"/>
  <c r="BC221" i="36"/>
  <c r="BD221" i="36"/>
  <c r="E222" i="36" a="1"/>
  <c r="E222" i="36" s="1"/>
  <c r="BB222" i="36"/>
  <c r="BC222" i="36"/>
  <c r="BD222" i="36"/>
  <c r="E223" i="36" a="1"/>
  <c r="E223" i="36" s="1"/>
  <c r="BB223" i="36"/>
  <c r="BC223" i="36"/>
  <c r="BD223" i="36"/>
  <c r="E224" i="36" a="1"/>
  <c r="E224" i="36" s="1"/>
  <c r="BB224" i="36"/>
  <c r="BC224" i="36"/>
  <c r="BD224" i="36"/>
  <c r="E225" i="36" a="1"/>
  <c r="E225" i="36"/>
  <c r="BB225" i="36"/>
  <c r="BC225" i="36"/>
  <c r="BD225" i="36"/>
  <c r="E226" i="36" a="1"/>
  <c r="E226" i="36" s="1"/>
  <c r="BB226" i="36"/>
  <c r="BC226" i="36"/>
  <c r="BD226" i="36"/>
  <c r="E227" i="36" a="1"/>
  <c r="E227" i="36" s="1"/>
  <c r="BB227" i="36"/>
  <c r="BC227" i="36"/>
  <c r="BD227" i="36"/>
  <c r="E228" i="36" a="1"/>
  <c r="E228" i="36" s="1"/>
  <c r="BB228" i="36"/>
  <c r="BC228" i="36"/>
  <c r="BD228" i="36"/>
  <c r="E229" i="36" a="1"/>
  <c r="E229" i="36" s="1"/>
  <c r="BB229" i="36"/>
  <c r="BC229" i="36"/>
  <c r="BD229" i="36"/>
  <c r="E230" i="36" a="1"/>
  <c r="E230" i="36" s="1"/>
  <c r="BB230" i="36"/>
  <c r="BC230" i="36"/>
  <c r="BD230" i="36"/>
  <c r="E231" i="36" a="1"/>
  <c r="E231" i="36" s="1"/>
  <c r="BB231" i="36"/>
  <c r="BC231" i="36"/>
  <c r="BD231" i="36"/>
  <c r="E232" i="36" a="1"/>
  <c r="E232" i="36"/>
  <c r="BB232" i="36"/>
  <c r="BC232" i="36"/>
  <c r="BD232" i="36"/>
  <c r="E233" i="36" a="1"/>
  <c r="E233" i="36" s="1"/>
  <c r="BB233" i="36"/>
  <c r="BC233" i="36"/>
  <c r="BD233" i="36"/>
  <c r="E234" i="36" a="1"/>
  <c r="E234" i="36" s="1"/>
  <c r="BB234" i="36"/>
  <c r="BC234" i="36"/>
  <c r="BD234" i="36"/>
  <c r="E235" i="36" a="1"/>
  <c r="E235" i="36" s="1"/>
  <c r="BB235" i="36"/>
  <c r="BC235" i="36"/>
  <c r="BD235" i="36"/>
  <c r="E236" i="36" a="1"/>
  <c r="E236" i="36" s="1"/>
  <c r="BB236" i="36"/>
  <c r="BC236" i="36"/>
  <c r="BD236" i="36"/>
  <c r="E237" i="36" a="1"/>
  <c r="E237" i="36" s="1"/>
  <c r="BB237" i="36"/>
  <c r="BC237" i="36"/>
  <c r="BD237" i="36"/>
  <c r="E238" i="36" a="1"/>
  <c r="E238" i="36" s="1"/>
  <c r="BB238" i="36"/>
  <c r="BC238" i="36"/>
  <c r="BD238" i="36"/>
  <c r="E239" i="36" a="1"/>
  <c r="E239" i="36" s="1"/>
  <c r="BB239" i="36"/>
  <c r="BC239" i="36"/>
  <c r="BD239" i="36"/>
  <c r="E240" i="36" a="1"/>
  <c r="E240" i="36" s="1"/>
  <c r="BB240" i="36"/>
  <c r="BC240" i="36"/>
  <c r="BD240" i="36"/>
  <c r="E241" i="36" a="1"/>
  <c r="E241" i="36" s="1"/>
  <c r="BB241" i="36"/>
  <c r="BC241" i="36"/>
  <c r="BD241" i="36"/>
  <c r="E242" i="36" a="1"/>
  <c r="E242" i="36"/>
  <c r="BB242" i="36"/>
  <c r="BC242" i="36"/>
  <c r="BD242" i="36"/>
  <c r="E243" i="36" a="1"/>
  <c r="E243" i="36" s="1"/>
  <c r="BB243" i="36"/>
  <c r="BC243" i="36"/>
  <c r="BD243" i="36"/>
  <c r="E244" i="36" a="1"/>
  <c r="E244" i="36"/>
  <c r="BB244" i="36"/>
  <c r="BC244" i="36"/>
  <c r="BD244" i="36"/>
  <c r="E245" i="36" a="1"/>
  <c r="E245" i="36" s="1"/>
  <c r="BB245" i="36"/>
  <c r="BC245" i="36"/>
  <c r="BD245" i="36"/>
  <c r="E246" i="36" a="1"/>
  <c r="E246" i="36" s="1"/>
  <c r="BB246" i="36"/>
  <c r="BC246" i="36"/>
  <c r="BD246" i="36"/>
  <c r="E247" i="36" a="1"/>
  <c r="E247" i="36" s="1"/>
  <c r="BB247" i="36"/>
  <c r="BC247" i="36"/>
  <c r="BD247" i="36"/>
  <c r="E248" i="36" a="1"/>
  <c r="E248" i="36" s="1"/>
  <c r="BB248" i="36"/>
  <c r="BC248" i="36"/>
  <c r="BD248" i="36"/>
  <c r="E249" i="36" a="1"/>
  <c r="E249" i="36" s="1"/>
  <c r="BB249" i="36"/>
  <c r="BC249" i="36"/>
  <c r="BD249" i="36"/>
  <c r="E250" i="36" a="1"/>
  <c r="E250" i="36"/>
  <c r="BB250" i="36"/>
  <c r="BC250" i="36"/>
  <c r="BD250" i="36"/>
  <c r="E251" i="36" a="1"/>
  <c r="E251" i="36" s="1"/>
  <c r="BB251" i="36"/>
  <c r="BC251" i="36"/>
  <c r="BD251" i="36"/>
  <c r="E252" i="36" a="1"/>
  <c r="E252" i="36" s="1"/>
  <c r="BB252" i="36"/>
  <c r="BC252" i="36"/>
  <c r="BD252" i="36"/>
  <c r="E253" i="36" a="1"/>
  <c r="E253" i="36" s="1"/>
  <c r="BB253" i="36"/>
  <c r="BC253" i="36"/>
  <c r="BD253" i="36"/>
  <c r="E254" i="36" a="1"/>
  <c r="E254" i="36" s="1"/>
  <c r="BB254" i="36"/>
  <c r="BC254" i="36"/>
  <c r="BD254" i="36"/>
  <c r="E255" i="36" a="1"/>
  <c r="E255" i="36" s="1"/>
  <c r="BB255" i="36"/>
  <c r="BC255" i="36"/>
  <c r="BD255" i="36"/>
  <c r="E256" i="36" a="1"/>
  <c r="E256" i="36" s="1"/>
  <c r="BB256" i="36"/>
  <c r="BC256" i="36"/>
  <c r="BD256" i="36"/>
  <c r="E257" i="36" a="1"/>
  <c r="E257" i="36"/>
  <c r="BB257" i="36"/>
  <c r="BC257" i="36"/>
  <c r="BD257" i="36"/>
  <c r="E258" i="36" a="1"/>
  <c r="E258" i="36"/>
  <c r="BB258" i="36"/>
  <c r="BC258" i="36"/>
  <c r="BD258" i="36"/>
  <c r="E259" i="36" a="1"/>
  <c r="E259" i="36" s="1"/>
  <c r="BB259" i="36"/>
  <c r="BC259" i="36"/>
  <c r="BD259" i="36"/>
  <c r="E260" i="36" a="1"/>
  <c r="E260" i="36" s="1"/>
  <c r="BB260" i="36"/>
  <c r="BC260" i="36"/>
  <c r="BD260" i="36"/>
  <c r="E261" i="36" a="1"/>
  <c r="E261" i="36" s="1"/>
  <c r="BB261" i="36"/>
  <c r="BC261" i="36"/>
  <c r="BD261" i="36"/>
  <c r="E262" i="36" a="1"/>
  <c r="E262" i="36" s="1"/>
  <c r="BB262" i="36"/>
  <c r="BC262" i="36"/>
  <c r="BD262" i="36"/>
  <c r="E263" i="36" a="1"/>
  <c r="E263" i="36" s="1"/>
  <c r="BB263" i="36"/>
  <c r="BC263" i="36"/>
  <c r="BD263" i="36"/>
  <c r="E264" i="36" a="1"/>
  <c r="E264" i="36"/>
  <c r="BB264" i="36"/>
  <c r="BC264" i="36"/>
  <c r="BD264" i="36"/>
  <c r="E265" i="36" a="1"/>
  <c r="E265" i="36"/>
  <c r="BB265" i="36"/>
  <c r="BC265" i="36"/>
  <c r="BD265" i="36"/>
  <c r="E266" i="36" a="1"/>
  <c r="E266" i="36" s="1"/>
  <c r="BB266" i="36"/>
  <c r="BC266" i="36"/>
  <c r="BD266" i="36"/>
  <c r="E267" i="36" a="1"/>
  <c r="E267" i="36" s="1"/>
  <c r="BB267" i="36"/>
  <c r="BC267" i="36"/>
  <c r="BD267" i="36"/>
  <c r="E268" i="36" a="1"/>
  <c r="E268" i="36" s="1"/>
  <c r="BB268" i="36"/>
  <c r="BC268" i="36"/>
  <c r="BD268" i="36"/>
  <c r="E269" i="36" a="1"/>
  <c r="E269" i="36" s="1"/>
  <c r="BB269" i="36"/>
  <c r="BC269" i="36"/>
  <c r="BD269" i="36"/>
  <c r="E270" i="36" a="1"/>
  <c r="E270" i="36" s="1"/>
  <c r="BB270" i="36"/>
  <c r="BC270" i="36"/>
  <c r="BD270" i="36"/>
  <c r="E271" i="36" a="1"/>
  <c r="E271" i="36" s="1"/>
  <c r="BB271" i="36"/>
  <c r="BC271" i="36"/>
  <c r="BD271" i="36"/>
  <c r="E272" i="36" a="1"/>
  <c r="E272" i="36"/>
  <c r="BB272" i="36"/>
  <c r="BC272" i="36"/>
  <c r="BD272" i="36"/>
  <c r="E273" i="36" a="1"/>
  <c r="E273" i="36" s="1"/>
  <c r="BB273" i="36"/>
  <c r="BC273" i="36"/>
  <c r="BD273" i="36"/>
  <c r="E274" i="36" a="1"/>
  <c r="E274" i="36" s="1"/>
  <c r="BB274" i="36"/>
  <c r="BC274" i="36"/>
  <c r="BD274" i="36"/>
  <c r="E275" i="36" a="1"/>
  <c r="E275" i="36" s="1"/>
  <c r="BB275" i="36"/>
  <c r="BC275" i="36"/>
  <c r="BD275" i="36"/>
  <c r="E276" i="36" a="1"/>
  <c r="E276" i="36" s="1"/>
  <c r="BB276" i="36"/>
  <c r="BC276" i="36"/>
  <c r="BD276" i="36"/>
  <c r="E277" i="36" a="1"/>
  <c r="E277" i="36" s="1"/>
  <c r="BB277" i="36"/>
  <c r="BC277" i="36"/>
  <c r="BD277" i="36"/>
  <c r="E278" i="36" a="1"/>
  <c r="E278" i="36" s="1"/>
  <c r="BB278" i="36"/>
  <c r="BC278" i="36"/>
  <c r="BD278" i="36"/>
  <c r="E279" i="36" a="1"/>
  <c r="E279" i="36" s="1"/>
  <c r="BB279" i="36"/>
  <c r="BC279" i="36"/>
  <c r="BD279" i="36"/>
  <c r="E280" i="36" a="1"/>
  <c r="E280" i="36"/>
  <c r="BB280" i="36"/>
  <c r="BC280" i="36"/>
  <c r="BD280" i="36"/>
  <c r="E281" i="36" a="1"/>
  <c r="E281" i="36"/>
  <c r="BB281" i="36"/>
  <c r="BC281" i="36"/>
  <c r="BD281" i="36"/>
  <c r="E282" i="36" a="1"/>
  <c r="E282" i="36" s="1"/>
  <c r="BB282" i="36"/>
  <c r="BC282" i="36"/>
  <c r="BD282" i="36"/>
  <c r="E283" i="36" a="1"/>
  <c r="E283" i="36" s="1"/>
  <c r="BB283" i="36"/>
  <c r="BC283" i="36"/>
  <c r="BD283" i="36"/>
  <c r="E284" i="36" a="1"/>
  <c r="E284" i="36" s="1"/>
  <c r="BB284" i="36"/>
  <c r="BC284" i="36"/>
  <c r="BD284" i="36"/>
  <c r="E285" i="36" a="1"/>
  <c r="E285" i="36" s="1"/>
  <c r="BB285" i="36"/>
  <c r="BC285" i="36"/>
  <c r="BD285" i="36"/>
  <c r="E286" i="36" a="1"/>
  <c r="E286" i="36" s="1"/>
  <c r="BB286" i="36"/>
  <c r="BC286" i="36"/>
  <c r="BD286" i="36"/>
  <c r="E287" i="36" a="1"/>
  <c r="E287" i="36" s="1"/>
  <c r="BB287" i="36"/>
  <c r="BC287" i="36"/>
  <c r="BD287" i="36"/>
  <c r="E288" i="36" a="1"/>
  <c r="E288" i="36" s="1"/>
  <c r="BB288" i="36"/>
  <c r="BC288" i="36"/>
  <c r="BD288" i="36"/>
  <c r="E289" i="36" a="1"/>
  <c r="E289" i="36" s="1"/>
  <c r="BB289" i="36"/>
  <c r="BC289" i="36"/>
  <c r="BD289" i="36"/>
  <c r="E290" i="36" a="1"/>
  <c r="E290" i="36" s="1"/>
  <c r="BB290" i="36"/>
  <c r="BC290" i="36"/>
  <c r="BD290" i="36"/>
  <c r="E291" i="36" a="1"/>
  <c r="E291" i="36" s="1"/>
  <c r="BB291" i="36"/>
  <c r="BC291" i="36"/>
  <c r="BD291" i="36"/>
  <c r="E292" i="36" a="1"/>
  <c r="E292" i="36" s="1"/>
  <c r="BB292" i="36"/>
  <c r="BC292" i="36"/>
  <c r="BD292" i="36"/>
  <c r="E293" i="36" a="1"/>
  <c r="E293" i="36" s="1"/>
  <c r="BB293" i="36"/>
  <c r="BC293" i="36"/>
  <c r="BD293" i="36"/>
  <c r="E294" i="36" a="1"/>
  <c r="E294" i="36" s="1"/>
  <c r="BB294" i="36"/>
  <c r="BC294" i="36"/>
  <c r="BD294" i="36"/>
  <c r="E295" i="36" a="1"/>
  <c r="E295" i="36" s="1"/>
  <c r="BB295" i="36"/>
  <c r="BC295" i="36"/>
  <c r="BD295" i="36"/>
  <c r="E296" i="36" a="1"/>
  <c r="E296" i="36"/>
  <c r="BB296" i="36"/>
  <c r="BC296" i="36"/>
  <c r="BD296" i="36"/>
  <c r="E297" i="36" a="1"/>
  <c r="E297" i="36"/>
  <c r="BB297" i="36"/>
  <c r="BC297" i="36"/>
  <c r="BD297" i="36"/>
  <c r="E298" i="36" a="1"/>
  <c r="E298" i="36" s="1"/>
  <c r="BB298" i="36"/>
  <c r="BC298" i="36"/>
  <c r="BD298" i="36"/>
  <c r="E299" i="36" a="1"/>
  <c r="E299" i="36" s="1"/>
  <c r="BB299" i="36"/>
  <c r="BC299" i="36"/>
  <c r="BD299" i="36"/>
  <c r="E300" i="36" a="1"/>
  <c r="E300" i="36" s="1"/>
  <c r="BB300" i="36"/>
  <c r="BC300" i="36"/>
  <c r="BD300" i="36"/>
  <c r="E301" i="36" a="1"/>
  <c r="E301" i="36"/>
  <c r="BB301" i="36"/>
  <c r="BC301" i="36"/>
  <c r="BD301" i="36"/>
  <c r="E302" i="36" a="1"/>
  <c r="E302" i="36" s="1"/>
  <c r="BB302" i="36"/>
  <c r="BC302" i="36"/>
  <c r="BD302" i="36"/>
  <c r="E303" i="36" a="1"/>
  <c r="E303" i="36" s="1"/>
  <c r="BB303" i="36"/>
  <c r="BC303" i="36"/>
  <c r="BD303" i="36"/>
  <c r="E304" i="36" a="1"/>
  <c r="E304" i="36" s="1"/>
  <c r="BB304" i="36"/>
  <c r="BC304" i="36"/>
  <c r="BD304" i="36"/>
  <c r="E305" i="36" a="1"/>
  <c r="E305" i="36" s="1"/>
  <c r="BB305" i="36"/>
  <c r="BC305" i="36"/>
  <c r="BD305" i="36"/>
  <c r="E306" i="36" a="1"/>
  <c r="E306" i="36" s="1"/>
  <c r="BB306" i="36"/>
  <c r="BC306" i="36"/>
  <c r="BD306" i="36"/>
  <c r="E307" i="36" a="1"/>
  <c r="E307" i="36" s="1"/>
  <c r="BB307" i="36"/>
  <c r="BC307" i="36"/>
  <c r="BD307" i="36"/>
  <c r="E308" i="36" a="1"/>
  <c r="E308" i="36" s="1"/>
  <c r="BB308" i="36"/>
  <c r="BC308" i="36"/>
  <c r="BD308" i="36"/>
  <c r="E309" i="36" a="1"/>
  <c r="E309" i="36" s="1"/>
  <c r="BB309" i="36"/>
  <c r="BC309" i="36"/>
  <c r="BD309" i="36"/>
  <c r="E310" i="36" a="1"/>
  <c r="E310" i="36"/>
  <c r="BB310" i="36"/>
  <c r="BC310" i="36"/>
  <c r="BD310" i="36"/>
  <c r="E311" i="36" a="1"/>
  <c r="E311" i="36" s="1"/>
  <c r="BB311" i="36"/>
  <c r="BC311" i="36"/>
  <c r="BD311" i="36"/>
  <c r="E312" i="36" a="1"/>
  <c r="E312" i="36" s="1"/>
  <c r="BB312" i="36"/>
  <c r="BC312" i="36"/>
  <c r="BD312" i="36"/>
  <c r="E313" i="36" a="1"/>
  <c r="E313" i="36" s="1"/>
  <c r="BB313" i="36"/>
  <c r="BC313" i="36"/>
  <c r="BD313" i="36"/>
  <c r="E314" i="36" a="1"/>
  <c r="E314" i="36" s="1"/>
  <c r="BB314" i="36"/>
  <c r="BC314" i="36"/>
  <c r="BD314" i="36"/>
  <c r="E315" i="36" a="1"/>
  <c r="E315" i="36" s="1"/>
  <c r="BB315" i="36"/>
  <c r="BC315" i="36"/>
  <c r="BD315" i="36"/>
  <c r="E316" i="36" a="1"/>
  <c r="E316" i="36" s="1"/>
  <c r="BB316" i="36"/>
  <c r="BC316" i="36"/>
  <c r="BD316" i="36"/>
  <c r="E317" i="36" a="1"/>
  <c r="E317" i="36" s="1"/>
  <c r="BB317" i="36"/>
  <c r="BC317" i="36"/>
  <c r="BD317" i="36"/>
  <c r="E318" i="36" a="1"/>
  <c r="E318" i="36" s="1"/>
  <c r="BB318" i="36"/>
  <c r="BC318" i="36"/>
  <c r="BD318" i="36"/>
  <c r="E319" i="36" a="1"/>
  <c r="E319" i="36" s="1"/>
  <c r="BB319" i="36"/>
  <c r="BC319" i="36"/>
  <c r="BD319" i="36"/>
  <c r="E320" i="36" a="1"/>
  <c r="E320" i="36" s="1"/>
  <c r="BB320" i="36"/>
  <c r="BC320" i="36"/>
  <c r="BD320" i="36"/>
  <c r="E321" i="36" a="1"/>
  <c r="E321" i="36" s="1"/>
  <c r="BB321" i="36"/>
  <c r="BC321" i="36"/>
  <c r="BD321" i="36"/>
  <c r="E322" i="36" a="1"/>
  <c r="E322" i="36" s="1"/>
  <c r="BB322" i="36"/>
  <c r="BC322" i="36"/>
  <c r="BD322" i="36"/>
  <c r="E323" i="36" a="1"/>
  <c r="E323" i="36" s="1"/>
  <c r="BB323" i="36"/>
  <c r="BC323" i="36"/>
  <c r="BD323" i="36"/>
  <c r="E324" i="36" a="1"/>
  <c r="E324" i="36" s="1"/>
  <c r="BB324" i="36"/>
  <c r="BC324" i="36"/>
  <c r="BD324" i="36"/>
  <c r="E325" i="36" a="1"/>
  <c r="E325" i="36" s="1"/>
  <c r="BB325" i="36"/>
  <c r="BC325" i="36"/>
  <c r="BD325" i="36"/>
  <c r="E326" i="36" a="1"/>
  <c r="E326" i="36" s="1"/>
  <c r="BB326" i="36"/>
  <c r="BC326" i="36"/>
  <c r="BD326" i="36"/>
  <c r="E327" i="36" a="1"/>
  <c r="E327" i="36" s="1"/>
  <c r="BB327" i="36"/>
  <c r="BC327" i="36"/>
  <c r="BD327" i="36"/>
  <c r="E328" i="36" a="1"/>
  <c r="E328" i="36" s="1"/>
  <c r="BB328" i="36"/>
  <c r="BC328" i="36"/>
  <c r="BD328" i="36"/>
  <c r="E329" i="36" a="1"/>
  <c r="E329" i="36" s="1"/>
  <c r="BB329" i="36"/>
  <c r="BC329" i="36"/>
  <c r="BD329" i="36"/>
  <c r="E330" i="36" a="1"/>
  <c r="E330" i="36" s="1"/>
  <c r="BB330" i="36"/>
  <c r="BC330" i="36"/>
  <c r="BD330" i="36"/>
  <c r="E331" i="36" a="1"/>
  <c r="E331" i="36" s="1"/>
  <c r="BB331" i="36"/>
  <c r="BC331" i="36"/>
  <c r="BD331" i="36"/>
  <c r="E332" i="36" a="1"/>
  <c r="E332" i="36" s="1"/>
  <c r="BB332" i="36"/>
  <c r="BC332" i="36"/>
  <c r="BD332" i="36"/>
  <c r="E333" i="36" a="1"/>
  <c r="E333" i="36" s="1"/>
  <c r="BB333" i="36"/>
  <c r="BC333" i="36"/>
  <c r="BD333" i="36"/>
  <c r="E334" i="36" a="1"/>
  <c r="E334" i="36" s="1"/>
  <c r="BB334" i="36"/>
  <c r="BC334" i="36"/>
  <c r="BD334" i="36"/>
  <c r="E335" i="36" a="1"/>
  <c r="E335" i="36" s="1"/>
  <c r="BB335" i="36"/>
  <c r="BC335" i="36"/>
  <c r="BD335" i="36"/>
  <c r="E336" i="36" a="1"/>
  <c r="E336" i="36" s="1"/>
  <c r="BB336" i="36"/>
  <c r="BC336" i="36"/>
  <c r="BD336" i="36"/>
  <c r="E337" i="36" a="1"/>
  <c r="E337" i="36" s="1"/>
  <c r="BB337" i="36"/>
  <c r="BC337" i="36"/>
  <c r="BD337" i="36"/>
  <c r="E338" i="36" a="1"/>
  <c r="E338" i="36"/>
  <c r="BB338" i="36"/>
  <c r="BC338" i="36"/>
  <c r="BD338" i="36"/>
  <c r="E339" i="36" a="1"/>
  <c r="E339" i="36" s="1"/>
  <c r="BB339" i="36"/>
  <c r="BC339" i="36"/>
  <c r="BD339" i="36"/>
  <c r="E340" i="36" a="1"/>
  <c r="E340" i="36"/>
  <c r="BB340" i="36"/>
  <c r="BC340" i="36"/>
  <c r="BD340" i="36"/>
  <c r="E341" i="36" a="1"/>
  <c r="E341" i="36" s="1"/>
  <c r="BB341" i="36"/>
  <c r="BC341" i="36"/>
  <c r="BD341" i="36"/>
  <c r="E342" i="36" a="1"/>
  <c r="E342" i="36" s="1"/>
  <c r="BB342" i="36"/>
  <c r="BC342" i="36"/>
  <c r="BD342" i="36"/>
  <c r="E343" i="36" a="1"/>
  <c r="E343" i="36" s="1"/>
  <c r="BB343" i="36"/>
  <c r="BC343" i="36"/>
  <c r="BD343" i="36"/>
  <c r="E344" i="36" a="1"/>
  <c r="E344" i="36" s="1"/>
  <c r="BB344" i="36"/>
  <c r="BC344" i="36"/>
  <c r="BD344" i="36"/>
  <c r="E345" i="36" a="1"/>
  <c r="E345" i="36" s="1"/>
  <c r="BB345" i="36"/>
  <c r="BC345" i="36"/>
  <c r="BD345" i="36"/>
  <c r="E346" i="36" a="1"/>
  <c r="E346" i="36" s="1"/>
  <c r="BB346" i="36"/>
  <c r="BC346" i="36"/>
  <c r="BD346" i="36"/>
  <c r="E347" i="36" a="1"/>
  <c r="E347" i="36" s="1"/>
  <c r="BB347" i="36"/>
  <c r="BC347" i="36"/>
  <c r="BD347" i="36"/>
  <c r="E348" i="36" a="1"/>
  <c r="E348" i="36" s="1"/>
  <c r="BB348" i="36"/>
  <c r="BC348" i="36"/>
  <c r="BD348" i="36"/>
  <c r="E349" i="36" a="1"/>
  <c r="E349" i="36" s="1"/>
  <c r="BB349" i="36"/>
  <c r="BC349" i="36"/>
  <c r="BD349" i="36"/>
  <c r="E350" i="36" a="1"/>
  <c r="E350" i="36"/>
  <c r="BB350" i="36"/>
  <c r="BC350" i="36"/>
  <c r="BD350" i="36"/>
  <c r="E351" i="36" a="1"/>
  <c r="E351" i="36" s="1"/>
  <c r="BB351" i="36"/>
  <c r="BC351" i="36"/>
  <c r="BD351" i="36"/>
  <c r="E352" i="36" a="1"/>
  <c r="E352" i="36" s="1"/>
  <c r="BB352" i="36"/>
  <c r="BC352" i="36"/>
  <c r="BD352" i="36"/>
  <c r="E353" i="36" a="1"/>
  <c r="E353" i="36" s="1"/>
  <c r="BB353" i="36"/>
  <c r="BC353" i="36"/>
  <c r="BD353" i="36"/>
  <c r="E354" i="36" a="1"/>
  <c r="E354" i="36" s="1"/>
  <c r="BB354" i="36"/>
  <c r="BC354" i="36"/>
  <c r="BD354" i="36"/>
  <c r="E355" i="36" a="1"/>
  <c r="E355" i="36" s="1"/>
  <c r="BB355" i="36"/>
  <c r="BC355" i="36"/>
  <c r="BD355" i="36"/>
  <c r="E356" i="36" a="1"/>
  <c r="E356" i="36" s="1"/>
  <c r="BB356" i="36"/>
  <c r="BC356" i="36"/>
  <c r="BD356" i="36"/>
  <c r="E357" i="36" a="1"/>
  <c r="E357" i="36" s="1"/>
  <c r="BB357" i="36"/>
  <c r="BC357" i="36"/>
  <c r="BD357" i="36"/>
  <c r="E358" i="36" a="1"/>
  <c r="E358" i="36" s="1"/>
  <c r="BB358" i="36"/>
  <c r="BC358" i="36"/>
  <c r="BD358" i="36"/>
  <c r="E359" i="36" a="1"/>
  <c r="E359" i="36" s="1"/>
  <c r="BB359" i="36"/>
  <c r="BC359" i="36"/>
  <c r="BD359" i="36"/>
  <c r="E360" i="36" a="1"/>
  <c r="E360" i="36" s="1"/>
  <c r="BB360" i="36"/>
  <c r="BC360" i="36"/>
  <c r="BD360" i="36"/>
  <c r="E361" i="36" a="1"/>
  <c r="E361" i="36" s="1"/>
  <c r="BB361" i="36"/>
  <c r="BC361" i="36"/>
  <c r="BD361" i="36"/>
  <c r="E362" i="36" a="1"/>
  <c r="E362" i="36"/>
  <c r="BB362" i="36"/>
  <c r="BC362" i="36"/>
  <c r="BD362" i="36"/>
  <c r="E363" i="36" a="1"/>
  <c r="E363" i="36" s="1"/>
  <c r="BB363" i="36"/>
  <c r="BC363" i="36"/>
  <c r="BD363" i="36"/>
  <c r="E364" i="36" a="1"/>
  <c r="E364" i="36"/>
  <c r="BB364" i="36"/>
  <c r="BC364" i="36"/>
  <c r="BD364" i="36"/>
  <c r="E365" i="36" a="1"/>
  <c r="E365" i="36" s="1"/>
  <c r="BB365" i="36"/>
  <c r="BC365" i="36"/>
  <c r="BD365" i="36"/>
  <c r="E366" i="36" a="1"/>
  <c r="E366" i="36"/>
  <c r="BB366" i="36"/>
  <c r="BC366" i="36"/>
  <c r="BD366" i="36"/>
  <c r="E367" i="36" a="1"/>
  <c r="E367" i="36" s="1"/>
  <c r="BB367" i="36"/>
  <c r="BC367" i="36"/>
  <c r="BD367" i="36"/>
  <c r="E368" i="36" a="1"/>
  <c r="E368" i="36" s="1"/>
  <c r="BB368" i="36"/>
  <c r="BC368" i="36"/>
  <c r="BD368" i="36"/>
  <c r="E369" i="36" a="1"/>
  <c r="E369" i="36" s="1"/>
  <c r="BB369" i="36"/>
  <c r="BC369" i="36"/>
  <c r="BD369" i="36"/>
  <c r="E370" i="36" a="1"/>
  <c r="E370" i="36" s="1"/>
  <c r="BB370" i="36"/>
  <c r="BC370" i="36"/>
  <c r="BD370" i="36"/>
  <c r="E371" i="36" a="1"/>
  <c r="E371" i="36" s="1"/>
  <c r="BB371" i="36"/>
  <c r="BC371" i="36"/>
  <c r="BD371" i="36"/>
  <c r="E372" i="36" a="1"/>
  <c r="E372" i="36" s="1"/>
  <c r="BB372" i="36"/>
  <c r="BC372" i="36"/>
  <c r="BD372" i="36"/>
  <c r="E373" i="36" a="1"/>
  <c r="E373" i="36" s="1"/>
  <c r="BB373" i="36"/>
  <c r="BC373" i="36"/>
  <c r="BD373" i="36"/>
  <c r="E374" i="36" a="1"/>
  <c r="E374" i="36" s="1"/>
  <c r="BB374" i="36"/>
  <c r="BC374" i="36"/>
  <c r="BD374" i="36"/>
  <c r="E375" i="36" a="1"/>
  <c r="E375" i="36" s="1"/>
  <c r="BB375" i="36"/>
  <c r="BC375" i="36"/>
  <c r="BD375" i="36"/>
  <c r="E376" i="36" a="1"/>
  <c r="E376" i="36" s="1"/>
  <c r="BB376" i="36"/>
  <c r="BC376" i="36"/>
  <c r="BD376" i="36"/>
  <c r="E377" i="36" a="1"/>
  <c r="E377" i="36" s="1"/>
  <c r="BB377" i="36"/>
  <c r="BC377" i="36"/>
  <c r="BD377" i="36"/>
  <c r="E378" i="36" a="1"/>
  <c r="E378" i="36" s="1"/>
  <c r="BB378" i="36"/>
  <c r="BC378" i="36"/>
  <c r="BD378" i="36"/>
  <c r="E379" i="36" a="1"/>
  <c r="E379" i="36" s="1"/>
  <c r="BB379" i="36"/>
  <c r="BC379" i="36"/>
  <c r="BD379" i="36"/>
  <c r="E380" i="36" a="1"/>
  <c r="E380" i="36"/>
  <c r="BB380" i="36"/>
  <c r="BC380" i="36"/>
  <c r="BD380" i="36"/>
  <c r="E381" i="36" a="1"/>
  <c r="E381" i="36" s="1"/>
  <c r="BB381" i="36"/>
  <c r="BC381" i="36"/>
  <c r="BD381" i="36"/>
  <c r="E382" i="36" a="1"/>
  <c r="E382" i="36"/>
  <c r="BB382" i="36"/>
  <c r="BC382" i="36"/>
  <c r="BD382" i="36"/>
  <c r="E383" i="36" a="1"/>
  <c r="E383" i="36" s="1"/>
  <c r="BB383" i="36"/>
  <c r="BC383" i="36"/>
  <c r="BD383" i="36"/>
  <c r="E384" i="36" a="1"/>
  <c r="E384" i="36" s="1"/>
  <c r="BB384" i="36"/>
  <c r="BC384" i="36"/>
  <c r="BD384" i="36"/>
  <c r="E385" i="36" a="1"/>
  <c r="E385" i="36" s="1"/>
  <c r="BB385" i="36"/>
  <c r="BC385" i="36"/>
  <c r="BD385" i="36"/>
  <c r="E386" i="36" a="1"/>
  <c r="E386" i="36" s="1"/>
  <c r="BB386" i="36"/>
  <c r="BC386" i="36"/>
  <c r="BD386" i="36"/>
  <c r="E387" i="36" a="1"/>
  <c r="E387" i="36" s="1"/>
  <c r="BB387" i="36"/>
  <c r="BC387" i="36"/>
  <c r="BD387" i="36"/>
  <c r="E388" i="36" a="1"/>
  <c r="E388" i="36"/>
  <c r="BB388" i="36"/>
  <c r="BC388" i="36"/>
  <c r="BD388" i="36"/>
  <c r="E389" i="36" a="1"/>
  <c r="E389" i="36"/>
  <c r="BB389" i="36"/>
  <c r="BC389" i="36"/>
  <c r="BD389" i="36"/>
  <c r="E390" i="36" a="1"/>
  <c r="E390" i="36" s="1"/>
  <c r="BB390" i="36"/>
  <c r="BC390" i="36"/>
  <c r="BD390" i="36"/>
  <c r="E391" i="36" a="1"/>
  <c r="E391" i="36" s="1"/>
  <c r="BB391" i="36"/>
  <c r="BC391" i="36"/>
  <c r="BD391" i="36"/>
  <c r="E392" i="36" a="1"/>
  <c r="E392" i="36" s="1"/>
  <c r="BB392" i="36"/>
  <c r="BC392" i="36"/>
  <c r="BD392" i="36"/>
  <c r="E393" i="36" a="1"/>
  <c r="E393" i="36" s="1"/>
  <c r="BB393" i="36"/>
  <c r="BC393" i="36"/>
  <c r="BD393" i="36"/>
  <c r="E394" i="36" a="1"/>
  <c r="E394" i="36" s="1"/>
  <c r="BB394" i="36"/>
  <c r="BC394" i="36"/>
  <c r="BD394" i="36"/>
  <c r="E395" i="36" a="1"/>
  <c r="E395" i="36" s="1"/>
  <c r="BB395" i="36"/>
  <c r="BC395" i="36"/>
  <c r="BD395" i="36"/>
  <c r="E396" i="36" a="1"/>
  <c r="E396" i="36"/>
  <c r="BB396" i="36"/>
  <c r="BC396" i="36"/>
  <c r="BD396" i="36"/>
  <c r="E397" i="36" a="1"/>
  <c r="E397" i="36" s="1"/>
  <c r="BB397" i="36"/>
  <c r="BC397" i="36"/>
  <c r="BD397" i="36"/>
  <c r="E398" i="36" a="1"/>
  <c r="E398" i="36" s="1"/>
  <c r="BB398" i="36"/>
  <c r="BC398" i="36"/>
  <c r="BD398" i="36"/>
  <c r="E399" i="36" a="1"/>
  <c r="E399" i="36" s="1"/>
  <c r="BB399" i="36"/>
  <c r="BC399" i="36"/>
  <c r="BD399" i="36"/>
  <c r="E400" i="36" a="1"/>
  <c r="E400" i="36" s="1"/>
  <c r="BB400" i="36"/>
  <c r="BC400" i="36"/>
  <c r="BD400" i="36"/>
  <c r="E401" i="36" a="1"/>
  <c r="E401" i="36" s="1"/>
  <c r="BB401" i="36"/>
  <c r="BC401" i="36"/>
  <c r="BD401" i="36"/>
  <c r="E402" i="36" a="1"/>
  <c r="E402" i="36" s="1"/>
  <c r="BB402" i="36"/>
  <c r="BC402" i="36"/>
  <c r="BD402" i="36"/>
  <c r="E403" i="36" a="1"/>
  <c r="E403" i="36" s="1"/>
  <c r="BB403" i="36"/>
  <c r="BC403" i="36"/>
  <c r="BD403" i="36"/>
  <c r="E404" i="36" a="1"/>
  <c r="E404" i="36" s="1"/>
  <c r="BB404" i="36"/>
  <c r="BC404" i="36"/>
  <c r="BD404" i="36"/>
  <c r="E405" i="36" a="1"/>
  <c r="E405" i="36"/>
  <c r="BB405" i="36"/>
  <c r="BC405" i="36"/>
  <c r="BD405" i="36"/>
  <c r="E406" i="36" a="1"/>
  <c r="E406" i="36"/>
  <c r="BB406" i="36"/>
  <c r="BC406" i="36"/>
  <c r="BD406" i="36"/>
  <c r="E407" i="36" a="1"/>
  <c r="E407" i="36" s="1"/>
  <c r="BB407" i="36"/>
  <c r="BC407" i="36"/>
  <c r="BD407" i="36"/>
  <c r="E408" i="36" a="1"/>
  <c r="E408" i="36" s="1"/>
  <c r="BB408" i="36"/>
  <c r="BC408" i="36"/>
  <c r="BD408" i="36"/>
  <c r="E409" i="36" a="1"/>
  <c r="E409" i="36" s="1"/>
  <c r="BB409" i="36"/>
  <c r="BC409" i="36"/>
  <c r="BD409" i="36"/>
  <c r="E410" i="36" a="1"/>
  <c r="E410" i="36" s="1"/>
  <c r="BB410" i="36"/>
  <c r="BC410" i="36"/>
  <c r="BD410" i="36"/>
  <c r="E411" i="36" a="1"/>
  <c r="E411" i="36" s="1"/>
  <c r="BB411" i="36"/>
  <c r="BC411" i="36"/>
  <c r="BD411" i="36"/>
  <c r="E412" i="36" a="1"/>
  <c r="E412" i="36" s="1"/>
  <c r="BB412" i="36"/>
  <c r="BC412" i="36"/>
  <c r="BD412" i="36"/>
  <c r="E413" i="36" a="1"/>
  <c r="E413" i="36"/>
  <c r="BB413" i="36"/>
  <c r="BC413" i="36"/>
  <c r="BD413" i="36"/>
  <c r="E414" i="36" a="1"/>
  <c r="E414" i="36"/>
  <c r="BB414" i="36"/>
  <c r="BC414" i="36"/>
  <c r="BD414" i="36"/>
  <c r="E415" i="36" a="1"/>
  <c r="E415" i="36" s="1"/>
  <c r="BB415" i="36"/>
  <c r="BC415" i="36"/>
  <c r="BD415" i="36"/>
  <c r="E416" i="36" a="1"/>
  <c r="E416" i="36" s="1"/>
  <c r="BB416" i="36"/>
  <c r="BC416" i="36"/>
  <c r="BD416" i="36"/>
  <c r="E417" i="36" a="1"/>
  <c r="E417" i="36" s="1"/>
  <c r="BB417" i="36"/>
  <c r="BC417" i="36"/>
  <c r="BD417" i="36"/>
  <c r="E418" i="36" a="1"/>
  <c r="E418" i="36" s="1"/>
  <c r="BB418" i="36"/>
  <c r="BC418" i="36"/>
  <c r="BD418" i="36"/>
  <c r="E419" i="36" a="1"/>
  <c r="E419" i="36" s="1"/>
  <c r="BB419" i="36"/>
  <c r="BC419" i="36"/>
  <c r="BD419" i="36"/>
  <c r="E420" i="36" a="1"/>
  <c r="E420" i="36"/>
  <c r="BB420" i="36"/>
  <c r="BC420" i="36"/>
  <c r="BD420" i="36"/>
  <c r="E421" i="36" a="1"/>
  <c r="E421" i="36" s="1"/>
  <c r="BB421" i="36"/>
  <c r="BC421" i="36"/>
  <c r="BD421" i="36"/>
  <c r="E422" i="36" a="1"/>
  <c r="E422" i="36"/>
  <c r="BB422" i="36"/>
  <c r="BC422" i="36"/>
  <c r="BD422" i="36"/>
  <c r="E423" i="36" a="1"/>
  <c r="E423" i="36" s="1"/>
  <c r="BB423" i="36"/>
  <c r="BC423" i="36"/>
  <c r="BD423" i="36"/>
  <c r="E424" i="36" a="1"/>
  <c r="E424" i="36" s="1"/>
  <c r="BB424" i="36"/>
  <c r="BC424" i="36"/>
  <c r="BD424" i="36"/>
  <c r="E425" i="36" a="1"/>
  <c r="E425" i="36" s="1"/>
  <c r="BB425" i="36"/>
  <c r="BC425" i="36"/>
  <c r="BD425" i="36"/>
  <c r="E426" i="36" a="1"/>
  <c r="E426" i="36"/>
  <c r="BB426" i="36"/>
  <c r="BC426" i="36"/>
  <c r="BD426" i="36"/>
  <c r="E427" i="36" a="1"/>
  <c r="E427" i="36" s="1"/>
  <c r="BB427" i="36"/>
  <c r="BC427" i="36"/>
  <c r="BD427" i="36"/>
  <c r="E428" i="36" a="1"/>
  <c r="E428" i="36" s="1"/>
  <c r="BB428" i="36"/>
  <c r="BC428" i="36"/>
  <c r="BD428" i="36"/>
  <c r="E429" i="36" a="1"/>
  <c r="E429" i="36" s="1"/>
  <c r="BB429" i="36"/>
  <c r="BC429" i="36"/>
  <c r="BD429" i="36"/>
  <c r="E430" i="36" a="1"/>
  <c r="E430" i="36"/>
  <c r="BB430" i="36"/>
  <c r="BC430" i="36"/>
  <c r="BD430" i="36"/>
  <c r="E431" i="36" a="1"/>
  <c r="E431" i="36" s="1"/>
  <c r="BB431" i="36"/>
  <c r="BC431" i="36"/>
  <c r="BD431" i="36"/>
  <c r="E432" i="36" a="1"/>
  <c r="E432" i="36" s="1"/>
  <c r="BB432" i="36"/>
  <c r="BC432" i="36"/>
  <c r="BD432" i="36"/>
  <c r="E433" i="36" a="1"/>
  <c r="E433" i="36"/>
  <c r="BB433" i="36"/>
  <c r="BC433" i="36"/>
  <c r="BD433" i="36"/>
  <c r="E434" i="36" a="1"/>
  <c r="E434" i="36" s="1"/>
  <c r="BB434" i="36"/>
  <c r="BC434" i="36"/>
  <c r="BD434" i="36"/>
  <c r="E435" i="36" a="1"/>
  <c r="E435" i="36" s="1"/>
  <c r="BB435" i="36"/>
  <c r="BC435" i="36"/>
  <c r="BD435" i="36"/>
  <c r="E436" i="36" a="1"/>
  <c r="E436" i="36" s="1"/>
  <c r="BB436" i="36"/>
  <c r="BC436" i="36"/>
  <c r="BD436" i="36"/>
  <c r="E437" i="36" a="1"/>
  <c r="E437" i="36" s="1"/>
  <c r="BB437" i="36"/>
  <c r="BC437" i="36"/>
  <c r="BD437" i="36"/>
  <c r="E438" i="36" a="1"/>
  <c r="E438" i="36" s="1"/>
  <c r="BB438" i="36"/>
  <c r="BC438" i="36"/>
  <c r="BD438" i="36"/>
  <c r="E439" i="36" a="1"/>
  <c r="E439" i="36" s="1"/>
  <c r="BB439" i="36"/>
  <c r="BC439" i="36"/>
  <c r="BD439" i="36"/>
  <c r="E440" i="36" a="1"/>
  <c r="E440" i="36"/>
  <c r="BB440" i="36"/>
  <c r="BC440" i="36"/>
  <c r="BD440" i="36"/>
  <c r="E441" i="36" a="1"/>
  <c r="E441" i="36" s="1"/>
  <c r="BB441" i="36"/>
  <c r="BC441" i="36"/>
  <c r="BD441" i="36"/>
  <c r="E442" i="36" a="1"/>
  <c r="E442" i="36" s="1"/>
  <c r="BB442" i="36"/>
  <c r="BC442" i="36"/>
  <c r="BD442" i="36"/>
  <c r="E443" i="36" a="1"/>
  <c r="E443" i="36" s="1"/>
  <c r="BB443" i="36"/>
  <c r="BC443" i="36"/>
  <c r="BD443" i="36"/>
  <c r="E444" i="36" a="1"/>
  <c r="E444" i="36"/>
  <c r="BB444" i="36"/>
  <c r="BC444" i="36"/>
  <c r="BD444" i="36"/>
  <c r="E445" i="36" a="1"/>
  <c r="E445" i="36"/>
  <c r="BB445" i="36"/>
  <c r="BC445" i="36"/>
  <c r="BD445" i="36"/>
  <c r="E446" i="36" a="1"/>
  <c r="E446" i="36" s="1"/>
  <c r="BB446" i="36"/>
  <c r="BC446" i="36"/>
  <c r="BD446" i="36"/>
  <c r="E447" i="36" a="1"/>
  <c r="E447" i="36" s="1"/>
  <c r="BB447" i="36"/>
  <c r="BC447" i="36"/>
  <c r="BD447" i="36"/>
  <c r="E448" i="36" a="1"/>
  <c r="E448" i="36" s="1"/>
  <c r="BB448" i="36"/>
  <c r="BC448" i="36"/>
  <c r="BD448" i="36"/>
  <c r="E449" i="36" a="1"/>
  <c r="E449" i="36" s="1"/>
  <c r="BB449" i="36"/>
  <c r="BC449" i="36"/>
  <c r="BD449" i="36"/>
  <c r="E450" i="36" a="1"/>
  <c r="E450" i="36" s="1"/>
  <c r="BB450" i="36"/>
  <c r="BC450" i="36"/>
  <c r="BD450" i="36"/>
  <c r="E451" i="36" a="1"/>
  <c r="E451" i="36"/>
  <c r="BB451" i="36"/>
  <c r="BC451" i="36"/>
  <c r="BD451" i="36"/>
  <c r="E452" i="36" a="1"/>
  <c r="E452" i="36" s="1"/>
  <c r="BB452" i="36"/>
  <c r="BC452" i="36"/>
  <c r="BD452" i="36"/>
  <c r="E453" i="36" a="1"/>
  <c r="E453" i="36" s="1"/>
  <c r="BB453" i="36"/>
  <c r="BC453" i="36"/>
  <c r="BD453" i="36"/>
  <c r="E454" i="36" a="1"/>
  <c r="E454" i="36" s="1"/>
  <c r="BB454" i="36"/>
  <c r="BC454" i="36"/>
  <c r="BD454" i="36"/>
  <c r="E205" i="35" a="1"/>
  <c r="E205" i="35"/>
  <c r="BB205" i="35"/>
  <c r="BC205" i="35"/>
  <c r="BD205" i="35"/>
  <c r="E206" i="35" a="1"/>
  <c r="E206" i="35" s="1"/>
  <c r="BB206" i="35"/>
  <c r="BC206" i="35"/>
  <c r="BD206" i="35"/>
  <c r="E207" i="35" a="1"/>
  <c r="E207" i="35" s="1"/>
  <c r="BB207" i="35"/>
  <c r="BC207" i="35"/>
  <c r="BD207" i="35"/>
  <c r="E208" i="35" a="1"/>
  <c r="E208" i="35" s="1"/>
  <c r="BB208" i="35"/>
  <c r="BC208" i="35"/>
  <c r="BD208" i="35"/>
  <c r="E209" i="35" a="1"/>
  <c r="E209" i="35" s="1"/>
  <c r="BB209" i="35"/>
  <c r="BC209" i="35"/>
  <c r="BD209" i="35"/>
  <c r="E210" i="35" a="1"/>
  <c r="E210" i="35" s="1"/>
  <c r="BB210" i="35"/>
  <c r="BC210" i="35"/>
  <c r="BD210" i="35"/>
  <c r="E211" i="35" a="1"/>
  <c r="E211" i="35" s="1"/>
  <c r="BB211" i="35"/>
  <c r="BC211" i="35"/>
  <c r="BD211" i="35"/>
  <c r="E212" i="35" a="1"/>
  <c r="E212" i="35" s="1"/>
  <c r="BB212" i="35"/>
  <c r="BC212" i="35"/>
  <c r="BD212" i="35"/>
  <c r="E213" i="35" a="1"/>
  <c r="E213" i="35" s="1"/>
  <c r="BB213" i="35"/>
  <c r="BC213" i="35"/>
  <c r="BD213" i="35"/>
  <c r="E214" i="35" a="1"/>
  <c r="E214" i="35" s="1"/>
  <c r="BB214" i="35"/>
  <c r="BC214" i="35"/>
  <c r="BD214" i="35"/>
  <c r="E215" i="35" a="1"/>
  <c r="E215" i="35" s="1"/>
  <c r="BB215" i="35"/>
  <c r="BC215" i="35"/>
  <c r="BD215" i="35"/>
  <c r="E216" i="35" a="1"/>
  <c r="E216" i="35" s="1"/>
  <c r="BB216" i="35"/>
  <c r="BC216" i="35"/>
  <c r="BD216" i="35"/>
  <c r="E217" i="35" a="1"/>
  <c r="E217" i="35" s="1"/>
  <c r="BB217" i="35"/>
  <c r="BC217" i="35"/>
  <c r="BD217" i="35"/>
  <c r="E218" i="35" a="1"/>
  <c r="E218" i="35" s="1"/>
  <c r="BB218" i="35"/>
  <c r="BC218" i="35"/>
  <c r="BD218" i="35"/>
  <c r="E219" i="35" a="1"/>
  <c r="E219" i="35" s="1"/>
  <c r="BB219" i="35"/>
  <c r="BC219" i="35"/>
  <c r="BD219" i="35"/>
  <c r="E220" i="35" a="1"/>
  <c r="E220" i="35" s="1"/>
  <c r="BB220" i="35"/>
  <c r="BC220" i="35"/>
  <c r="BD220" i="35"/>
  <c r="E221" i="35" a="1"/>
  <c r="E221" i="35" s="1"/>
  <c r="BB221" i="35"/>
  <c r="BC221" i="35"/>
  <c r="BD221" i="35"/>
  <c r="E222" i="35" a="1"/>
  <c r="E222" i="35" s="1"/>
  <c r="BB222" i="35"/>
  <c r="BC222" i="35"/>
  <c r="BD222" i="35"/>
  <c r="E223" i="35" a="1"/>
  <c r="E223" i="35" s="1"/>
  <c r="BB223" i="35"/>
  <c r="BC223" i="35"/>
  <c r="BD223" i="35"/>
  <c r="E224" i="35" a="1"/>
  <c r="E224" i="35" s="1"/>
  <c r="BB224" i="35"/>
  <c r="BC224" i="35"/>
  <c r="BD224" i="35"/>
  <c r="E225" i="35" a="1"/>
  <c r="E225" i="35"/>
  <c r="BB225" i="35"/>
  <c r="BC225" i="35"/>
  <c r="BD225" i="35"/>
  <c r="E226" i="35" a="1"/>
  <c r="E226" i="35" s="1"/>
  <c r="BB226" i="35"/>
  <c r="BC226" i="35"/>
  <c r="BD226" i="35"/>
  <c r="E227" i="35" a="1"/>
  <c r="E227" i="35" s="1"/>
  <c r="BB227" i="35"/>
  <c r="BC227" i="35"/>
  <c r="BD227" i="35"/>
  <c r="E228" i="35" a="1"/>
  <c r="E228" i="35" s="1"/>
  <c r="BB228" i="35"/>
  <c r="BC228" i="35"/>
  <c r="BD228" i="35"/>
  <c r="E229" i="35" a="1"/>
  <c r="E229" i="35" s="1"/>
  <c r="BB229" i="35"/>
  <c r="BC229" i="35"/>
  <c r="BD229" i="35"/>
  <c r="E230" i="35" a="1"/>
  <c r="E230" i="35" s="1"/>
  <c r="BB230" i="35"/>
  <c r="BC230" i="35"/>
  <c r="BD230" i="35"/>
  <c r="E231" i="35" a="1"/>
  <c r="E231" i="35" s="1"/>
  <c r="BB231" i="35"/>
  <c r="BC231" i="35"/>
  <c r="BD231" i="35"/>
  <c r="E232" i="35" a="1"/>
  <c r="E232" i="35" s="1"/>
  <c r="BB232" i="35"/>
  <c r="BC232" i="35"/>
  <c r="BD232" i="35"/>
  <c r="E233" i="35" a="1"/>
  <c r="E233" i="35" s="1"/>
  <c r="BB233" i="35"/>
  <c r="BC233" i="35"/>
  <c r="BD233" i="35"/>
  <c r="E234" i="35" a="1"/>
  <c r="E234" i="35" s="1"/>
  <c r="BB234" i="35"/>
  <c r="BC234" i="35"/>
  <c r="BD234" i="35"/>
  <c r="E235" i="35" a="1"/>
  <c r="E235" i="35" s="1"/>
  <c r="BB235" i="35"/>
  <c r="BC235" i="35"/>
  <c r="BD235" i="35"/>
  <c r="E236" i="35" a="1"/>
  <c r="E236" i="35" s="1"/>
  <c r="BB236" i="35"/>
  <c r="BC236" i="35"/>
  <c r="BD236" i="35"/>
  <c r="E237" i="35" a="1"/>
  <c r="E237" i="35"/>
  <c r="BB237" i="35"/>
  <c r="BC237" i="35"/>
  <c r="BD237" i="35"/>
  <c r="E238" i="35" a="1"/>
  <c r="E238" i="35" s="1"/>
  <c r="BB238" i="35"/>
  <c r="BC238" i="35"/>
  <c r="BD238" i="35"/>
  <c r="E239" i="35" a="1"/>
  <c r="E239" i="35" s="1"/>
  <c r="BB239" i="35"/>
  <c r="BC239" i="35"/>
  <c r="BD239" i="35"/>
  <c r="E240" i="35" a="1"/>
  <c r="E240" i="35" s="1"/>
  <c r="BB240" i="35"/>
  <c r="BC240" i="35"/>
  <c r="BD240" i="35"/>
  <c r="E241" i="35" a="1"/>
  <c r="E241" i="35" s="1"/>
  <c r="BB241" i="35"/>
  <c r="BC241" i="35"/>
  <c r="BD241" i="35"/>
  <c r="E242" i="35" a="1"/>
  <c r="E242" i="35" s="1"/>
  <c r="BB242" i="35"/>
  <c r="BC242" i="35"/>
  <c r="BD242" i="35"/>
  <c r="E243" i="35" a="1"/>
  <c r="E243" i="35" s="1"/>
  <c r="BB243" i="35"/>
  <c r="BC243" i="35"/>
  <c r="BD243" i="35"/>
  <c r="E244" i="35" a="1"/>
  <c r="E244" i="35" s="1"/>
  <c r="BB244" i="35"/>
  <c r="BC244" i="35"/>
  <c r="BD244" i="35"/>
  <c r="E245" i="35" a="1"/>
  <c r="E245" i="35" s="1"/>
  <c r="BB245" i="35"/>
  <c r="BC245" i="35"/>
  <c r="BD245" i="35"/>
  <c r="E246" i="35" a="1"/>
  <c r="E246" i="35" s="1"/>
  <c r="BB246" i="35"/>
  <c r="BC246" i="35"/>
  <c r="BD246" i="35"/>
  <c r="E247" i="35" a="1"/>
  <c r="E247" i="35" s="1"/>
  <c r="BB247" i="35"/>
  <c r="BC247" i="35"/>
  <c r="BD247" i="35"/>
  <c r="E248" i="35" a="1"/>
  <c r="E248" i="35" s="1"/>
  <c r="BB248" i="35"/>
  <c r="BC248" i="35"/>
  <c r="BD248" i="35"/>
  <c r="E249" i="35" a="1"/>
  <c r="E249" i="35" s="1"/>
  <c r="BB249" i="35"/>
  <c r="BC249" i="35"/>
  <c r="BD249" i="35"/>
  <c r="E250" i="35" a="1"/>
  <c r="E250" i="35" s="1"/>
  <c r="BB250" i="35"/>
  <c r="BC250" i="35"/>
  <c r="BD250" i="35"/>
  <c r="E251" i="35" a="1"/>
  <c r="E251" i="35" s="1"/>
  <c r="BB251" i="35"/>
  <c r="BC251" i="35"/>
  <c r="BD251" i="35"/>
  <c r="E252" i="35" a="1"/>
  <c r="E252" i="35" s="1"/>
  <c r="BB252" i="35"/>
  <c r="BC252" i="35"/>
  <c r="BD252" i="35"/>
  <c r="E253" i="35" a="1"/>
  <c r="E253" i="35" s="1"/>
  <c r="BB253" i="35"/>
  <c r="BC253" i="35"/>
  <c r="BD253" i="35"/>
  <c r="E254" i="35" a="1"/>
  <c r="E254" i="35" s="1"/>
  <c r="BB254" i="35"/>
  <c r="BC254" i="35"/>
  <c r="BD254" i="35"/>
  <c r="E255" i="35" a="1"/>
  <c r="E255" i="35" s="1"/>
  <c r="BB255" i="35"/>
  <c r="BC255" i="35"/>
  <c r="BD255" i="35"/>
  <c r="E256" i="35" a="1"/>
  <c r="E256" i="35" s="1"/>
  <c r="BB256" i="35"/>
  <c r="BC256" i="35"/>
  <c r="BD256" i="35"/>
  <c r="E257" i="35" a="1"/>
  <c r="E257" i="35"/>
  <c r="BB257" i="35"/>
  <c r="BC257" i="35"/>
  <c r="BD257" i="35"/>
  <c r="E258" i="35" a="1"/>
  <c r="E258" i="35" s="1"/>
  <c r="BB258" i="35"/>
  <c r="BC258" i="35"/>
  <c r="BD258" i="35"/>
  <c r="E259" i="35" a="1"/>
  <c r="E259" i="35" s="1"/>
  <c r="BB259" i="35"/>
  <c r="BC259" i="35"/>
  <c r="BD259" i="35"/>
  <c r="E260" i="35" a="1"/>
  <c r="E260" i="35" s="1"/>
  <c r="BB260" i="35"/>
  <c r="BC260" i="35"/>
  <c r="BD260" i="35"/>
  <c r="E261" i="35" a="1"/>
  <c r="E261" i="35" s="1"/>
  <c r="BB261" i="35"/>
  <c r="BC261" i="35"/>
  <c r="BD261" i="35"/>
  <c r="E262" i="35" a="1"/>
  <c r="E262" i="35" s="1"/>
  <c r="BB262" i="35"/>
  <c r="BC262" i="35"/>
  <c r="BD262" i="35"/>
  <c r="E263" i="35" a="1"/>
  <c r="E263" i="35" s="1"/>
  <c r="BB263" i="35"/>
  <c r="BC263" i="35"/>
  <c r="BD263" i="35"/>
  <c r="E264" i="35" a="1"/>
  <c r="E264" i="35" s="1"/>
  <c r="BB264" i="35"/>
  <c r="BC264" i="35"/>
  <c r="BD264" i="35"/>
  <c r="E265" i="35" a="1"/>
  <c r="E265" i="35" s="1"/>
  <c r="BB265" i="35"/>
  <c r="BC265" i="35"/>
  <c r="BD265" i="35"/>
  <c r="E266" i="35" a="1"/>
  <c r="E266" i="35" s="1"/>
  <c r="BB266" i="35"/>
  <c r="BC266" i="35"/>
  <c r="BD266" i="35"/>
  <c r="E267" i="35" a="1"/>
  <c r="E267" i="35" s="1"/>
  <c r="BB267" i="35"/>
  <c r="BC267" i="35"/>
  <c r="BD267" i="35"/>
  <c r="E268" i="35" a="1"/>
  <c r="E268" i="35" s="1"/>
  <c r="BB268" i="35"/>
  <c r="BC268" i="35"/>
  <c r="BD268" i="35"/>
  <c r="E269" i="35" a="1"/>
  <c r="E269" i="35"/>
  <c r="BB269" i="35"/>
  <c r="BC269" i="35"/>
  <c r="BD269" i="35"/>
  <c r="E270" i="35" a="1"/>
  <c r="E270" i="35" s="1"/>
  <c r="BB270" i="35"/>
  <c r="BC270" i="35"/>
  <c r="BD270" i="35"/>
  <c r="E271" i="35" a="1"/>
  <c r="E271" i="35" s="1"/>
  <c r="BB271" i="35"/>
  <c r="BC271" i="35"/>
  <c r="BD271" i="35"/>
  <c r="E272" i="35" a="1"/>
  <c r="E272" i="35" s="1"/>
  <c r="BB272" i="35"/>
  <c r="BC272" i="35"/>
  <c r="BD272" i="35"/>
  <c r="E273" i="35" a="1"/>
  <c r="E273" i="35" s="1"/>
  <c r="BB273" i="35"/>
  <c r="BC273" i="35"/>
  <c r="BD273" i="35"/>
  <c r="E274" i="35" a="1"/>
  <c r="E274" i="35" s="1"/>
  <c r="BB274" i="35"/>
  <c r="BC274" i="35"/>
  <c r="BD274" i="35"/>
  <c r="E275" i="35" a="1"/>
  <c r="E275" i="35" s="1"/>
  <c r="BB275" i="35"/>
  <c r="BC275" i="35"/>
  <c r="BD275" i="35"/>
  <c r="E276" i="35" a="1"/>
  <c r="E276" i="35" s="1"/>
  <c r="BB276" i="35"/>
  <c r="BC276" i="35"/>
  <c r="BD276" i="35"/>
  <c r="E277" i="35" a="1"/>
  <c r="E277" i="35" s="1"/>
  <c r="BB277" i="35"/>
  <c r="BC277" i="35"/>
  <c r="BD277" i="35"/>
  <c r="E278" i="35" a="1"/>
  <c r="E278" i="35" s="1"/>
  <c r="BB278" i="35"/>
  <c r="BC278" i="35"/>
  <c r="BD278" i="35"/>
  <c r="E279" i="35" a="1"/>
  <c r="E279" i="35" s="1"/>
  <c r="BB279" i="35"/>
  <c r="BC279" i="35"/>
  <c r="BD279" i="35"/>
  <c r="E280" i="35" a="1"/>
  <c r="E280" i="35" s="1"/>
  <c r="BB280" i="35"/>
  <c r="BC280" i="35"/>
  <c r="BD280" i="35"/>
  <c r="E281" i="35" a="1"/>
  <c r="E281" i="35" s="1"/>
  <c r="BB281" i="35"/>
  <c r="BC281" i="35"/>
  <c r="BD281" i="35"/>
  <c r="E282" i="35" a="1"/>
  <c r="E282" i="35" s="1"/>
  <c r="BB282" i="35"/>
  <c r="BC282" i="35"/>
  <c r="BD282" i="35"/>
  <c r="E283" i="35" a="1"/>
  <c r="E283" i="35" s="1"/>
  <c r="BB283" i="35"/>
  <c r="BC283" i="35"/>
  <c r="BD283" i="35"/>
  <c r="E284" i="35" a="1"/>
  <c r="E284" i="35" s="1"/>
  <c r="BB284" i="35"/>
  <c r="BC284" i="35"/>
  <c r="BD284" i="35"/>
  <c r="E285" i="35" a="1"/>
  <c r="E285" i="35" s="1"/>
  <c r="BB285" i="35"/>
  <c r="BC285" i="35"/>
  <c r="BD285" i="35"/>
  <c r="E286" i="35" a="1"/>
  <c r="E286" i="35" s="1"/>
  <c r="BB286" i="35"/>
  <c r="BC286" i="35"/>
  <c r="BD286" i="35"/>
  <c r="E287" i="35" a="1"/>
  <c r="E287" i="35" s="1"/>
  <c r="BB287" i="35"/>
  <c r="BC287" i="35"/>
  <c r="BD287" i="35"/>
  <c r="E288" i="35" a="1"/>
  <c r="E288" i="35" s="1"/>
  <c r="BB288" i="35"/>
  <c r="BC288" i="35"/>
  <c r="BD288" i="35"/>
  <c r="E289" i="35" a="1"/>
  <c r="E289" i="35" s="1"/>
  <c r="BB289" i="35"/>
  <c r="BC289" i="35"/>
  <c r="BD289" i="35"/>
  <c r="E290" i="35" a="1"/>
  <c r="E290" i="35" s="1"/>
  <c r="BB290" i="35"/>
  <c r="BC290" i="35"/>
  <c r="BD290" i="35"/>
  <c r="E291" i="35" a="1"/>
  <c r="E291" i="35" s="1"/>
  <c r="BB291" i="35"/>
  <c r="BC291" i="35"/>
  <c r="BD291" i="35"/>
  <c r="E292" i="35" a="1"/>
  <c r="E292" i="35" s="1"/>
  <c r="BB292" i="35"/>
  <c r="BC292" i="35"/>
  <c r="BD292" i="35"/>
  <c r="E293" i="35" a="1"/>
  <c r="E293" i="35" s="1"/>
  <c r="BB293" i="35"/>
  <c r="BC293" i="35"/>
  <c r="BD293" i="35"/>
  <c r="E294" i="35" a="1"/>
  <c r="E294" i="35" s="1"/>
  <c r="BB294" i="35"/>
  <c r="BC294" i="35"/>
  <c r="BD294" i="35"/>
  <c r="E295" i="35" a="1"/>
  <c r="E295" i="35" s="1"/>
  <c r="BB295" i="35"/>
  <c r="BC295" i="35"/>
  <c r="BD295" i="35"/>
  <c r="E296" i="35" a="1"/>
  <c r="E296" i="35" s="1"/>
  <c r="BB296" i="35"/>
  <c r="BC296" i="35"/>
  <c r="BD296" i="35"/>
  <c r="E297" i="35" a="1"/>
  <c r="E297" i="35" s="1"/>
  <c r="BB297" i="35"/>
  <c r="BC297" i="35"/>
  <c r="BD297" i="35"/>
  <c r="E298" i="35" a="1"/>
  <c r="E298" i="35" s="1"/>
  <c r="BB298" i="35"/>
  <c r="BC298" i="35"/>
  <c r="BD298" i="35"/>
  <c r="E299" i="35" a="1"/>
  <c r="E299" i="35" s="1"/>
  <c r="BB299" i="35"/>
  <c r="BC299" i="35"/>
  <c r="BD299" i="35"/>
  <c r="E300" i="35" a="1"/>
  <c r="E300" i="35" s="1"/>
  <c r="BB300" i="35"/>
  <c r="BC300" i="35"/>
  <c r="BD300" i="35"/>
  <c r="E301" i="35" a="1"/>
  <c r="E301" i="35"/>
  <c r="BB301" i="35"/>
  <c r="BC301" i="35"/>
  <c r="BD301" i="35"/>
  <c r="E302" i="35" a="1"/>
  <c r="E302" i="35" s="1"/>
  <c r="BB302" i="35"/>
  <c r="BC302" i="35"/>
  <c r="BD302" i="35"/>
  <c r="E303" i="35" a="1"/>
  <c r="E303" i="35" s="1"/>
  <c r="BB303" i="35"/>
  <c r="BC303" i="35"/>
  <c r="BD303" i="35"/>
  <c r="E304" i="35" a="1"/>
  <c r="E304" i="35" s="1"/>
  <c r="BB304" i="35"/>
  <c r="BC304" i="35"/>
  <c r="BD304" i="35"/>
  <c r="E305" i="35" a="1"/>
  <c r="E305" i="35" s="1"/>
  <c r="BB305" i="35"/>
  <c r="BC305" i="35"/>
  <c r="BD305" i="35"/>
  <c r="E306" i="35" a="1"/>
  <c r="E306" i="35" s="1"/>
  <c r="BB306" i="35"/>
  <c r="BC306" i="35"/>
  <c r="BD306" i="35"/>
  <c r="E307" i="35" a="1"/>
  <c r="E307" i="35" s="1"/>
  <c r="BB307" i="35"/>
  <c r="BC307" i="35"/>
  <c r="BD307" i="35"/>
  <c r="E308" i="35" a="1"/>
  <c r="E308" i="35" s="1"/>
  <c r="BB308" i="35"/>
  <c r="BC308" i="35"/>
  <c r="BD308" i="35"/>
  <c r="E309" i="35" a="1"/>
  <c r="E309" i="35"/>
  <c r="BB309" i="35"/>
  <c r="BC309" i="35"/>
  <c r="BD309" i="35"/>
  <c r="E310" i="35" a="1"/>
  <c r="E310" i="35" s="1"/>
  <c r="BB310" i="35"/>
  <c r="BC310" i="35"/>
  <c r="BD310" i="35"/>
  <c r="E311" i="35" a="1"/>
  <c r="E311" i="35" s="1"/>
  <c r="BB311" i="35"/>
  <c r="BC311" i="35"/>
  <c r="BD311" i="35"/>
  <c r="E312" i="35" a="1"/>
  <c r="E312" i="35" s="1"/>
  <c r="BB312" i="35"/>
  <c r="BC312" i="35"/>
  <c r="BD312" i="35"/>
  <c r="E313" i="35" a="1"/>
  <c r="E313" i="35" s="1"/>
  <c r="BB313" i="35"/>
  <c r="BC313" i="35"/>
  <c r="BD313" i="35"/>
  <c r="E314" i="35" a="1"/>
  <c r="E314" i="35" s="1"/>
  <c r="BB314" i="35"/>
  <c r="BC314" i="35"/>
  <c r="BD314" i="35"/>
  <c r="E315" i="35" a="1"/>
  <c r="E315" i="35" s="1"/>
  <c r="BB315" i="35"/>
  <c r="BC315" i="35"/>
  <c r="BD315" i="35"/>
  <c r="E316" i="35" a="1"/>
  <c r="E316" i="35" s="1"/>
  <c r="BB316" i="35"/>
  <c r="BC316" i="35"/>
  <c r="BD316" i="35"/>
  <c r="E317" i="35" a="1"/>
  <c r="E317" i="35" s="1"/>
  <c r="BB317" i="35"/>
  <c r="BC317" i="35"/>
  <c r="BD317" i="35"/>
  <c r="E318" i="35" a="1"/>
  <c r="E318" i="35" s="1"/>
  <c r="BB318" i="35"/>
  <c r="BC318" i="35"/>
  <c r="BD318" i="35"/>
  <c r="E319" i="35" a="1"/>
  <c r="E319" i="35" s="1"/>
  <c r="BB319" i="35"/>
  <c r="BC319" i="35"/>
  <c r="BD319" i="35"/>
  <c r="E320" i="35" a="1"/>
  <c r="E320" i="35" s="1"/>
  <c r="BB320" i="35"/>
  <c r="BC320" i="35"/>
  <c r="BD320" i="35"/>
  <c r="E321" i="35" a="1"/>
  <c r="E321" i="35" s="1"/>
  <c r="BB321" i="35"/>
  <c r="BC321" i="35"/>
  <c r="BD321" i="35"/>
  <c r="E322" i="35" a="1"/>
  <c r="E322" i="35" s="1"/>
  <c r="BB322" i="35"/>
  <c r="BC322" i="35"/>
  <c r="BD322" i="35"/>
  <c r="E323" i="35" a="1"/>
  <c r="E323" i="35" s="1"/>
  <c r="BB323" i="35"/>
  <c r="BC323" i="35"/>
  <c r="BD323" i="35"/>
  <c r="E324" i="35" a="1"/>
  <c r="E324" i="35" s="1"/>
  <c r="BB324" i="35"/>
  <c r="BC324" i="35"/>
  <c r="BD324" i="35"/>
  <c r="E325" i="35" a="1"/>
  <c r="E325" i="35" s="1"/>
  <c r="BB325" i="35"/>
  <c r="BC325" i="35"/>
  <c r="BD325" i="35"/>
  <c r="E326" i="35" a="1"/>
  <c r="E326" i="35" s="1"/>
  <c r="BB326" i="35"/>
  <c r="BC326" i="35"/>
  <c r="BD326" i="35"/>
  <c r="E327" i="35" a="1"/>
  <c r="E327" i="35" s="1"/>
  <c r="BB327" i="35"/>
  <c r="BC327" i="35"/>
  <c r="BD327" i="35"/>
  <c r="E328" i="35" a="1"/>
  <c r="E328" i="35" s="1"/>
  <c r="BB328" i="35"/>
  <c r="BC328" i="35"/>
  <c r="BD328" i="35"/>
  <c r="E329" i="35" a="1"/>
  <c r="E329" i="35" s="1"/>
  <c r="BB329" i="35"/>
  <c r="BC329" i="35"/>
  <c r="BD329" i="35"/>
  <c r="E330" i="35" a="1"/>
  <c r="E330" i="35" s="1"/>
  <c r="BB330" i="35"/>
  <c r="BC330" i="35"/>
  <c r="BD330" i="35"/>
  <c r="E331" i="35" a="1"/>
  <c r="E331" i="35" s="1"/>
  <c r="BB331" i="35"/>
  <c r="BC331" i="35"/>
  <c r="BD331" i="35"/>
  <c r="E332" i="35" a="1"/>
  <c r="E332" i="35" s="1"/>
  <c r="BB332" i="35"/>
  <c r="BC332" i="35"/>
  <c r="BD332" i="35"/>
  <c r="E333" i="35" a="1"/>
  <c r="E333" i="35" s="1"/>
  <c r="BB333" i="35"/>
  <c r="BC333" i="35"/>
  <c r="BD333" i="35"/>
  <c r="E334" i="35" a="1"/>
  <c r="E334" i="35" s="1"/>
  <c r="BB334" i="35"/>
  <c r="BC334" i="35"/>
  <c r="BD334" i="35"/>
  <c r="E335" i="35" a="1"/>
  <c r="E335" i="35" s="1"/>
  <c r="BB335" i="35"/>
  <c r="BC335" i="35"/>
  <c r="BD335" i="35"/>
  <c r="E336" i="35" a="1"/>
  <c r="E336" i="35" s="1"/>
  <c r="BB336" i="35"/>
  <c r="BC336" i="35"/>
  <c r="BD336" i="35"/>
  <c r="E337" i="35" a="1"/>
  <c r="E337" i="35" s="1"/>
  <c r="BB337" i="35"/>
  <c r="BC337" i="35"/>
  <c r="BD337" i="35"/>
  <c r="E338" i="35" a="1"/>
  <c r="E338" i="35" s="1"/>
  <c r="BB338" i="35"/>
  <c r="BC338" i="35"/>
  <c r="BD338" i="35"/>
  <c r="E339" i="35" a="1"/>
  <c r="E339" i="35" s="1"/>
  <c r="BB339" i="35"/>
  <c r="BC339" i="35"/>
  <c r="BD339" i="35"/>
  <c r="E340" i="35" a="1"/>
  <c r="E340" i="35" s="1"/>
  <c r="BB340" i="35"/>
  <c r="BC340" i="35"/>
  <c r="BD340" i="35"/>
  <c r="E341" i="35" a="1"/>
  <c r="E341" i="35"/>
  <c r="BB341" i="35"/>
  <c r="BC341" i="35"/>
  <c r="BD341" i="35"/>
  <c r="E342" i="35" a="1"/>
  <c r="E342" i="35" s="1"/>
  <c r="BB342" i="35"/>
  <c r="BC342" i="35"/>
  <c r="BD342" i="35"/>
  <c r="E343" i="35" a="1"/>
  <c r="E343" i="35" s="1"/>
  <c r="BB343" i="35"/>
  <c r="BC343" i="35"/>
  <c r="BD343" i="35"/>
  <c r="E344" i="35" a="1"/>
  <c r="E344" i="35" s="1"/>
  <c r="BB344" i="35"/>
  <c r="BC344" i="35"/>
  <c r="BD344" i="35"/>
  <c r="E345" i="35" a="1"/>
  <c r="E345" i="35" s="1"/>
  <c r="BB345" i="35"/>
  <c r="BC345" i="35"/>
  <c r="BD345" i="35"/>
  <c r="E346" i="35" a="1"/>
  <c r="E346" i="35" s="1"/>
  <c r="BB346" i="35"/>
  <c r="BC346" i="35"/>
  <c r="BD346" i="35"/>
  <c r="E347" i="35" a="1"/>
  <c r="E347" i="35" s="1"/>
  <c r="BB347" i="35"/>
  <c r="BC347" i="35"/>
  <c r="BD347" i="35"/>
  <c r="E348" i="35" a="1"/>
  <c r="E348" i="35" s="1"/>
  <c r="BB348" i="35"/>
  <c r="BC348" i="35"/>
  <c r="BD348" i="35"/>
  <c r="E349" i="35" a="1"/>
  <c r="E349" i="35" s="1"/>
  <c r="BB349" i="35"/>
  <c r="BC349" i="35"/>
  <c r="BD349" i="35"/>
  <c r="E350" i="35" a="1"/>
  <c r="E350" i="35" s="1"/>
  <c r="BB350" i="35"/>
  <c r="BC350" i="35"/>
  <c r="BD350" i="35"/>
  <c r="E351" i="35" a="1"/>
  <c r="E351" i="35" s="1"/>
  <c r="BB351" i="35"/>
  <c r="BC351" i="35"/>
  <c r="BD351" i="35"/>
  <c r="E352" i="35" a="1"/>
  <c r="E352" i="35" s="1"/>
  <c r="BB352" i="35"/>
  <c r="BC352" i="35"/>
  <c r="BD352" i="35"/>
  <c r="E353" i="35" a="1"/>
  <c r="E353" i="35" s="1"/>
  <c r="BB353" i="35"/>
  <c r="BC353" i="35"/>
  <c r="BD353" i="35"/>
  <c r="E354" i="35" a="1"/>
  <c r="E354" i="35" s="1"/>
  <c r="BB354" i="35"/>
  <c r="BC354" i="35"/>
  <c r="BD354" i="35"/>
  <c r="E355" i="35" a="1"/>
  <c r="E355" i="35" s="1"/>
  <c r="BB355" i="35"/>
  <c r="BC355" i="35"/>
  <c r="BD355" i="35"/>
  <c r="E356" i="35" a="1"/>
  <c r="E356" i="35" s="1"/>
  <c r="BB356" i="35"/>
  <c r="BC356" i="35"/>
  <c r="BD356" i="35"/>
  <c r="E357" i="35" a="1"/>
  <c r="E357" i="35" s="1"/>
  <c r="BB357" i="35"/>
  <c r="BC357" i="35"/>
  <c r="BD357" i="35"/>
  <c r="E358" i="35" a="1"/>
  <c r="E358" i="35" s="1"/>
  <c r="BB358" i="35"/>
  <c r="BC358" i="35"/>
  <c r="BD358" i="35"/>
  <c r="E359" i="35" a="1"/>
  <c r="E359" i="35" s="1"/>
  <c r="BB359" i="35"/>
  <c r="BC359" i="35"/>
  <c r="BD359" i="35"/>
  <c r="E360" i="35" a="1"/>
  <c r="E360" i="35" s="1"/>
  <c r="BB360" i="35"/>
  <c r="BC360" i="35"/>
  <c r="BD360" i="35"/>
  <c r="E361" i="35" a="1"/>
  <c r="E361" i="35" s="1"/>
  <c r="BB361" i="35"/>
  <c r="BC361" i="35"/>
  <c r="BD361" i="35"/>
  <c r="E362" i="35" a="1"/>
  <c r="E362" i="35" s="1"/>
  <c r="BB362" i="35"/>
  <c r="BC362" i="35"/>
  <c r="BD362" i="35"/>
  <c r="E363" i="35" a="1"/>
  <c r="E363" i="35" s="1"/>
  <c r="BB363" i="35"/>
  <c r="BC363" i="35"/>
  <c r="BD363" i="35"/>
  <c r="E364" i="35" a="1"/>
  <c r="E364" i="35" s="1"/>
  <c r="BB364" i="35"/>
  <c r="BC364" i="35"/>
  <c r="BD364" i="35"/>
  <c r="E365" i="35" a="1"/>
  <c r="E365" i="35" s="1"/>
  <c r="BB365" i="35"/>
  <c r="BC365" i="35"/>
  <c r="BD365" i="35"/>
  <c r="E366" i="35" a="1"/>
  <c r="E366" i="35" s="1"/>
  <c r="BB366" i="35"/>
  <c r="BC366" i="35"/>
  <c r="BD366" i="35"/>
  <c r="E367" i="35" a="1"/>
  <c r="E367" i="35" s="1"/>
  <c r="BB367" i="35"/>
  <c r="BC367" i="35"/>
  <c r="BD367" i="35"/>
  <c r="E368" i="35" a="1"/>
  <c r="E368" i="35" s="1"/>
  <c r="BB368" i="35"/>
  <c r="BC368" i="35"/>
  <c r="BD368" i="35"/>
  <c r="E369" i="35" a="1"/>
  <c r="E369" i="35"/>
  <c r="BB369" i="35"/>
  <c r="BC369" i="35"/>
  <c r="BD369" i="35"/>
  <c r="E370" i="35" a="1"/>
  <c r="E370" i="35" s="1"/>
  <c r="BB370" i="35"/>
  <c r="BC370" i="35"/>
  <c r="BD370" i="35"/>
  <c r="E371" i="35" a="1"/>
  <c r="E371" i="35" s="1"/>
  <c r="BB371" i="35"/>
  <c r="BC371" i="35"/>
  <c r="BD371" i="35"/>
  <c r="E372" i="35" a="1"/>
  <c r="E372" i="35" s="1"/>
  <c r="BB372" i="35"/>
  <c r="BC372" i="35"/>
  <c r="BD372" i="35"/>
  <c r="E373" i="35" a="1"/>
  <c r="E373" i="35" s="1"/>
  <c r="BB373" i="35"/>
  <c r="BC373" i="35"/>
  <c r="BD373" i="35"/>
  <c r="E374" i="35" a="1"/>
  <c r="E374" i="35" s="1"/>
  <c r="BB374" i="35"/>
  <c r="BC374" i="35"/>
  <c r="BD374" i="35"/>
  <c r="E375" i="35" a="1"/>
  <c r="E375" i="35" s="1"/>
  <c r="BB375" i="35"/>
  <c r="BC375" i="35"/>
  <c r="BD375" i="35"/>
  <c r="E376" i="35" a="1"/>
  <c r="E376" i="35" s="1"/>
  <c r="BB376" i="35"/>
  <c r="BC376" i="35"/>
  <c r="BD376" i="35"/>
  <c r="E377" i="35" a="1"/>
  <c r="E377" i="35" s="1"/>
  <c r="BB377" i="35"/>
  <c r="BC377" i="35"/>
  <c r="BD377" i="35"/>
  <c r="E378" i="35" a="1"/>
  <c r="E378" i="35" s="1"/>
  <c r="BB378" i="35"/>
  <c r="BC378" i="35"/>
  <c r="BD378" i="35"/>
  <c r="E379" i="35" a="1"/>
  <c r="E379" i="35" s="1"/>
  <c r="BB379" i="35"/>
  <c r="BC379" i="35"/>
  <c r="BD379" i="35"/>
  <c r="E380" i="35" a="1"/>
  <c r="E380" i="35" s="1"/>
  <c r="BB380" i="35"/>
  <c r="BC380" i="35"/>
  <c r="BD380" i="35"/>
  <c r="E381" i="35" a="1"/>
  <c r="E381" i="35" s="1"/>
  <c r="BB381" i="35"/>
  <c r="BC381" i="35"/>
  <c r="BD381" i="35"/>
  <c r="E382" i="35" a="1"/>
  <c r="E382" i="35" s="1"/>
  <c r="BB382" i="35"/>
  <c r="BC382" i="35"/>
  <c r="BD382" i="35"/>
  <c r="E383" i="35" a="1"/>
  <c r="E383" i="35" s="1"/>
  <c r="BB383" i="35"/>
  <c r="BC383" i="35"/>
  <c r="BD383" i="35"/>
  <c r="E384" i="35" a="1"/>
  <c r="E384" i="35" s="1"/>
  <c r="BB384" i="35"/>
  <c r="BC384" i="35"/>
  <c r="BD384" i="35"/>
  <c r="E385" i="35" a="1"/>
  <c r="E385" i="35" s="1"/>
  <c r="BB385" i="35"/>
  <c r="BC385" i="35"/>
  <c r="BD385" i="35"/>
  <c r="E386" i="35" a="1"/>
  <c r="E386" i="35" s="1"/>
  <c r="BB386" i="35"/>
  <c r="BC386" i="35"/>
  <c r="BD386" i="35"/>
  <c r="E387" i="35" a="1"/>
  <c r="E387" i="35" s="1"/>
  <c r="BB387" i="35"/>
  <c r="BC387" i="35"/>
  <c r="BD387" i="35"/>
  <c r="E388" i="35" a="1"/>
  <c r="E388" i="35" s="1"/>
  <c r="BB388" i="35"/>
  <c r="BC388" i="35"/>
  <c r="BD388" i="35"/>
  <c r="E389" i="35" a="1"/>
  <c r="E389" i="35" s="1"/>
  <c r="BB389" i="35"/>
  <c r="BC389" i="35"/>
  <c r="BD389" i="35"/>
  <c r="E390" i="35" a="1"/>
  <c r="E390" i="35" s="1"/>
  <c r="BB390" i="35"/>
  <c r="BC390" i="35"/>
  <c r="BD390" i="35"/>
  <c r="E391" i="35" a="1"/>
  <c r="E391" i="35" s="1"/>
  <c r="BB391" i="35"/>
  <c r="BC391" i="35"/>
  <c r="BD391" i="35"/>
  <c r="E392" i="35" a="1"/>
  <c r="E392" i="35" s="1"/>
  <c r="BB392" i="35"/>
  <c r="BC392" i="35"/>
  <c r="BD392" i="35"/>
  <c r="E393" i="35" a="1"/>
  <c r="E393" i="35" s="1"/>
  <c r="BB393" i="35"/>
  <c r="BC393" i="35"/>
  <c r="BD393" i="35"/>
  <c r="E394" i="35" a="1"/>
  <c r="E394" i="35" s="1"/>
  <c r="BB394" i="35"/>
  <c r="BC394" i="35"/>
  <c r="BD394" i="35"/>
  <c r="E395" i="35" a="1"/>
  <c r="E395" i="35"/>
  <c r="BB395" i="35"/>
  <c r="BC395" i="35"/>
  <c r="BD395" i="35"/>
  <c r="E396" i="35" a="1"/>
  <c r="E396" i="35" s="1"/>
  <c r="BB396" i="35"/>
  <c r="BC396" i="35"/>
  <c r="BD396" i="35"/>
  <c r="E397" i="35" a="1"/>
  <c r="E397" i="35" s="1"/>
  <c r="BB397" i="35"/>
  <c r="BC397" i="35"/>
  <c r="BD397" i="35"/>
  <c r="E398" i="35" a="1"/>
  <c r="E398" i="35" s="1"/>
  <c r="BB398" i="35"/>
  <c r="BC398" i="35"/>
  <c r="BD398" i="35"/>
  <c r="E399" i="35" a="1"/>
  <c r="E399" i="35" s="1"/>
  <c r="BB399" i="35"/>
  <c r="BC399" i="35"/>
  <c r="BD399" i="35"/>
  <c r="E400" i="35" a="1"/>
  <c r="E400" i="35" s="1"/>
  <c r="BB400" i="35"/>
  <c r="BC400" i="35"/>
  <c r="BD400" i="35"/>
  <c r="E401" i="35" a="1"/>
  <c r="E401" i="35" s="1"/>
  <c r="BB401" i="35"/>
  <c r="BC401" i="35"/>
  <c r="BD401" i="35"/>
  <c r="E402" i="35" a="1"/>
  <c r="E402" i="35" s="1"/>
  <c r="BB402" i="35"/>
  <c r="BC402" i="35"/>
  <c r="BD402" i="35"/>
  <c r="E403" i="35" a="1"/>
  <c r="E403" i="35" s="1"/>
  <c r="BB403" i="35"/>
  <c r="BC403" i="35"/>
  <c r="BD403" i="35"/>
  <c r="E404" i="35" a="1"/>
  <c r="E404" i="35" s="1"/>
  <c r="BB404" i="35"/>
  <c r="BC404" i="35"/>
  <c r="BD404" i="35"/>
  <c r="E405" i="35" a="1"/>
  <c r="E405" i="35" s="1"/>
  <c r="BB405" i="35"/>
  <c r="BC405" i="35"/>
  <c r="BD405" i="35"/>
  <c r="E406" i="35" a="1"/>
  <c r="E406" i="35" s="1"/>
  <c r="BB406" i="35"/>
  <c r="BC406" i="35"/>
  <c r="BD406" i="35"/>
  <c r="E407" i="35" a="1"/>
  <c r="E407" i="35" s="1"/>
  <c r="BB407" i="35"/>
  <c r="BC407" i="35"/>
  <c r="BD407" i="35"/>
  <c r="E408" i="35" a="1"/>
  <c r="E408" i="35" s="1"/>
  <c r="BB408" i="35"/>
  <c r="BC408" i="35"/>
  <c r="BD408" i="35"/>
  <c r="E409" i="35" a="1"/>
  <c r="E409" i="35" s="1"/>
  <c r="BB409" i="35"/>
  <c r="BC409" i="35"/>
  <c r="BD409" i="35"/>
  <c r="E410" i="35" a="1"/>
  <c r="E410" i="35" s="1"/>
  <c r="BB410" i="35"/>
  <c r="BC410" i="35"/>
  <c r="BD410" i="35"/>
  <c r="E411" i="35" a="1"/>
  <c r="E411" i="35"/>
  <c r="BB411" i="35"/>
  <c r="BC411" i="35"/>
  <c r="BD411" i="35"/>
  <c r="E412" i="35" a="1"/>
  <c r="E412" i="35" s="1"/>
  <c r="BB412" i="35"/>
  <c r="BC412" i="35"/>
  <c r="BD412" i="35"/>
  <c r="E413" i="35" a="1"/>
  <c r="E413" i="35" s="1"/>
  <c r="BB413" i="35"/>
  <c r="BC413" i="35"/>
  <c r="BD413" i="35"/>
  <c r="E414" i="35" a="1"/>
  <c r="E414" i="35" s="1"/>
  <c r="BB414" i="35"/>
  <c r="BC414" i="35"/>
  <c r="BD414" i="35"/>
  <c r="E415" i="35" a="1"/>
  <c r="E415" i="35"/>
  <c r="BB415" i="35"/>
  <c r="BC415" i="35"/>
  <c r="BD415" i="35"/>
  <c r="E416" i="35" a="1"/>
  <c r="E416" i="35" s="1"/>
  <c r="BB416" i="35"/>
  <c r="BC416" i="35"/>
  <c r="BD416" i="35"/>
  <c r="E417" i="35" a="1"/>
  <c r="E417" i="35" s="1"/>
  <c r="BB417" i="35"/>
  <c r="BC417" i="35"/>
  <c r="BD417" i="35"/>
  <c r="E418" i="35" a="1"/>
  <c r="E418" i="35" s="1"/>
  <c r="BB418" i="35"/>
  <c r="BC418" i="35"/>
  <c r="BD418" i="35"/>
  <c r="E419" i="35" a="1"/>
  <c r="E419" i="35"/>
  <c r="BB419" i="35"/>
  <c r="BC419" i="35"/>
  <c r="BD419" i="35"/>
  <c r="E420" i="35" a="1"/>
  <c r="E420" i="35"/>
  <c r="BB420" i="35"/>
  <c r="BC420" i="35"/>
  <c r="BD420" i="35"/>
  <c r="E421" i="35" a="1"/>
  <c r="E421" i="35" s="1"/>
  <c r="BB421" i="35"/>
  <c r="BC421" i="35"/>
  <c r="BD421" i="35"/>
  <c r="E422" i="35" a="1"/>
  <c r="E422" i="35" s="1"/>
  <c r="BB422" i="35"/>
  <c r="BC422" i="35"/>
  <c r="BD422" i="35"/>
  <c r="E423" i="35" a="1"/>
  <c r="E423" i="35"/>
  <c r="BB423" i="35"/>
  <c r="BC423" i="35"/>
  <c r="BD423" i="35"/>
  <c r="E424" i="35" a="1"/>
  <c r="E424" i="35" s="1"/>
  <c r="BB424" i="35"/>
  <c r="BC424" i="35"/>
  <c r="BD424" i="35"/>
  <c r="E425" i="35" a="1"/>
  <c r="E425" i="35" s="1"/>
  <c r="BB425" i="35"/>
  <c r="BC425" i="35"/>
  <c r="BD425" i="35"/>
  <c r="E426" i="35" a="1"/>
  <c r="E426" i="35" s="1"/>
  <c r="BB426" i="35"/>
  <c r="BC426" i="35"/>
  <c r="BD426" i="35"/>
  <c r="E427" i="35" a="1"/>
  <c r="E427" i="35" s="1"/>
  <c r="BB427" i="35"/>
  <c r="BC427" i="35"/>
  <c r="BD427" i="35"/>
  <c r="E428" i="35" a="1"/>
  <c r="E428" i="35" s="1"/>
  <c r="BB428" i="35"/>
  <c r="BC428" i="35"/>
  <c r="BD428" i="35"/>
  <c r="E429" i="35" a="1"/>
  <c r="E429" i="35" s="1"/>
  <c r="BB429" i="35"/>
  <c r="BC429" i="35"/>
  <c r="BD429" i="35"/>
  <c r="E430" i="35" a="1"/>
  <c r="E430" i="35" s="1"/>
  <c r="BB430" i="35"/>
  <c r="BC430" i="35"/>
  <c r="BD430" i="35"/>
  <c r="E431" i="35" a="1"/>
  <c r="E431" i="35" s="1"/>
  <c r="BB431" i="35"/>
  <c r="BC431" i="35"/>
  <c r="BD431" i="35"/>
  <c r="E432" i="35" a="1"/>
  <c r="E432" i="35" s="1"/>
  <c r="BB432" i="35"/>
  <c r="BC432" i="35"/>
  <c r="BD432" i="35"/>
  <c r="E433" i="35" a="1"/>
  <c r="E433" i="35" s="1"/>
  <c r="BB433" i="35"/>
  <c r="BC433" i="35"/>
  <c r="BD433" i="35"/>
  <c r="E434" i="35" a="1"/>
  <c r="E434" i="35" s="1"/>
  <c r="BB434" i="35"/>
  <c r="BC434" i="35"/>
  <c r="BD434" i="35"/>
  <c r="E435" i="35" a="1"/>
  <c r="E435" i="35"/>
  <c r="BB435" i="35"/>
  <c r="BC435" i="35"/>
  <c r="BD435" i="35"/>
  <c r="E436" i="35" a="1"/>
  <c r="E436" i="35"/>
  <c r="BB436" i="35"/>
  <c r="BC436" i="35"/>
  <c r="BD436" i="35"/>
  <c r="E437" i="35" a="1"/>
  <c r="E437" i="35" s="1"/>
  <c r="BB437" i="35"/>
  <c r="BC437" i="35"/>
  <c r="BD437" i="35"/>
  <c r="E438" i="35" a="1"/>
  <c r="E438" i="35" s="1"/>
  <c r="BB438" i="35"/>
  <c r="BC438" i="35"/>
  <c r="BD438" i="35"/>
  <c r="E439" i="35" a="1"/>
  <c r="E439" i="35" s="1"/>
  <c r="BB439" i="35"/>
  <c r="BC439" i="35"/>
  <c r="BD439" i="35"/>
  <c r="E440" i="35" a="1"/>
  <c r="E440" i="35" s="1"/>
  <c r="BB440" i="35"/>
  <c r="BC440" i="35"/>
  <c r="BD440" i="35"/>
  <c r="E441" i="35" a="1"/>
  <c r="E441" i="35" s="1"/>
  <c r="BB441" i="35"/>
  <c r="BC441" i="35"/>
  <c r="BD441" i="35"/>
  <c r="E442" i="35" a="1"/>
  <c r="E442" i="35" s="1"/>
  <c r="BB442" i="35"/>
  <c r="BC442" i="35"/>
  <c r="BD442" i="35"/>
  <c r="E443" i="35" a="1"/>
  <c r="E443" i="35"/>
  <c r="BB443" i="35"/>
  <c r="BC443" i="35"/>
  <c r="BD443" i="35"/>
  <c r="E444" i="35" a="1"/>
  <c r="E444" i="35" s="1"/>
  <c r="BB444" i="35"/>
  <c r="BC444" i="35"/>
  <c r="BD444" i="35"/>
  <c r="E445" i="35" a="1"/>
  <c r="E445" i="35" s="1"/>
  <c r="BB445" i="35"/>
  <c r="BC445" i="35"/>
  <c r="BD445" i="35"/>
  <c r="E446" i="35" a="1"/>
  <c r="E446" i="35" s="1"/>
  <c r="BB446" i="35"/>
  <c r="BC446" i="35"/>
  <c r="BD446" i="35"/>
  <c r="E447" i="35" a="1"/>
  <c r="E447" i="35"/>
  <c r="BB447" i="35"/>
  <c r="BC447" i="35"/>
  <c r="BD447" i="35"/>
  <c r="E448" i="35" a="1"/>
  <c r="E448" i="35"/>
  <c r="BB448" i="35"/>
  <c r="BC448" i="35"/>
  <c r="BD448" i="35"/>
  <c r="E449" i="35" a="1"/>
  <c r="E449" i="35" s="1"/>
  <c r="BB449" i="35"/>
  <c r="BC449" i="35"/>
  <c r="BD449" i="35"/>
  <c r="E450" i="35" a="1"/>
  <c r="E450" i="35" s="1"/>
  <c r="BB450" i="35"/>
  <c r="BC450" i="35"/>
  <c r="BD450" i="35"/>
  <c r="E451" i="35" a="1"/>
  <c r="E451" i="35" s="1"/>
  <c r="BB451" i="35"/>
  <c r="BC451" i="35"/>
  <c r="BD451" i="35"/>
  <c r="E452" i="35" a="1"/>
  <c r="E452" i="35"/>
  <c r="BB452" i="35"/>
  <c r="BC452" i="35"/>
  <c r="BD452" i="35"/>
  <c r="E453" i="35" a="1"/>
  <c r="E453" i="35" s="1"/>
  <c r="BB453" i="35"/>
  <c r="BC453" i="35"/>
  <c r="BD453" i="35"/>
  <c r="E454" i="35" a="1"/>
  <c r="E454" i="35" s="1"/>
  <c r="BB454" i="35"/>
  <c r="BC454" i="35"/>
  <c r="BD454" i="35"/>
  <c r="BC44" i="14"/>
  <c r="BB44" i="14"/>
  <c r="AY44" i="14"/>
  <c r="AY219" i="15" s="1"/>
  <c r="AX44" i="14"/>
  <c r="AX219" i="15" s="1"/>
  <c r="AW44" i="14"/>
  <c r="AW219" i="15" s="1"/>
  <c r="AV44" i="14"/>
  <c r="AV219" i="15" s="1"/>
  <c r="AU44" i="14"/>
  <c r="AU219" i="15" s="1"/>
  <c r="BC44" i="35"/>
  <c r="BB44" i="35"/>
  <c r="BC44" i="36"/>
  <c r="BB44" i="36"/>
  <c r="E99" i="14" l="1"/>
  <c r="E205" i="14" s="1" a="1"/>
  <c r="E205" i="14" s="1"/>
  <c r="E100" i="14"/>
  <c r="E101" i="14"/>
  <c r="E102" i="14"/>
  <c r="E103" i="14"/>
  <c r="E104" i="14"/>
  <c r="E105" i="14"/>
  <c r="E106" i="14"/>
  <c r="E107" i="14"/>
  <c r="E108" i="14"/>
  <c r="E109" i="14"/>
  <c r="E110" i="14"/>
  <c r="E111" i="14"/>
  <c r="E112" i="14"/>
  <c r="E113" i="14"/>
  <c r="E114" i="14"/>
  <c r="E115" i="14"/>
  <c r="E116" i="14"/>
  <c r="E117" i="14"/>
  <c r="E118" i="14"/>
  <c r="E119" i="14"/>
  <c r="E120" i="14"/>
  <c r="E121" i="14"/>
  <c r="E122" i="14"/>
  <c r="E123" i="14"/>
  <c r="E124" i="14"/>
  <c r="E125" i="14"/>
  <c r="E126" i="14"/>
  <c r="E127" i="14"/>
  <c r="E128" i="14"/>
  <c r="E129" i="14"/>
  <c r="E130" i="14"/>
  <c r="E131" i="14"/>
  <c r="E132" i="14"/>
  <c r="E133" i="14"/>
  <c r="E134" i="14"/>
  <c r="E135" i="14"/>
  <c r="E136" i="14"/>
  <c r="E137" i="14"/>
  <c r="E138" i="14"/>
  <c r="E139" i="14"/>
  <c r="E140" i="14"/>
  <c r="E141" i="14"/>
  <c r="E142" i="14"/>
  <c r="E143" i="14"/>
  <c r="E144" i="14"/>
  <c r="E145" i="14"/>
  <c r="E146" i="14"/>
  <c r="E147" i="14"/>
  <c r="E148" i="14"/>
  <c r="Q3" i="43"/>
  <c r="G36" i="35"/>
  <c r="G35" i="35"/>
  <c r="G34" i="35"/>
  <c r="G33" i="35"/>
  <c r="G32" i="35"/>
  <c r="G31" i="35"/>
  <c r="G28" i="35"/>
  <c r="G27" i="35"/>
  <c r="G26" i="35"/>
  <c r="G36" i="36"/>
  <c r="G35" i="36"/>
  <c r="G34" i="36"/>
  <c r="G33" i="36"/>
  <c r="G32" i="36"/>
  <c r="G31" i="36"/>
  <c r="G28" i="36"/>
  <c r="G27" i="36"/>
  <c r="G26" i="36"/>
  <c r="D9" i="24" l="1"/>
  <c r="B22" i="42"/>
  <c r="F618" i="27" l="1"/>
  <c r="F361" i="27"/>
  <c r="F360" i="27"/>
  <c r="F359" i="27"/>
  <c r="F358" i="27"/>
  <c r="F357" i="27"/>
  <c r="F356" i="27"/>
  <c r="F355" i="27"/>
  <c r="F354" i="27"/>
  <c r="F353" i="27"/>
  <c r="F352" i="27"/>
  <c r="F351" i="27"/>
  <c r="F350" i="27"/>
  <c r="F349" i="27"/>
  <c r="F348" i="27"/>
  <c r="F347" i="27"/>
  <c r="F346" i="27"/>
  <c r="F345" i="27"/>
  <c r="F344" i="27"/>
  <c r="F343" i="27"/>
  <c r="F342" i="27"/>
  <c r="F341" i="27"/>
  <c r="F340" i="27"/>
  <c r="F339" i="27"/>
  <c r="F338" i="27"/>
  <c r="F337" i="27"/>
  <c r="F336" i="27"/>
  <c r="F335" i="27"/>
  <c r="F334" i="27"/>
  <c r="F333" i="27"/>
  <c r="F332" i="27"/>
  <c r="F331" i="27"/>
  <c r="F330" i="27"/>
  <c r="F329" i="27"/>
  <c r="F328" i="27"/>
  <c r="F327" i="27"/>
  <c r="F326" i="27"/>
  <c r="F325" i="27"/>
  <c r="F324" i="27"/>
  <c r="F323" i="27"/>
  <c r="F322" i="27"/>
  <c r="F321" i="27"/>
  <c r="F320" i="27"/>
  <c r="F319" i="27"/>
  <c r="F318" i="27"/>
  <c r="F317" i="27"/>
  <c r="F316" i="27"/>
  <c r="F315" i="27"/>
  <c r="F314" i="27"/>
  <c r="F313" i="27"/>
  <c r="F312" i="27"/>
  <c r="F311" i="27"/>
  <c r="F310" i="27"/>
  <c r="F309" i="27"/>
  <c r="F308" i="27"/>
  <c r="F307" i="27"/>
  <c r="F306" i="27"/>
  <c r="F305" i="27"/>
  <c r="F304" i="27"/>
  <c r="F303" i="27"/>
  <c r="F302" i="27"/>
  <c r="F301" i="27"/>
  <c r="F300" i="27"/>
  <c r="F299" i="27"/>
  <c r="F298" i="27"/>
  <c r="F297" i="27"/>
  <c r="F296" i="27"/>
  <c r="F295" i="27"/>
  <c r="F294" i="27"/>
  <c r="F293" i="27"/>
  <c r="F292" i="27"/>
  <c r="F291" i="27"/>
  <c r="F290" i="27"/>
  <c r="F289" i="27"/>
  <c r="F288" i="27"/>
  <c r="F287" i="27"/>
  <c r="F286" i="27"/>
  <c r="F285" i="27"/>
  <c r="F284" i="27"/>
  <c r="F283" i="27"/>
  <c r="F282" i="27"/>
  <c r="F281" i="27"/>
  <c r="F280" i="27"/>
  <c r="F279" i="27"/>
  <c r="F278" i="27"/>
  <c r="F277" i="27"/>
  <c r="F276" i="27"/>
  <c r="F275" i="27"/>
  <c r="F274" i="27"/>
  <c r="F273" i="27"/>
  <c r="F272" i="27"/>
  <c r="F271" i="27"/>
  <c r="F270" i="27"/>
  <c r="F269" i="27"/>
  <c r="F268" i="27"/>
  <c r="F267" i="27"/>
  <c r="F266" i="27"/>
  <c r="F265" i="27"/>
  <c r="F264" i="27"/>
  <c r="F263" i="27"/>
  <c r="F262" i="27"/>
  <c r="F261" i="27"/>
  <c r="F260" i="27"/>
  <c r="F259" i="27"/>
  <c r="F258" i="27"/>
  <c r="F257" i="27"/>
  <c r="F256" i="27"/>
  <c r="F255" i="27"/>
  <c r="F254" i="27"/>
  <c r="F253" i="27"/>
  <c r="F252" i="27"/>
  <c r="F251" i="27"/>
  <c r="F250" i="27"/>
  <c r="F249" i="27"/>
  <c r="F248" i="27"/>
  <c r="F247" i="27"/>
  <c r="F246" i="27"/>
  <c r="F245" i="27"/>
  <c r="F244" i="27"/>
  <c r="F243" i="27"/>
  <c r="F242" i="27"/>
  <c r="F241" i="27"/>
  <c r="F240" i="27"/>
  <c r="F239" i="27"/>
  <c r="F238" i="27"/>
  <c r="F237" i="27"/>
  <c r="F236" i="27"/>
  <c r="F235" i="27"/>
  <c r="F234" i="27"/>
  <c r="F233" i="27"/>
  <c r="F232" i="27"/>
  <c r="F231" i="27"/>
  <c r="F230" i="27"/>
  <c r="F229" i="27"/>
  <c r="F228" i="27"/>
  <c r="F227" i="27"/>
  <c r="F226" i="27"/>
  <c r="F225" i="27"/>
  <c r="F224" i="27"/>
  <c r="F223" i="27"/>
  <c r="F222" i="27"/>
  <c r="F221" i="27"/>
  <c r="F220" i="27"/>
  <c r="F219" i="27"/>
  <c r="F218" i="27"/>
  <c r="F217" i="27"/>
  <c r="F216" i="27"/>
  <c r="F215" i="27"/>
  <c r="F214" i="27"/>
  <c r="F213" i="27"/>
  <c r="F212" i="27"/>
  <c r="F211" i="27"/>
  <c r="F210" i="27"/>
  <c r="F209" i="27"/>
  <c r="F208" i="27"/>
  <c r="F207" i="27"/>
  <c r="F206" i="27"/>
  <c r="F205" i="27"/>
  <c r="F204" i="27"/>
  <c r="F203" i="27"/>
  <c r="F202" i="27"/>
  <c r="F201" i="27"/>
  <c r="F200" i="27"/>
  <c r="F199" i="27"/>
  <c r="F198" i="27"/>
  <c r="F197" i="27"/>
  <c r="F196" i="27"/>
  <c r="F195" i="27"/>
  <c r="F194" i="27"/>
  <c r="F193" i="27"/>
  <c r="F192" i="27"/>
  <c r="F191" i="27"/>
  <c r="F190" i="27"/>
  <c r="F189" i="27"/>
  <c r="F188" i="27"/>
  <c r="F187" i="27"/>
  <c r="F186" i="27"/>
  <c r="F185" i="27"/>
  <c r="F184" i="27"/>
  <c r="F183" i="27"/>
  <c r="F182" i="27"/>
  <c r="F181" i="27"/>
  <c r="F180" i="27"/>
  <c r="F179" i="27"/>
  <c r="F178" i="27"/>
  <c r="F177" i="27"/>
  <c r="F176" i="27"/>
  <c r="F175" i="27"/>
  <c r="F174" i="27"/>
  <c r="F173" i="27"/>
  <c r="F172" i="27"/>
  <c r="F171" i="27"/>
  <c r="F170" i="27"/>
  <c r="F169" i="27"/>
  <c r="F168" i="27"/>
  <c r="F167" i="27"/>
  <c r="F166" i="27"/>
  <c r="F165" i="27"/>
  <c r="F164" i="27"/>
  <c r="F163" i="27"/>
  <c r="F162" i="27"/>
  <c r="F161" i="27"/>
  <c r="F160" i="27"/>
  <c r="F159" i="27"/>
  <c r="F158" i="27"/>
  <c r="F157" i="27"/>
  <c r="F156" i="27"/>
  <c r="F155" i="27"/>
  <c r="F154" i="27"/>
  <c r="F153" i="27"/>
  <c r="F152" i="27"/>
  <c r="F151" i="27"/>
  <c r="F150" i="27"/>
  <c r="F149" i="27"/>
  <c r="F148" i="27"/>
  <c r="F147" i="27"/>
  <c r="F146" i="27"/>
  <c r="F145" i="27"/>
  <c r="F144" i="27"/>
  <c r="F143" i="27"/>
  <c r="F142" i="27"/>
  <c r="F141" i="27"/>
  <c r="F140" i="27"/>
  <c r="F139" i="27"/>
  <c r="F138" i="27"/>
  <c r="F137" i="27"/>
  <c r="F136" i="27"/>
  <c r="F135" i="27"/>
  <c r="F134" i="27"/>
  <c r="F133" i="27"/>
  <c r="F132" i="27"/>
  <c r="F131" i="27"/>
  <c r="F130" i="27"/>
  <c r="F129" i="27"/>
  <c r="F128" i="27"/>
  <c r="F127" i="27"/>
  <c r="F126" i="27"/>
  <c r="F125" i="27"/>
  <c r="F124" i="27"/>
  <c r="F123" i="27"/>
  <c r="F122" i="27"/>
  <c r="F121" i="27"/>
  <c r="F120" i="27"/>
  <c r="F119" i="27"/>
  <c r="F118" i="27"/>
  <c r="F117" i="27"/>
  <c r="F116" i="27"/>
  <c r="F115" i="27"/>
  <c r="F114" i="27"/>
  <c r="F113" i="27"/>
  <c r="F112" i="27"/>
  <c r="F59" i="27"/>
  <c r="F57" i="27"/>
  <c r="F56" i="27"/>
  <c r="F55" i="27"/>
  <c r="F54" i="27"/>
  <c r="F53" i="27"/>
  <c r="F52" i="27"/>
  <c r="F51" i="27"/>
  <c r="F50" i="27"/>
  <c r="F49" i="27"/>
  <c r="F48" i="27"/>
  <c r="F47" i="27"/>
  <c r="F46" i="27"/>
  <c r="F45" i="27"/>
  <c r="F44" i="27"/>
  <c r="F43" i="27"/>
  <c r="F42" i="27"/>
  <c r="F41" i="27"/>
  <c r="F40" i="27"/>
  <c r="F39" i="27"/>
  <c r="F38" i="27"/>
  <c r="F37" i="27"/>
  <c r="F36" i="27"/>
  <c r="F35" i="27"/>
  <c r="F34" i="27"/>
  <c r="F33" i="27"/>
  <c r="F32" i="27"/>
  <c r="F31" i="27"/>
  <c r="F30" i="27"/>
  <c r="F29" i="27"/>
  <c r="F28" i="27"/>
  <c r="F27" i="27"/>
  <c r="F26" i="27"/>
  <c r="F25" i="27"/>
  <c r="F24" i="27"/>
  <c r="F23" i="27"/>
  <c r="F22" i="27"/>
  <c r="F21" i="27"/>
  <c r="F20" i="27"/>
  <c r="F19" i="27"/>
  <c r="F18" i="27"/>
  <c r="F17" i="27"/>
  <c r="F16" i="27"/>
  <c r="F15" i="27"/>
  <c r="F14" i="27"/>
  <c r="F13" i="27"/>
  <c r="F12" i="27"/>
  <c r="F11" i="27"/>
  <c r="F10" i="27"/>
  <c r="F9" i="27"/>
  <c r="F8" i="27"/>
  <c r="F280" i="15"/>
  <c r="F278" i="15"/>
  <c r="F274" i="15"/>
  <c r="F272" i="15"/>
  <c r="F266" i="15"/>
  <c r="F264" i="15"/>
  <c r="F261" i="15"/>
  <c r="F260" i="15"/>
  <c r="F259" i="15"/>
  <c r="F258" i="15"/>
  <c r="F257" i="15"/>
  <c r="F255" i="15"/>
  <c r="F254" i="15"/>
  <c r="F253" i="15"/>
  <c r="F252" i="15"/>
  <c r="F251" i="15"/>
  <c r="F250" i="15"/>
  <c r="F249" i="15"/>
  <c r="F248" i="15"/>
  <c r="F247" i="15"/>
  <c r="F235" i="15"/>
  <c r="F234" i="15"/>
  <c r="F233" i="15"/>
  <c r="F232" i="15"/>
  <c r="F229" i="15"/>
  <c r="F228" i="15"/>
  <c r="F227" i="15"/>
  <c r="F226" i="15"/>
  <c r="F223" i="15"/>
  <c r="F212" i="15"/>
  <c r="F209" i="15"/>
  <c r="F208" i="15"/>
  <c r="F207" i="15"/>
  <c r="F205" i="15"/>
  <c r="F204" i="15"/>
  <c r="F202" i="15"/>
  <c r="F201" i="15"/>
  <c r="F200" i="15"/>
  <c r="F199" i="15"/>
  <c r="F198" i="15"/>
  <c r="F195" i="15"/>
  <c r="F194" i="15"/>
  <c r="F193" i="15"/>
  <c r="F192" i="15"/>
  <c r="F191" i="15"/>
  <c r="F170" i="15"/>
  <c r="F165" i="15"/>
  <c r="F164" i="15"/>
  <c r="F163" i="15"/>
  <c r="F155" i="15"/>
  <c r="F154" i="15"/>
  <c r="F125" i="15"/>
  <c r="F124" i="15"/>
  <c r="F123" i="15"/>
  <c r="F122" i="15"/>
  <c r="F119" i="15"/>
  <c r="F118" i="15"/>
  <c r="F117" i="15"/>
  <c r="F116" i="15"/>
  <c r="F115" i="15"/>
  <c r="F114" i="15"/>
  <c r="F112" i="15"/>
  <c r="F111" i="15"/>
  <c r="F110" i="15"/>
  <c r="F108" i="15"/>
  <c r="F107" i="15"/>
  <c r="F106" i="15"/>
  <c r="F104" i="15"/>
  <c r="F103" i="15"/>
  <c r="F102" i="15"/>
  <c r="F101" i="15"/>
  <c r="F100" i="15"/>
  <c r="F98" i="15"/>
  <c r="F97" i="15"/>
  <c r="F96" i="15"/>
  <c r="F95" i="15"/>
  <c r="F94" i="15"/>
  <c r="F89" i="15"/>
  <c r="F88" i="15"/>
  <c r="F87" i="15"/>
  <c r="F86" i="15"/>
  <c r="F85" i="15"/>
  <c r="F84" i="15"/>
  <c r="F80" i="15"/>
  <c r="F79" i="15"/>
  <c r="F78" i="15"/>
  <c r="F77" i="15"/>
  <c r="F76" i="15"/>
  <c r="F75" i="15"/>
  <c r="F74" i="15"/>
  <c r="F73" i="15"/>
  <c r="F72" i="15"/>
  <c r="F71" i="15"/>
  <c r="F70" i="15"/>
  <c r="F67" i="15"/>
  <c r="F65" i="15"/>
  <c r="F64" i="15"/>
  <c r="F63" i="15"/>
  <c r="F61" i="15"/>
  <c r="F60" i="15"/>
  <c r="F59" i="15"/>
  <c r="F58" i="15"/>
  <c r="F57" i="15"/>
  <c r="F54" i="15"/>
  <c r="F53" i="15"/>
  <c r="F52" i="15"/>
  <c r="F51" i="15"/>
  <c r="F48" i="15"/>
  <c r="F47" i="15"/>
  <c r="F46" i="15"/>
  <c r="F45" i="15"/>
  <c r="F44" i="15"/>
  <c r="F39" i="15"/>
  <c r="F38" i="15"/>
  <c r="F37" i="15"/>
  <c r="F36" i="15"/>
  <c r="F33" i="15"/>
  <c r="F32" i="15"/>
  <c r="F31" i="15"/>
  <c r="F30" i="15"/>
  <c r="F29" i="15"/>
  <c r="F25" i="15"/>
  <c r="F23" i="15"/>
  <c r="F22" i="15"/>
  <c r="F21" i="15"/>
  <c r="F20" i="15"/>
  <c r="F19" i="15"/>
  <c r="F16" i="15"/>
  <c r="F15" i="15"/>
  <c r="F14" i="15"/>
  <c r="F13" i="15"/>
  <c r="F12" i="15"/>
  <c r="H260" i="15" l="1"/>
  <c r="H258" i="15"/>
  <c r="H261" i="15"/>
  <c r="H259" i="15"/>
  <c r="H257" i="15"/>
  <c r="H253" i="15"/>
  <c r="H252" i="15"/>
  <c r="H251" i="15"/>
  <c r="H248" i="15"/>
  <c r="H229" i="15"/>
  <c r="H228" i="15"/>
  <c r="H227" i="15"/>
  <c r="H226" i="15"/>
  <c r="H209" i="15"/>
  <c r="H208" i="15"/>
  <c r="H191" i="15"/>
  <c r="H111" i="15"/>
  <c r="H107" i="15"/>
  <c r="H80" i="15"/>
  <c r="H79" i="15"/>
  <c r="H78" i="15"/>
  <c r="H77" i="15"/>
  <c r="H76" i="15"/>
  <c r="H75" i="15"/>
  <c r="H72" i="15"/>
  <c r="H71" i="15"/>
  <c r="H70" i="15"/>
  <c r="H67" i="15"/>
  <c r="H63" i="15"/>
  <c r="H61" i="15"/>
  <c r="H60" i="15"/>
  <c r="H59" i="15"/>
  <c r="H58" i="15"/>
  <c r="H57" i="15"/>
  <c r="H53" i="15"/>
  <c r="H52" i="15"/>
  <c r="H51" i="15"/>
  <c r="H48" i="15"/>
  <c r="H47" i="15"/>
  <c r="H46" i="15"/>
  <c r="H45" i="15"/>
  <c r="H44" i="15"/>
  <c r="H39" i="15"/>
  <c r="H25" i="15"/>
  <c r="H280" i="15"/>
  <c r="H278" i="15"/>
  <c r="H274" i="15"/>
  <c r="H272" i="15"/>
  <c r="H266" i="15"/>
  <c r="H264" i="15"/>
  <c r="H255" i="15"/>
  <c r="H254" i="15"/>
  <c r="H250" i="15"/>
  <c r="H249" i="15"/>
  <c r="H247" i="15"/>
  <c r="H234" i="15"/>
  <c r="H233" i="15"/>
  <c r="H232" i="15"/>
  <c r="H223" i="15"/>
  <c r="H218" i="15"/>
  <c r="H217" i="15"/>
  <c r="H216" i="15"/>
  <c r="H215" i="15"/>
  <c r="H214" i="15"/>
  <c r="H212" i="15"/>
  <c r="H207" i="15"/>
  <c r="H205" i="15"/>
  <c r="H204" i="15"/>
  <c r="H202" i="15"/>
  <c r="H201" i="15"/>
  <c r="H200" i="15"/>
  <c r="H199" i="15"/>
  <c r="H198" i="15"/>
  <c r="H195" i="15"/>
  <c r="H194" i="15"/>
  <c r="H193" i="15"/>
  <c r="H192" i="15"/>
  <c r="H170" i="15"/>
  <c r="H165" i="15"/>
  <c r="H164" i="15"/>
  <c r="H163" i="15"/>
  <c r="H155" i="15"/>
  <c r="H154" i="15"/>
  <c r="H125" i="15"/>
  <c r="H124" i="15"/>
  <c r="H123" i="15"/>
  <c r="H122" i="15"/>
  <c r="H119" i="15"/>
  <c r="H118" i="15"/>
  <c r="H117" i="15"/>
  <c r="H116" i="15"/>
  <c r="H115" i="15"/>
  <c r="H114" i="15"/>
  <c r="H112" i="15"/>
  <c r="H110" i="15"/>
  <c r="H108" i="15"/>
  <c r="H106" i="15"/>
  <c r="H104" i="15"/>
  <c r="H103" i="15"/>
  <c r="H102" i="15"/>
  <c r="H101" i="15"/>
  <c r="H100" i="15"/>
  <c r="H98" i="15"/>
  <c r="H97" i="15"/>
  <c r="H96" i="15"/>
  <c r="H95" i="15"/>
  <c r="H94" i="15"/>
  <c r="H89" i="15"/>
  <c r="H88" i="15"/>
  <c r="H87" i="15"/>
  <c r="H86" i="15"/>
  <c r="H85" i="15"/>
  <c r="H84" i="15"/>
  <c r="H74" i="15"/>
  <c r="H73" i="15"/>
  <c r="H65" i="15"/>
  <c r="H64" i="15"/>
  <c r="H54" i="15"/>
  <c r="H38" i="15"/>
  <c r="H37" i="15"/>
  <c r="H36" i="15"/>
  <c r="H33" i="15"/>
  <c r="H32" i="15"/>
  <c r="H31" i="15"/>
  <c r="H30" i="15"/>
  <c r="H29" i="15"/>
  <c r="H23" i="15"/>
  <c r="H22" i="15"/>
  <c r="H21" i="15"/>
  <c r="H20" i="15"/>
  <c r="H19" i="15"/>
  <c r="H16" i="15"/>
  <c r="H15" i="15"/>
  <c r="H14" i="15"/>
  <c r="H13" i="15"/>
  <c r="H12" i="15"/>
  <c r="H618" i="27"/>
  <c r="H361" i="27"/>
  <c r="H360" i="27"/>
  <c r="H359" i="27"/>
  <c r="H358" i="27"/>
  <c r="H357" i="27"/>
  <c r="H356" i="27"/>
  <c r="H355" i="27"/>
  <c r="H354" i="27"/>
  <c r="H353" i="27"/>
  <c r="H352" i="27"/>
  <c r="H351" i="27"/>
  <c r="H350" i="27"/>
  <c r="H349" i="27"/>
  <c r="H348" i="27"/>
  <c r="H347" i="27"/>
  <c r="H346" i="27"/>
  <c r="H345" i="27"/>
  <c r="H344" i="27"/>
  <c r="H343" i="27"/>
  <c r="H342" i="27"/>
  <c r="H341" i="27"/>
  <c r="H340" i="27"/>
  <c r="H339" i="27"/>
  <c r="H338" i="27"/>
  <c r="H337" i="27"/>
  <c r="H336" i="27"/>
  <c r="H335" i="27"/>
  <c r="H334" i="27"/>
  <c r="H333" i="27"/>
  <c r="H332" i="27"/>
  <c r="H331" i="27"/>
  <c r="H330" i="27"/>
  <c r="H329" i="27"/>
  <c r="H328" i="27"/>
  <c r="H327" i="27"/>
  <c r="H326" i="27"/>
  <c r="H325" i="27"/>
  <c r="H324" i="27"/>
  <c r="H323" i="27"/>
  <c r="H322" i="27"/>
  <c r="H321" i="27"/>
  <c r="H320" i="27"/>
  <c r="H319" i="27"/>
  <c r="H318" i="27"/>
  <c r="H317" i="27"/>
  <c r="H316" i="27"/>
  <c r="H315" i="27"/>
  <c r="H314" i="27"/>
  <c r="H313" i="27"/>
  <c r="H312" i="27"/>
  <c r="H311" i="27"/>
  <c r="H310" i="27"/>
  <c r="H309" i="27"/>
  <c r="H308" i="27"/>
  <c r="H307" i="27"/>
  <c r="H306" i="27"/>
  <c r="H305" i="27"/>
  <c r="H304" i="27"/>
  <c r="H303" i="27"/>
  <c r="H302" i="27"/>
  <c r="H301" i="27"/>
  <c r="H300" i="27"/>
  <c r="H299" i="27"/>
  <c r="H298" i="27"/>
  <c r="H297" i="27"/>
  <c r="H296" i="27"/>
  <c r="H295" i="27"/>
  <c r="H294" i="27"/>
  <c r="H293" i="27"/>
  <c r="H292" i="27"/>
  <c r="H291" i="27"/>
  <c r="H290" i="27"/>
  <c r="H289" i="27"/>
  <c r="H288" i="27"/>
  <c r="H287" i="27"/>
  <c r="H286" i="27"/>
  <c r="H285" i="27"/>
  <c r="H284" i="27"/>
  <c r="H283" i="27"/>
  <c r="H282" i="27"/>
  <c r="H281" i="27"/>
  <c r="H280" i="27"/>
  <c r="H279" i="27"/>
  <c r="H278" i="27"/>
  <c r="H277" i="27"/>
  <c r="H276" i="27"/>
  <c r="H275" i="27"/>
  <c r="H274" i="27"/>
  <c r="H273" i="27"/>
  <c r="H272" i="27"/>
  <c r="H271" i="27"/>
  <c r="H270" i="27"/>
  <c r="H269" i="27"/>
  <c r="H268" i="27"/>
  <c r="H267" i="27"/>
  <c r="H266" i="27"/>
  <c r="H265" i="27"/>
  <c r="H264" i="27"/>
  <c r="H263" i="27"/>
  <c r="H262" i="27"/>
  <c r="H261" i="27"/>
  <c r="H260" i="27"/>
  <c r="H259" i="27"/>
  <c r="H258" i="27"/>
  <c r="H257" i="27"/>
  <c r="H256" i="27"/>
  <c r="H255" i="27"/>
  <c r="H254" i="27"/>
  <c r="H253" i="27"/>
  <c r="H252" i="27"/>
  <c r="H251" i="27"/>
  <c r="H250" i="27"/>
  <c r="H249" i="27"/>
  <c r="H248" i="27"/>
  <c r="H247" i="27"/>
  <c r="H246" i="27"/>
  <c r="H245" i="27"/>
  <c r="H244" i="27"/>
  <c r="H243" i="27"/>
  <c r="H242" i="27"/>
  <c r="H241" i="27"/>
  <c r="H240" i="27"/>
  <c r="H239" i="27"/>
  <c r="H238" i="27"/>
  <c r="H237" i="27"/>
  <c r="H236" i="27"/>
  <c r="H235" i="27"/>
  <c r="H234" i="27"/>
  <c r="H233" i="27"/>
  <c r="H232" i="27"/>
  <c r="H231" i="27"/>
  <c r="H230" i="27"/>
  <c r="H229" i="27"/>
  <c r="H228" i="27"/>
  <c r="H227" i="27"/>
  <c r="H226" i="27"/>
  <c r="H225" i="27"/>
  <c r="H224" i="27"/>
  <c r="H223" i="27"/>
  <c r="H222" i="27"/>
  <c r="H221" i="27"/>
  <c r="H220" i="27"/>
  <c r="H219" i="27"/>
  <c r="H218" i="27"/>
  <c r="H217" i="27"/>
  <c r="H216" i="27"/>
  <c r="H215" i="27"/>
  <c r="H214" i="27"/>
  <c r="H213" i="27"/>
  <c r="H212" i="27"/>
  <c r="H211" i="27"/>
  <c r="H210" i="27"/>
  <c r="H209" i="27"/>
  <c r="H208" i="27"/>
  <c r="H207" i="27"/>
  <c r="H206" i="27"/>
  <c r="H205" i="27"/>
  <c r="H204" i="27"/>
  <c r="H203" i="27"/>
  <c r="H202" i="27"/>
  <c r="H201" i="27"/>
  <c r="H200" i="27"/>
  <c r="H199" i="27"/>
  <c r="H198" i="27"/>
  <c r="H197" i="27"/>
  <c r="H196" i="27"/>
  <c r="H195" i="27"/>
  <c r="H194" i="27"/>
  <c r="H193" i="27"/>
  <c r="H192" i="27"/>
  <c r="H191" i="27"/>
  <c r="H190" i="27"/>
  <c r="H189" i="27"/>
  <c r="H188" i="27"/>
  <c r="H187" i="27"/>
  <c r="H186" i="27"/>
  <c r="H185" i="27"/>
  <c r="H184" i="27"/>
  <c r="H183" i="27"/>
  <c r="H182" i="27"/>
  <c r="H181" i="27"/>
  <c r="H180" i="27"/>
  <c r="H179" i="27"/>
  <c r="H178" i="27"/>
  <c r="H177" i="27"/>
  <c r="H176" i="27"/>
  <c r="H175" i="27"/>
  <c r="H174" i="27"/>
  <c r="H173" i="27"/>
  <c r="H172" i="27"/>
  <c r="H171" i="27"/>
  <c r="H170" i="27"/>
  <c r="H169" i="27"/>
  <c r="H168" i="27"/>
  <c r="H167" i="27"/>
  <c r="H166" i="27"/>
  <c r="H165" i="27"/>
  <c r="H164" i="27"/>
  <c r="H163" i="27"/>
  <c r="H162" i="27"/>
  <c r="H161" i="27"/>
  <c r="H160" i="27"/>
  <c r="H159" i="27"/>
  <c r="H158" i="27"/>
  <c r="H157" i="27"/>
  <c r="H156" i="27"/>
  <c r="H155" i="27"/>
  <c r="H154" i="27"/>
  <c r="H153" i="27"/>
  <c r="H152" i="27"/>
  <c r="H151" i="27"/>
  <c r="H150" i="27"/>
  <c r="H149" i="27"/>
  <c r="H148" i="27"/>
  <c r="H147" i="27"/>
  <c r="H146" i="27"/>
  <c r="H145" i="27"/>
  <c r="H144" i="27"/>
  <c r="H143" i="27"/>
  <c r="H142" i="27"/>
  <c r="H141" i="27"/>
  <c r="H140" i="27"/>
  <c r="H139" i="27"/>
  <c r="H138" i="27"/>
  <c r="H137" i="27"/>
  <c r="H136" i="27"/>
  <c r="H135" i="27"/>
  <c r="H134" i="27"/>
  <c r="H133" i="27"/>
  <c r="H132" i="27"/>
  <c r="H131" i="27"/>
  <c r="H130" i="27"/>
  <c r="H129" i="27"/>
  <c r="H128" i="27"/>
  <c r="H127" i="27"/>
  <c r="H126" i="27"/>
  <c r="H125" i="27"/>
  <c r="H124" i="27"/>
  <c r="H123" i="27"/>
  <c r="H122" i="27"/>
  <c r="H121" i="27"/>
  <c r="H120" i="27"/>
  <c r="H119" i="27"/>
  <c r="H118" i="27"/>
  <c r="H117" i="27"/>
  <c r="H116" i="27"/>
  <c r="H115" i="27"/>
  <c r="H114" i="27"/>
  <c r="H113" i="27"/>
  <c r="H112" i="27"/>
  <c r="H59" i="27"/>
  <c r="H57" i="27"/>
  <c r="H56" i="27"/>
  <c r="H55" i="27"/>
  <c r="H54" i="27"/>
  <c r="H53" i="27"/>
  <c r="H52" i="27"/>
  <c r="H51" i="27"/>
  <c r="H50" i="27"/>
  <c r="H49" i="27"/>
  <c r="H48" i="27"/>
  <c r="H47" i="27"/>
  <c r="H46" i="27"/>
  <c r="H45" i="27"/>
  <c r="H44" i="27"/>
  <c r="H43" i="27"/>
  <c r="H42" i="27"/>
  <c r="H41" i="27"/>
  <c r="H40" i="27"/>
  <c r="H39" i="27"/>
  <c r="H38" i="27"/>
  <c r="H37" i="27"/>
  <c r="H36" i="27"/>
  <c r="H35" i="27"/>
  <c r="H34" i="27"/>
  <c r="H33" i="27"/>
  <c r="H32" i="27"/>
  <c r="H31" i="27"/>
  <c r="H30" i="27"/>
  <c r="H29" i="27"/>
  <c r="H28" i="27"/>
  <c r="H27" i="27"/>
  <c r="H26" i="27"/>
  <c r="H25" i="27"/>
  <c r="H24" i="27"/>
  <c r="H23" i="27"/>
  <c r="H22" i="27"/>
  <c r="H21" i="27"/>
  <c r="H20" i="27"/>
  <c r="H19" i="27"/>
  <c r="H18" i="27"/>
  <c r="H17" i="27"/>
  <c r="H16" i="27"/>
  <c r="H15" i="27"/>
  <c r="H14" i="27"/>
  <c r="H13" i="27"/>
  <c r="H12" i="27"/>
  <c r="H11" i="27"/>
  <c r="H10" i="27"/>
  <c r="H9" i="27"/>
  <c r="H8" i="27"/>
  <c r="AU9" i="14"/>
  <c r="AV9" i="14"/>
  <c r="AW9" i="14"/>
  <c r="AX9" i="14"/>
  <c r="AY9" i="14"/>
  <c r="AU10" i="14"/>
  <c r="AV10" i="14"/>
  <c r="AW10" i="14"/>
  <c r="AX10" i="14"/>
  <c r="AY10" i="14"/>
  <c r="AU11" i="14"/>
  <c r="AV11" i="14"/>
  <c r="AW11" i="14"/>
  <c r="AX11" i="14"/>
  <c r="AY11" i="14"/>
  <c r="AU12" i="14"/>
  <c r="AV12" i="14"/>
  <c r="AW12" i="14"/>
  <c r="AX12" i="14"/>
  <c r="AY12" i="14"/>
  <c r="AU13" i="14"/>
  <c r="AV13" i="14"/>
  <c r="AW13" i="14"/>
  <c r="AX13" i="14"/>
  <c r="AY13" i="14"/>
  <c r="AU16" i="14"/>
  <c r="AV16" i="14"/>
  <c r="AW16" i="14"/>
  <c r="AX16" i="14"/>
  <c r="AY16" i="14"/>
  <c r="AU17" i="14"/>
  <c r="AV17" i="14"/>
  <c r="AW17" i="14"/>
  <c r="AX17" i="14"/>
  <c r="AY17" i="14"/>
  <c r="AU18" i="14"/>
  <c r="AV18" i="14"/>
  <c r="AW18" i="14"/>
  <c r="AX18" i="14"/>
  <c r="AY18" i="14"/>
  <c r="AU19" i="14"/>
  <c r="AV19" i="14"/>
  <c r="AW19" i="14"/>
  <c r="AX19" i="14"/>
  <c r="AY19" i="14"/>
  <c r="AU20" i="14"/>
  <c r="AV20" i="14"/>
  <c r="AW20" i="14"/>
  <c r="AX20" i="14"/>
  <c r="AY20" i="14"/>
  <c r="AU23" i="14"/>
  <c r="AV23" i="14"/>
  <c r="AW23" i="14"/>
  <c r="AX23" i="14"/>
  <c r="AY23" i="14"/>
  <c r="AU26" i="14"/>
  <c r="AV26" i="14"/>
  <c r="AW26" i="14"/>
  <c r="AX26" i="14"/>
  <c r="AY26" i="14"/>
  <c r="AU27" i="14"/>
  <c r="AV27" i="14"/>
  <c r="AW27" i="14"/>
  <c r="AX27" i="14"/>
  <c r="AY27" i="14"/>
  <c r="AU28" i="14"/>
  <c r="AV28" i="14"/>
  <c r="AW28" i="14"/>
  <c r="AX28" i="14"/>
  <c r="AY28" i="14"/>
  <c r="AU29" i="14"/>
  <c r="AV29" i="14"/>
  <c r="AW29" i="14"/>
  <c r="AX29" i="14"/>
  <c r="AY29" i="14"/>
  <c r="AU30" i="14"/>
  <c r="AV30" i="14"/>
  <c r="AW30" i="14"/>
  <c r="AX30" i="14"/>
  <c r="AY30" i="14"/>
  <c r="AU31" i="14"/>
  <c r="AV31" i="14"/>
  <c r="AW31" i="14"/>
  <c r="AX31" i="14"/>
  <c r="AY31" i="14"/>
  <c r="AU32" i="14"/>
  <c r="AV32" i="14"/>
  <c r="AW32" i="14"/>
  <c r="AX32" i="14"/>
  <c r="AY32" i="14"/>
  <c r="AU33" i="14"/>
  <c r="AV33" i="14"/>
  <c r="AW33" i="14"/>
  <c r="AX33" i="14"/>
  <c r="AY33" i="14"/>
  <c r="AU34" i="14"/>
  <c r="AV34" i="14"/>
  <c r="AW34" i="14"/>
  <c r="AX34" i="14"/>
  <c r="AY34" i="14"/>
  <c r="AU35" i="14"/>
  <c r="AV35" i="14"/>
  <c r="AW35" i="14"/>
  <c r="AX35" i="14"/>
  <c r="AY35" i="14"/>
  <c r="AU36" i="14"/>
  <c r="AV36" i="14"/>
  <c r="AW36" i="14"/>
  <c r="AX36" i="14"/>
  <c r="AY36" i="14"/>
  <c r="AU39" i="14"/>
  <c r="AV39" i="14"/>
  <c r="AW39" i="14"/>
  <c r="AX39" i="14"/>
  <c r="AY39" i="14"/>
  <c r="AU40" i="14"/>
  <c r="AV40" i="14"/>
  <c r="AW40" i="14"/>
  <c r="AX40" i="14"/>
  <c r="AY40" i="14"/>
  <c r="AU41" i="14"/>
  <c r="AV41" i="14"/>
  <c r="AW41" i="14"/>
  <c r="AX41" i="14"/>
  <c r="AY41" i="14"/>
  <c r="AU42" i="14"/>
  <c r="AV42" i="14"/>
  <c r="AW42" i="14"/>
  <c r="AX42" i="14"/>
  <c r="AY42" i="14"/>
  <c r="AU43" i="14"/>
  <c r="AV43" i="14"/>
  <c r="AW43" i="14"/>
  <c r="AX43" i="14"/>
  <c r="AY43" i="14"/>
  <c r="AU47" i="14"/>
  <c r="AV47" i="14"/>
  <c r="AW47" i="14"/>
  <c r="AX47" i="14"/>
  <c r="AY47" i="14"/>
  <c r="AU48" i="14"/>
  <c r="AV48" i="14"/>
  <c r="AW48" i="14"/>
  <c r="AX48" i="14"/>
  <c r="AY48" i="14"/>
  <c r="AU49" i="14"/>
  <c r="AV49" i="14"/>
  <c r="AW49" i="14"/>
  <c r="AX49" i="14"/>
  <c r="AY49" i="14"/>
  <c r="AU50" i="14"/>
  <c r="AV50" i="14"/>
  <c r="AW50" i="14"/>
  <c r="AX50" i="14"/>
  <c r="AY50" i="14"/>
  <c r="AU51" i="14"/>
  <c r="AV51" i="14"/>
  <c r="AW51" i="14"/>
  <c r="AX51" i="14"/>
  <c r="AY51" i="14"/>
  <c r="AU55" i="14"/>
  <c r="AV55" i="14"/>
  <c r="AW55" i="14"/>
  <c r="AX55" i="14"/>
  <c r="AT58" i="14"/>
  <c r="AU58" i="14"/>
  <c r="AV58" i="14"/>
  <c r="AW58" i="14"/>
  <c r="AX58" i="14"/>
  <c r="AY58" i="14"/>
  <c r="AT59" i="14"/>
  <c r="AU60" i="14"/>
  <c r="AV60" i="14"/>
  <c r="AW60" i="14"/>
  <c r="AX60" i="14"/>
  <c r="AY60" i="14"/>
  <c r="AT61" i="14"/>
  <c r="AU61" i="14"/>
  <c r="AV61" i="14"/>
  <c r="AW61" i="14"/>
  <c r="AX61" i="14"/>
  <c r="AY61" i="14"/>
  <c r="AT62" i="14"/>
  <c r="AT63" i="14"/>
  <c r="AT64" i="14"/>
  <c r="AU65" i="14"/>
  <c r="AV65" i="14"/>
  <c r="AW65" i="14"/>
  <c r="AX65" i="14"/>
  <c r="AY65" i="14"/>
  <c r="AU66" i="14"/>
  <c r="AV66" i="14"/>
  <c r="AW66" i="14"/>
  <c r="AX66" i="14"/>
  <c r="AY66" i="14"/>
  <c r="AU69" i="14"/>
  <c r="AU70" i="14"/>
  <c r="AU71" i="14"/>
  <c r="AU72" i="14"/>
  <c r="AU73" i="14"/>
  <c r="AU74" i="14"/>
  <c r="AU77" i="14"/>
  <c r="AV77" i="14"/>
  <c r="AW77" i="14"/>
  <c r="AX77" i="14"/>
  <c r="AY77" i="14"/>
  <c r="AU78" i="14"/>
  <c r="AV78" i="14"/>
  <c r="AW78" i="14"/>
  <c r="AX78" i="14"/>
  <c r="AY78" i="14"/>
  <c r="AU79" i="14"/>
  <c r="AV79" i="14"/>
  <c r="AW79" i="14"/>
  <c r="AX79" i="14"/>
  <c r="AY79" i="14"/>
  <c r="AU80" i="14"/>
  <c r="AV80" i="14"/>
  <c r="AW80" i="14"/>
  <c r="AX80" i="14"/>
  <c r="AY80" i="14"/>
  <c r="AU83" i="14"/>
  <c r="AV83" i="14"/>
  <c r="AW83" i="14"/>
  <c r="AX83" i="14"/>
  <c r="AY83" i="14"/>
  <c r="AU84" i="14"/>
  <c r="AV84" i="14"/>
  <c r="AW84" i="14"/>
  <c r="AX84" i="14"/>
  <c r="AY84" i="14"/>
  <c r="AU85" i="14"/>
  <c r="AV85" i="14"/>
  <c r="AW85" i="14"/>
  <c r="AX85" i="14"/>
  <c r="AY85" i="14"/>
  <c r="AU86" i="14"/>
  <c r="AV86" i="14"/>
  <c r="AW86" i="14"/>
  <c r="AX86" i="14"/>
  <c r="AY86" i="14"/>
  <c r="AU87" i="14"/>
  <c r="AU88" i="14"/>
  <c r="AU89" i="14"/>
  <c r="AU90" i="14"/>
  <c r="AU91" i="14"/>
  <c r="AU92" i="14"/>
  <c r="AT93" i="14"/>
  <c r="AT94" i="14"/>
  <c r="AU95" i="14"/>
  <c r="AU99" i="14"/>
  <c r="AV99" i="14"/>
  <c r="AW99" i="14"/>
  <c r="AX99" i="14"/>
  <c r="AY99" i="14"/>
  <c r="AU100" i="14"/>
  <c r="AV100" i="14"/>
  <c r="AW100" i="14"/>
  <c r="AX100" i="14"/>
  <c r="AY100" i="14"/>
  <c r="AU101" i="14"/>
  <c r="AV101" i="14"/>
  <c r="AW101" i="14"/>
  <c r="AX101" i="14"/>
  <c r="AY101" i="14"/>
  <c r="AU102" i="14"/>
  <c r="AV102" i="14"/>
  <c r="AW102" i="14"/>
  <c r="AX102" i="14"/>
  <c r="AY102" i="14"/>
  <c r="AU103" i="14"/>
  <c r="AV103" i="14"/>
  <c r="AW103" i="14"/>
  <c r="AX103" i="14"/>
  <c r="AY103" i="14"/>
  <c r="AU104" i="14"/>
  <c r="AV104" i="14"/>
  <c r="AW104" i="14"/>
  <c r="AX104" i="14"/>
  <c r="AY104" i="14"/>
  <c r="AU105" i="14"/>
  <c r="AV105" i="14"/>
  <c r="AW105" i="14"/>
  <c r="AX105" i="14"/>
  <c r="AY105" i="14"/>
  <c r="AU106" i="14"/>
  <c r="AV106" i="14"/>
  <c r="AW106" i="14"/>
  <c r="AX106" i="14"/>
  <c r="AY106" i="14"/>
  <c r="AU107" i="14"/>
  <c r="AV107" i="14"/>
  <c r="AW107" i="14"/>
  <c r="AX107" i="14"/>
  <c r="AY107" i="14"/>
  <c r="AU108" i="14"/>
  <c r="AV108" i="14"/>
  <c r="AW108" i="14"/>
  <c r="AX108" i="14"/>
  <c r="AY108" i="14"/>
  <c r="AU109" i="14"/>
  <c r="AV109" i="14"/>
  <c r="AW109" i="14"/>
  <c r="AX109" i="14"/>
  <c r="AY109" i="14"/>
  <c r="AU110" i="14"/>
  <c r="AV110" i="14"/>
  <c r="AW110" i="14"/>
  <c r="AX110" i="14"/>
  <c r="AY110" i="14"/>
  <c r="AU111" i="14"/>
  <c r="AV111" i="14"/>
  <c r="AW111" i="14"/>
  <c r="AX111" i="14"/>
  <c r="AY111" i="14"/>
  <c r="AU112" i="14"/>
  <c r="AV112" i="14"/>
  <c r="AW112" i="14"/>
  <c r="AX112" i="14"/>
  <c r="AY112" i="14"/>
  <c r="AU113" i="14"/>
  <c r="AV113" i="14"/>
  <c r="AW113" i="14"/>
  <c r="AX113" i="14"/>
  <c r="AY113" i="14"/>
  <c r="AU114" i="14"/>
  <c r="AV114" i="14"/>
  <c r="AW114" i="14"/>
  <c r="AX114" i="14"/>
  <c r="AY114" i="14"/>
  <c r="AU115" i="14"/>
  <c r="AV115" i="14"/>
  <c r="AW115" i="14"/>
  <c r="AX115" i="14"/>
  <c r="AY115" i="14"/>
  <c r="AU116" i="14"/>
  <c r="AV116" i="14"/>
  <c r="AW116" i="14"/>
  <c r="AX116" i="14"/>
  <c r="AY116" i="14"/>
  <c r="AU117" i="14"/>
  <c r="AV117" i="14"/>
  <c r="AW117" i="14"/>
  <c r="AX117" i="14"/>
  <c r="AY117" i="14"/>
  <c r="AU118" i="14"/>
  <c r="AV118" i="14"/>
  <c r="AW118" i="14"/>
  <c r="AX118" i="14"/>
  <c r="AY118" i="14"/>
  <c r="AU119" i="14"/>
  <c r="AV119" i="14"/>
  <c r="AW119" i="14"/>
  <c r="AX119" i="14"/>
  <c r="AY119" i="14"/>
  <c r="AU120" i="14"/>
  <c r="AV120" i="14"/>
  <c r="AW120" i="14"/>
  <c r="AX120" i="14"/>
  <c r="AY120" i="14"/>
  <c r="AU121" i="14"/>
  <c r="AV121" i="14"/>
  <c r="AW121" i="14"/>
  <c r="AX121" i="14"/>
  <c r="AY121" i="14"/>
  <c r="AU122" i="14"/>
  <c r="AV122" i="14"/>
  <c r="AW122" i="14"/>
  <c r="AX122" i="14"/>
  <c r="AY122" i="14"/>
  <c r="AU123" i="14"/>
  <c r="AV123" i="14"/>
  <c r="AW123" i="14"/>
  <c r="AX123" i="14"/>
  <c r="AY123" i="14"/>
  <c r="AU124" i="14"/>
  <c r="AV124" i="14"/>
  <c r="AW124" i="14"/>
  <c r="AX124" i="14"/>
  <c r="AY124" i="14"/>
  <c r="AU125" i="14"/>
  <c r="AV125" i="14"/>
  <c r="AW125" i="14"/>
  <c r="AX125" i="14"/>
  <c r="AY125" i="14"/>
  <c r="AU126" i="14"/>
  <c r="AV126" i="14"/>
  <c r="AW126" i="14"/>
  <c r="AX126" i="14"/>
  <c r="AY126" i="14"/>
  <c r="AU127" i="14"/>
  <c r="AV127" i="14"/>
  <c r="AW127" i="14"/>
  <c r="AX127" i="14"/>
  <c r="AY127" i="14"/>
  <c r="AU128" i="14"/>
  <c r="AV128" i="14"/>
  <c r="AW128" i="14"/>
  <c r="AX128" i="14"/>
  <c r="AY128" i="14"/>
  <c r="AU129" i="14"/>
  <c r="AV129" i="14"/>
  <c r="AW129" i="14"/>
  <c r="AX129" i="14"/>
  <c r="AY129" i="14"/>
  <c r="AU130" i="14"/>
  <c r="AV130" i="14"/>
  <c r="AW130" i="14"/>
  <c r="AX130" i="14"/>
  <c r="AY130" i="14"/>
  <c r="AU131" i="14"/>
  <c r="AV131" i="14"/>
  <c r="AW131" i="14"/>
  <c r="AX131" i="14"/>
  <c r="AY131" i="14"/>
  <c r="AU132" i="14"/>
  <c r="AV132" i="14"/>
  <c r="AW132" i="14"/>
  <c r="AX132" i="14"/>
  <c r="AY132" i="14"/>
  <c r="AU133" i="14"/>
  <c r="AV133" i="14"/>
  <c r="AW133" i="14"/>
  <c r="AX133" i="14"/>
  <c r="AY133" i="14"/>
  <c r="AU134" i="14"/>
  <c r="AV134" i="14"/>
  <c r="AW134" i="14"/>
  <c r="AX134" i="14"/>
  <c r="AY134" i="14"/>
  <c r="AU135" i="14"/>
  <c r="AV135" i="14"/>
  <c r="AW135" i="14"/>
  <c r="AX135" i="14"/>
  <c r="AY135" i="14"/>
  <c r="AU136" i="14"/>
  <c r="AV136" i="14"/>
  <c r="AW136" i="14"/>
  <c r="AX136" i="14"/>
  <c r="AY136" i="14"/>
  <c r="AU137" i="14"/>
  <c r="AV137" i="14"/>
  <c r="AW137" i="14"/>
  <c r="AX137" i="14"/>
  <c r="AY137" i="14"/>
  <c r="AU138" i="14"/>
  <c r="AV138" i="14"/>
  <c r="AW138" i="14"/>
  <c r="AX138" i="14"/>
  <c r="AY138" i="14"/>
  <c r="AU139" i="14"/>
  <c r="AV139" i="14"/>
  <c r="AW139" i="14"/>
  <c r="AX139" i="14"/>
  <c r="AY139" i="14"/>
  <c r="AU140" i="14"/>
  <c r="AV140" i="14"/>
  <c r="AW140" i="14"/>
  <c r="AX140" i="14"/>
  <c r="AY140" i="14"/>
  <c r="AU141" i="14"/>
  <c r="AV141" i="14"/>
  <c r="AW141" i="14"/>
  <c r="AX141" i="14"/>
  <c r="AY141" i="14"/>
  <c r="AU142" i="14"/>
  <c r="AV142" i="14"/>
  <c r="AW142" i="14"/>
  <c r="AX142" i="14"/>
  <c r="AY142" i="14"/>
  <c r="AU143" i="14"/>
  <c r="AV143" i="14"/>
  <c r="AW143" i="14"/>
  <c r="AX143" i="14"/>
  <c r="AY143" i="14"/>
  <c r="AU144" i="14"/>
  <c r="AV144" i="14"/>
  <c r="AW144" i="14"/>
  <c r="AX144" i="14"/>
  <c r="AY144" i="14"/>
  <c r="AU145" i="14"/>
  <c r="AV145" i="14"/>
  <c r="AW145" i="14"/>
  <c r="AX145" i="14"/>
  <c r="AY145" i="14"/>
  <c r="AU146" i="14"/>
  <c r="AV146" i="14"/>
  <c r="AW146" i="14"/>
  <c r="AX146" i="14"/>
  <c r="AY146" i="14"/>
  <c r="AU147" i="14"/>
  <c r="AV147" i="14"/>
  <c r="AW147" i="14"/>
  <c r="AX147" i="14"/>
  <c r="AY147" i="14"/>
  <c r="AU148" i="14"/>
  <c r="AV148" i="14"/>
  <c r="AW148" i="14"/>
  <c r="AX148" i="14"/>
  <c r="AY148" i="14"/>
  <c r="AU152" i="14"/>
  <c r="AV152" i="14"/>
  <c r="AW152" i="14"/>
  <c r="AU153" i="14"/>
  <c r="AV153" i="14"/>
  <c r="AW153" i="14"/>
  <c r="AU154" i="14"/>
  <c r="AV154" i="14"/>
  <c r="AW154" i="14"/>
  <c r="AU155" i="14"/>
  <c r="AV155" i="14"/>
  <c r="AW155" i="14"/>
  <c r="AU156" i="14"/>
  <c r="AV156" i="14"/>
  <c r="AW156" i="14"/>
  <c r="AU157" i="14"/>
  <c r="AV157" i="14"/>
  <c r="AW157" i="14"/>
  <c r="AU158" i="14"/>
  <c r="AV158" i="14"/>
  <c r="AW158" i="14"/>
  <c r="AU159" i="14"/>
  <c r="AV159" i="14"/>
  <c r="AW159" i="14"/>
  <c r="AU160" i="14"/>
  <c r="AV160" i="14"/>
  <c r="AW160" i="14"/>
  <c r="AU161" i="14"/>
  <c r="AV161" i="14"/>
  <c r="AW161" i="14"/>
  <c r="AU162" i="14"/>
  <c r="AV162" i="14"/>
  <c r="AW162" i="14"/>
  <c r="AU163" i="14"/>
  <c r="AV163" i="14"/>
  <c r="AW163" i="14"/>
  <c r="AU164" i="14"/>
  <c r="AV164" i="14"/>
  <c r="AW164" i="14"/>
  <c r="AU165" i="14"/>
  <c r="AV165" i="14"/>
  <c r="AW165" i="14"/>
  <c r="AU166" i="14"/>
  <c r="AV166" i="14"/>
  <c r="AW166" i="14"/>
  <c r="AU167" i="14"/>
  <c r="AV167" i="14"/>
  <c r="AW167" i="14"/>
  <c r="AU168" i="14"/>
  <c r="AV168" i="14"/>
  <c r="AW168" i="14"/>
  <c r="AU169" i="14"/>
  <c r="AV169" i="14"/>
  <c r="AW169" i="14"/>
  <c r="AU170" i="14"/>
  <c r="AV170" i="14"/>
  <c r="AW170" i="14"/>
  <c r="AU171" i="14"/>
  <c r="AV171" i="14"/>
  <c r="AW171" i="14"/>
  <c r="AU172" i="14"/>
  <c r="AV172" i="14"/>
  <c r="AW172" i="14"/>
  <c r="AU173" i="14"/>
  <c r="AV173" i="14"/>
  <c r="AW173" i="14"/>
  <c r="AU174" i="14"/>
  <c r="AV174" i="14"/>
  <c r="AW174" i="14"/>
  <c r="AU175" i="14"/>
  <c r="AV175" i="14"/>
  <c r="AW175" i="14"/>
  <c r="AU176" i="14"/>
  <c r="AV176" i="14"/>
  <c r="AW176" i="14"/>
  <c r="AU177" i="14"/>
  <c r="AV177" i="14"/>
  <c r="AW177" i="14"/>
  <c r="AU178" i="14"/>
  <c r="AV178" i="14"/>
  <c r="AW178" i="14"/>
  <c r="AU179" i="14"/>
  <c r="AV179" i="14"/>
  <c r="AW179" i="14"/>
  <c r="AU180" i="14"/>
  <c r="AV180" i="14"/>
  <c r="AW180" i="14"/>
  <c r="AU181" i="14"/>
  <c r="AV181" i="14"/>
  <c r="AW181" i="14"/>
  <c r="AU182" i="14"/>
  <c r="AV182" i="14"/>
  <c r="AW182" i="14"/>
  <c r="AU183" i="14"/>
  <c r="AV183" i="14"/>
  <c r="AW183" i="14"/>
  <c r="AU184" i="14"/>
  <c r="AV184" i="14"/>
  <c r="AW184" i="14"/>
  <c r="AU185" i="14"/>
  <c r="AV185" i="14"/>
  <c r="AW185" i="14"/>
  <c r="AU186" i="14"/>
  <c r="AV186" i="14"/>
  <c r="AW186" i="14"/>
  <c r="AU187" i="14"/>
  <c r="AV187" i="14"/>
  <c r="AW187" i="14"/>
  <c r="AU188" i="14"/>
  <c r="AV188" i="14"/>
  <c r="AW188" i="14"/>
  <c r="AU189" i="14"/>
  <c r="AV189" i="14"/>
  <c r="AW189" i="14"/>
  <c r="AU190" i="14"/>
  <c r="AV190" i="14"/>
  <c r="AW190" i="14"/>
  <c r="AU191" i="14"/>
  <c r="AV191" i="14"/>
  <c r="AW191" i="14"/>
  <c r="AU192" i="14"/>
  <c r="AV192" i="14"/>
  <c r="AW192" i="14"/>
  <c r="AU193" i="14"/>
  <c r="AV193" i="14"/>
  <c r="AW193" i="14"/>
  <c r="AU194" i="14"/>
  <c r="AV194" i="14"/>
  <c r="AW194" i="14"/>
  <c r="AU195" i="14"/>
  <c r="AV195" i="14"/>
  <c r="AW195" i="14"/>
  <c r="AU196" i="14"/>
  <c r="AV196" i="14"/>
  <c r="AW196" i="14"/>
  <c r="AU197" i="14"/>
  <c r="AV197" i="14"/>
  <c r="AW197" i="14"/>
  <c r="AU198" i="14"/>
  <c r="AV198" i="14"/>
  <c r="AW198" i="14"/>
  <c r="AU199" i="14"/>
  <c r="AV199" i="14"/>
  <c r="AW199" i="14"/>
  <c r="AU200" i="14"/>
  <c r="AV200" i="14"/>
  <c r="AW200" i="14"/>
  <c r="AU201" i="14"/>
  <c r="AV201" i="14"/>
  <c r="AW201" i="14"/>
  <c r="AU202" i="14"/>
  <c r="AV202" i="14"/>
  <c r="AW202" i="14"/>
  <c r="AU205" i="14"/>
  <c r="AV205" i="14"/>
  <c r="AW205" i="14"/>
  <c r="AX205" i="14"/>
  <c r="AY205" i="14"/>
  <c r="AU206" i="14"/>
  <c r="AV206" i="14"/>
  <c r="AW206" i="14"/>
  <c r="AX206" i="14"/>
  <c r="AY206" i="14"/>
  <c r="AU207" i="14"/>
  <c r="AV207" i="14"/>
  <c r="AW207" i="14"/>
  <c r="AX207" i="14"/>
  <c r="AY207" i="14"/>
  <c r="AU208" i="14"/>
  <c r="AV208" i="14"/>
  <c r="AW208" i="14"/>
  <c r="AX208" i="14"/>
  <c r="AY208" i="14"/>
  <c r="AU209" i="14"/>
  <c r="AV209" i="14"/>
  <c r="AW209" i="14"/>
  <c r="AX209" i="14"/>
  <c r="AY209" i="14"/>
  <c r="AU210" i="14"/>
  <c r="AV210" i="14"/>
  <c r="AW210" i="14"/>
  <c r="AX210" i="14"/>
  <c r="AY210" i="14"/>
  <c r="AU211" i="14"/>
  <c r="AV211" i="14"/>
  <c r="AW211" i="14"/>
  <c r="AX211" i="14"/>
  <c r="AY211" i="14"/>
  <c r="AU212" i="14"/>
  <c r="AV212" i="14"/>
  <c r="AW212" i="14"/>
  <c r="AX212" i="14"/>
  <c r="AY212" i="14"/>
  <c r="AU213" i="14"/>
  <c r="AV213" i="14"/>
  <c r="AW213" i="14"/>
  <c r="AX213" i="14"/>
  <c r="AY213" i="14"/>
  <c r="AU214" i="14"/>
  <c r="AV214" i="14"/>
  <c r="AW214" i="14"/>
  <c r="AX214" i="14"/>
  <c r="AY214" i="14"/>
  <c r="AU215" i="14"/>
  <c r="AV215" i="14"/>
  <c r="AW215" i="14"/>
  <c r="AX215" i="14"/>
  <c r="AY215" i="14"/>
  <c r="AU216" i="14"/>
  <c r="AV216" i="14"/>
  <c r="AW216" i="14"/>
  <c r="AX216" i="14"/>
  <c r="AY216" i="14"/>
  <c r="AU217" i="14"/>
  <c r="AV217" i="14"/>
  <c r="AW217" i="14"/>
  <c r="AX217" i="14"/>
  <c r="AY217" i="14"/>
  <c r="AU218" i="14"/>
  <c r="AV218" i="14"/>
  <c r="AW218" i="14"/>
  <c r="AX218" i="14"/>
  <c r="AY218" i="14"/>
  <c r="AU219" i="14"/>
  <c r="AV219" i="14"/>
  <c r="AW219" i="14"/>
  <c r="AX219" i="14"/>
  <c r="AY219" i="14"/>
  <c r="AU220" i="14"/>
  <c r="AV220" i="14"/>
  <c r="AW220" i="14"/>
  <c r="AX220" i="14"/>
  <c r="AY220" i="14"/>
  <c r="AU221" i="14"/>
  <c r="AV221" i="14"/>
  <c r="AW221" i="14"/>
  <c r="AX221" i="14"/>
  <c r="AY221" i="14"/>
  <c r="AU222" i="14"/>
  <c r="AV222" i="14"/>
  <c r="AW222" i="14"/>
  <c r="AX222" i="14"/>
  <c r="AY222" i="14"/>
  <c r="AU223" i="14"/>
  <c r="AV223" i="14"/>
  <c r="AW223" i="14"/>
  <c r="AX223" i="14"/>
  <c r="AY223" i="14"/>
  <c r="AU224" i="14"/>
  <c r="AV224" i="14"/>
  <c r="AW224" i="14"/>
  <c r="AX224" i="14"/>
  <c r="AY224" i="14"/>
  <c r="AU225" i="14"/>
  <c r="AV225" i="14"/>
  <c r="AW225" i="14"/>
  <c r="AX225" i="14"/>
  <c r="AY225" i="14"/>
  <c r="AU226" i="14"/>
  <c r="AV226" i="14"/>
  <c r="AW226" i="14"/>
  <c r="AX226" i="14"/>
  <c r="AY226" i="14"/>
  <c r="AU227" i="14"/>
  <c r="AV227" i="14"/>
  <c r="AW227" i="14"/>
  <c r="AX227" i="14"/>
  <c r="AY227" i="14"/>
  <c r="AU228" i="14"/>
  <c r="AV228" i="14"/>
  <c r="AW228" i="14"/>
  <c r="AX228" i="14"/>
  <c r="AY228" i="14"/>
  <c r="AU229" i="14"/>
  <c r="AV229" i="14"/>
  <c r="AW229" i="14"/>
  <c r="AX229" i="14"/>
  <c r="AY229" i="14"/>
  <c r="AU230" i="14"/>
  <c r="AV230" i="14"/>
  <c r="AW230" i="14"/>
  <c r="AX230" i="14"/>
  <c r="AY230" i="14"/>
  <c r="AU231" i="14"/>
  <c r="AV231" i="14"/>
  <c r="AW231" i="14"/>
  <c r="AX231" i="14"/>
  <c r="AY231" i="14"/>
  <c r="AU232" i="14"/>
  <c r="AV232" i="14"/>
  <c r="AW232" i="14"/>
  <c r="AX232" i="14"/>
  <c r="AY232" i="14"/>
  <c r="AU233" i="14"/>
  <c r="AV233" i="14"/>
  <c r="AW233" i="14"/>
  <c r="AX233" i="14"/>
  <c r="AY233" i="14"/>
  <c r="AU234" i="14"/>
  <c r="AV234" i="14"/>
  <c r="AW234" i="14"/>
  <c r="AX234" i="14"/>
  <c r="AY234" i="14"/>
  <c r="AU235" i="14"/>
  <c r="AV235" i="14"/>
  <c r="AW235" i="14"/>
  <c r="AX235" i="14"/>
  <c r="AY235" i="14"/>
  <c r="AU236" i="14"/>
  <c r="AV236" i="14"/>
  <c r="AW236" i="14"/>
  <c r="AX236" i="14"/>
  <c r="AY236" i="14"/>
  <c r="AU237" i="14"/>
  <c r="AV237" i="14"/>
  <c r="AW237" i="14"/>
  <c r="AX237" i="14"/>
  <c r="AY237" i="14"/>
  <c r="AU238" i="14"/>
  <c r="AV238" i="14"/>
  <c r="AW238" i="14"/>
  <c r="AX238" i="14"/>
  <c r="AY238" i="14"/>
  <c r="AU239" i="14"/>
  <c r="AV239" i="14"/>
  <c r="AW239" i="14"/>
  <c r="AX239" i="14"/>
  <c r="AY239" i="14"/>
  <c r="AU240" i="14"/>
  <c r="AV240" i="14"/>
  <c r="AW240" i="14"/>
  <c r="AX240" i="14"/>
  <c r="AY240" i="14"/>
  <c r="AU241" i="14"/>
  <c r="AV241" i="14"/>
  <c r="AW241" i="14"/>
  <c r="AX241" i="14"/>
  <c r="AY241" i="14"/>
  <c r="AU242" i="14"/>
  <c r="AV242" i="14"/>
  <c r="AW242" i="14"/>
  <c r="AX242" i="14"/>
  <c r="AY242" i="14"/>
  <c r="AU243" i="14"/>
  <c r="AV243" i="14"/>
  <c r="AW243" i="14"/>
  <c r="AX243" i="14"/>
  <c r="AY243" i="14"/>
  <c r="AU244" i="14"/>
  <c r="AV244" i="14"/>
  <c r="AW244" i="14"/>
  <c r="AX244" i="14"/>
  <c r="AY244" i="14"/>
  <c r="AU245" i="14"/>
  <c r="AV245" i="14"/>
  <c r="AW245" i="14"/>
  <c r="AX245" i="14"/>
  <c r="AY245" i="14"/>
  <c r="AU246" i="14"/>
  <c r="AV246" i="14"/>
  <c r="AW246" i="14"/>
  <c r="AX246" i="14"/>
  <c r="AY246" i="14"/>
  <c r="AU247" i="14"/>
  <c r="AV247" i="14"/>
  <c r="AW247" i="14"/>
  <c r="AX247" i="14"/>
  <c r="AY247" i="14"/>
  <c r="AU248" i="14"/>
  <c r="AV248" i="14"/>
  <c r="AW248" i="14"/>
  <c r="AX248" i="14"/>
  <c r="AY248" i="14"/>
  <c r="AU249" i="14"/>
  <c r="AV249" i="14"/>
  <c r="AW249" i="14"/>
  <c r="AX249" i="14"/>
  <c r="AY249" i="14"/>
  <c r="AU250" i="14"/>
  <c r="AV250" i="14"/>
  <c r="AW250" i="14"/>
  <c r="AX250" i="14"/>
  <c r="AY250" i="14"/>
  <c r="AU251" i="14"/>
  <c r="AV251" i="14"/>
  <c r="AW251" i="14"/>
  <c r="AX251" i="14"/>
  <c r="AY251" i="14"/>
  <c r="AU252" i="14"/>
  <c r="AV252" i="14"/>
  <c r="AW252" i="14"/>
  <c r="AX252" i="14"/>
  <c r="AY252" i="14"/>
  <c r="AU253" i="14"/>
  <c r="AV253" i="14"/>
  <c r="AW253" i="14"/>
  <c r="AX253" i="14"/>
  <c r="AY253" i="14"/>
  <c r="AU254" i="14"/>
  <c r="AV254" i="14"/>
  <c r="AW254" i="14"/>
  <c r="AX254" i="14"/>
  <c r="AY254" i="14"/>
  <c r="AU255" i="14"/>
  <c r="AV255" i="14"/>
  <c r="AW255" i="14"/>
  <c r="AX255" i="14"/>
  <c r="AY255" i="14"/>
  <c r="AU256" i="14"/>
  <c r="AV256" i="14"/>
  <c r="AW256" i="14"/>
  <c r="AX256" i="14"/>
  <c r="AY256" i="14"/>
  <c r="AU257" i="14"/>
  <c r="AV257" i="14"/>
  <c r="AW257" i="14"/>
  <c r="AX257" i="14"/>
  <c r="AY257" i="14"/>
  <c r="AU258" i="14"/>
  <c r="AV258" i="14"/>
  <c r="AW258" i="14"/>
  <c r="AX258" i="14"/>
  <c r="AY258" i="14"/>
  <c r="AU259" i="14"/>
  <c r="AV259" i="14"/>
  <c r="AW259" i="14"/>
  <c r="AX259" i="14"/>
  <c r="AY259" i="14"/>
  <c r="AU260" i="14"/>
  <c r="AV260" i="14"/>
  <c r="AW260" i="14"/>
  <c r="AX260" i="14"/>
  <c r="AY260" i="14"/>
  <c r="AU261" i="14"/>
  <c r="AV261" i="14"/>
  <c r="AW261" i="14"/>
  <c r="AX261" i="14"/>
  <c r="AY261" i="14"/>
  <c r="AU262" i="14"/>
  <c r="AV262" i="14"/>
  <c r="AW262" i="14"/>
  <c r="AX262" i="14"/>
  <c r="AY262" i="14"/>
  <c r="AU263" i="14"/>
  <c r="AV263" i="14"/>
  <c r="AW263" i="14"/>
  <c r="AX263" i="14"/>
  <c r="AY263" i="14"/>
  <c r="AU264" i="14"/>
  <c r="AV264" i="14"/>
  <c r="AW264" i="14"/>
  <c r="AX264" i="14"/>
  <c r="AY264" i="14"/>
  <c r="AU265" i="14"/>
  <c r="AV265" i="14"/>
  <c r="AW265" i="14"/>
  <c r="AX265" i="14"/>
  <c r="AY265" i="14"/>
  <c r="AU266" i="14"/>
  <c r="AV266" i="14"/>
  <c r="AW266" i="14"/>
  <c r="AX266" i="14"/>
  <c r="AY266" i="14"/>
  <c r="AU267" i="14"/>
  <c r="AV267" i="14"/>
  <c r="AW267" i="14"/>
  <c r="AX267" i="14"/>
  <c r="AY267" i="14"/>
  <c r="AU268" i="14"/>
  <c r="AV268" i="14"/>
  <c r="AW268" i="14"/>
  <c r="AX268" i="14"/>
  <c r="AY268" i="14"/>
  <c r="AU269" i="14"/>
  <c r="AV269" i="14"/>
  <c r="AW269" i="14"/>
  <c r="AX269" i="14"/>
  <c r="AY269" i="14"/>
  <c r="AU270" i="14"/>
  <c r="AV270" i="14"/>
  <c r="AW270" i="14"/>
  <c r="AX270" i="14"/>
  <c r="AY270" i="14"/>
  <c r="AU271" i="14"/>
  <c r="AV271" i="14"/>
  <c r="AW271" i="14"/>
  <c r="AX271" i="14"/>
  <c r="AY271" i="14"/>
  <c r="AU272" i="14"/>
  <c r="AV272" i="14"/>
  <c r="AW272" i="14"/>
  <c r="AX272" i="14"/>
  <c r="AY272" i="14"/>
  <c r="AU273" i="14"/>
  <c r="AV273" i="14"/>
  <c r="AW273" i="14"/>
  <c r="AX273" i="14"/>
  <c r="AY273" i="14"/>
  <c r="AU274" i="14"/>
  <c r="AV274" i="14"/>
  <c r="AW274" i="14"/>
  <c r="AX274" i="14"/>
  <c r="AY274" i="14"/>
  <c r="AU275" i="14"/>
  <c r="AV275" i="14"/>
  <c r="AW275" i="14"/>
  <c r="AX275" i="14"/>
  <c r="AY275" i="14"/>
  <c r="AU276" i="14"/>
  <c r="AV276" i="14"/>
  <c r="AW276" i="14"/>
  <c r="AX276" i="14"/>
  <c r="AY276" i="14"/>
  <c r="AU277" i="14"/>
  <c r="AV277" i="14"/>
  <c r="AW277" i="14"/>
  <c r="AX277" i="14"/>
  <c r="AY277" i="14"/>
  <c r="AU278" i="14"/>
  <c r="AV278" i="14"/>
  <c r="AW278" i="14"/>
  <c r="AX278" i="14"/>
  <c r="AY278" i="14"/>
  <c r="AU279" i="14"/>
  <c r="AV279" i="14"/>
  <c r="AW279" i="14"/>
  <c r="AX279" i="14"/>
  <c r="AY279" i="14"/>
  <c r="AU280" i="14"/>
  <c r="AV280" i="14"/>
  <c r="AW280" i="14"/>
  <c r="AX280" i="14"/>
  <c r="AY280" i="14"/>
  <c r="AU281" i="14"/>
  <c r="AV281" i="14"/>
  <c r="AW281" i="14"/>
  <c r="AX281" i="14"/>
  <c r="AY281" i="14"/>
  <c r="AU282" i="14"/>
  <c r="AV282" i="14"/>
  <c r="AW282" i="14"/>
  <c r="AX282" i="14"/>
  <c r="AY282" i="14"/>
  <c r="AU283" i="14"/>
  <c r="AV283" i="14"/>
  <c r="AW283" i="14"/>
  <c r="AX283" i="14"/>
  <c r="AY283" i="14"/>
  <c r="AU284" i="14"/>
  <c r="AV284" i="14"/>
  <c r="AW284" i="14"/>
  <c r="AX284" i="14"/>
  <c r="AY284" i="14"/>
  <c r="AU285" i="14"/>
  <c r="AV285" i="14"/>
  <c r="AW285" i="14"/>
  <c r="AX285" i="14"/>
  <c r="AY285" i="14"/>
  <c r="AU286" i="14"/>
  <c r="AV286" i="14"/>
  <c r="AW286" i="14"/>
  <c r="AX286" i="14"/>
  <c r="AY286" i="14"/>
  <c r="AU287" i="14"/>
  <c r="AV287" i="14"/>
  <c r="AW287" i="14"/>
  <c r="AX287" i="14"/>
  <c r="AY287" i="14"/>
  <c r="AU288" i="14"/>
  <c r="AV288" i="14"/>
  <c r="AW288" i="14"/>
  <c r="AX288" i="14"/>
  <c r="AY288" i="14"/>
  <c r="AU289" i="14"/>
  <c r="AV289" i="14"/>
  <c r="AW289" i="14"/>
  <c r="AX289" i="14"/>
  <c r="AY289" i="14"/>
  <c r="AU290" i="14"/>
  <c r="AV290" i="14"/>
  <c r="AW290" i="14"/>
  <c r="AX290" i="14"/>
  <c r="AY290" i="14"/>
  <c r="AU291" i="14"/>
  <c r="AV291" i="14"/>
  <c r="AW291" i="14"/>
  <c r="AX291" i="14"/>
  <c r="AY291" i="14"/>
  <c r="AU292" i="14"/>
  <c r="AV292" i="14"/>
  <c r="AW292" i="14"/>
  <c r="AX292" i="14"/>
  <c r="AY292" i="14"/>
  <c r="AU293" i="14"/>
  <c r="AV293" i="14"/>
  <c r="AW293" i="14"/>
  <c r="AX293" i="14"/>
  <c r="AY293" i="14"/>
  <c r="AU294" i="14"/>
  <c r="AV294" i="14"/>
  <c r="AW294" i="14"/>
  <c r="AX294" i="14"/>
  <c r="AY294" i="14"/>
  <c r="AU295" i="14"/>
  <c r="AV295" i="14"/>
  <c r="AW295" i="14"/>
  <c r="AX295" i="14"/>
  <c r="AY295" i="14"/>
  <c r="AU296" i="14"/>
  <c r="AV296" i="14"/>
  <c r="AW296" i="14"/>
  <c r="AX296" i="14"/>
  <c r="AY296" i="14"/>
  <c r="AU297" i="14"/>
  <c r="AV297" i="14"/>
  <c r="AW297" i="14"/>
  <c r="AX297" i="14"/>
  <c r="AY297" i="14"/>
  <c r="AU298" i="14"/>
  <c r="AV298" i="14"/>
  <c r="AW298" i="14"/>
  <c r="AX298" i="14"/>
  <c r="AY298" i="14"/>
  <c r="AU299" i="14"/>
  <c r="AV299" i="14"/>
  <c r="AW299" i="14"/>
  <c r="AX299" i="14"/>
  <c r="AY299" i="14"/>
  <c r="AU300" i="14"/>
  <c r="AV300" i="14"/>
  <c r="AW300" i="14"/>
  <c r="AX300" i="14"/>
  <c r="AY300" i="14"/>
  <c r="AU301" i="14"/>
  <c r="AV301" i="14"/>
  <c r="AW301" i="14"/>
  <c r="AX301" i="14"/>
  <c r="AY301" i="14"/>
  <c r="AU302" i="14"/>
  <c r="AV302" i="14"/>
  <c r="AW302" i="14"/>
  <c r="AX302" i="14"/>
  <c r="AY302" i="14"/>
  <c r="AU303" i="14"/>
  <c r="AV303" i="14"/>
  <c r="AW303" i="14"/>
  <c r="AX303" i="14"/>
  <c r="AY303" i="14"/>
  <c r="AU304" i="14"/>
  <c r="AV304" i="14"/>
  <c r="AW304" i="14"/>
  <c r="AX304" i="14"/>
  <c r="AY304" i="14"/>
  <c r="AU305" i="14"/>
  <c r="AV305" i="14"/>
  <c r="AW305" i="14"/>
  <c r="AX305" i="14"/>
  <c r="AY305" i="14"/>
  <c r="AU306" i="14"/>
  <c r="AV306" i="14"/>
  <c r="AW306" i="14"/>
  <c r="AX306" i="14"/>
  <c r="AY306" i="14"/>
  <c r="AU307" i="14"/>
  <c r="AV307" i="14"/>
  <c r="AW307" i="14"/>
  <c r="AX307" i="14"/>
  <c r="AY307" i="14"/>
  <c r="AU308" i="14"/>
  <c r="AV308" i="14"/>
  <c r="AW308" i="14"/>
  <c r="AX308" i="14"/>
  <c r="AY308" i="14"/>
  <c r="AU309" i="14"/>
  <c r="AV309" i="14"/>
  <c r="AW309" i="14"/>
  <c r="AX309" i="14"/>
  <c r="AY309" i="14"/>
  <c r="AU310" i="14"/>
  <c r="AV310" i="14"/>
  <c r="AW310" i="14"/>
  <c r="AX310" i="14"/>
  <c r="AY310" i="14"/>
  <c r="AU311" i="14"/>
  <c r="AV311" i="14"/>
  <c r="AW311" i="14"/>
  <c r="AX311" i="14"/>
  <c r="AY311" i="14"/>
  <c r="AU312" i="14"/>
  <c r="AV312" i="14"/>
  <c r="AW312" i="14"/>
  <c r="AX312" i="14"/>
  <c r="AY312" i="14"/>
  <c r="AU313" i="14"/>
  <c r="AV313" i="14"/>
  <c r="AW313" i="14"/>
  <c r="AX313" i="14"/>
  <c r="AY313" i="14"/>
  <c r="AU314" i="14"/>
  <c r="AV314" i="14"/>
  <c r="AW314" i="14"/>
  <c r="AX314" i="14"/>
  <c r="AY314" i="14"/>
  <c r="AU315" i="14"/>
  <c r="AV315" i="14"/>
  <c r="AW315" i="14"/>
  <c r="AX315" i="14"/>
  <c r="AY315" i="14"/>
  <c r="AU316" i="14"/>
  <c r="AV316" i="14"/>
  <c r="AW316" i="14"/>
  <c r="AX316" i="14"/>
  <c r="AY316" i="14"/>
  <c r="AU317" i="14"/>
  <c r="AV317" i="14"/>
  <c r="AW317" i="14"/>
  <c r="AX317" i="14"/>
  <c r="AY317" i="14"/>
  <c r="AU318" i="14"/>
  <c r="AV318" i="14"/>
  <c r="AW318" i="14"/>
  <c r="AX318" i="14"/>
  <c r="AY318" i="14"/>
  <c r="AU319" i="14"/>
  <c r="AV319" i="14"/>
  <c r="AW319" i="14"/>
  <c r="AX319" i="14"/>
  <c r="AY319" i="14"/>
  <c r="AU320" i="14"/>
  <c r="AV320" i="14"/>
  <c r="AW320" i="14"/>
  <c r="AX320" i="14"/>
  <c r="AY320" i="14"/>
  <c r="AU321" i="14"/>
  <c r="AV321" i="14"/>
  <c r="AW321" i="14"/>
  <c r="AX321" i="14"/>
  <c r="AY321" i="14"/>
  <c r="AU322" i="14"/>
  <c r="AV322" i="14"/>
  <c r="AW322" i="14"/>
  <c r="AX322" i="14"/>
  <c r="AY322" i="14"/>
  <c r="AU323" i="14"/>
  <c r="AV323" i="14"/>
  <c r="AW323" i="14"/>
  <c r="AX323" i="14"/>
  <c r="AY323" i="14"/>
  <c r="AU324" i="14"/>
  <c r="AV324" i="14"/>
  <c r="AW324" i="14"/>
  <c r="AX324" i="14"/>
  <c r="AY324" i="14"/>
  <c r="AU325" i="14"/>
  <c r="AV325" i="14"/>
  <c r="AW325" i="14"/>
  <c r="AX325" i="14"/>
  <c r="AY325" i="14"/>
  <c r="AU326" i="14"/>
  <c r="AV326" i="14"/>
  <c r="AW326" i="14"/>
  <c r="AX326" i="14"/>
  <c r="AY326" i="14"/>
  <c r="AU327" i="14"/>
  <c r="AV327" i="14"/>
  <c r="AW327" i="14"/>
  <c r="AX327" i="14"/>
  <c r="AY327" i="14"/>
  <c r="AU328" i="14"/>
  <c r="AV328" i="14"/>
  <c r="AW328" i="14"/>
  <c r="AX328" i="14"/>
  <c r="AY328" i="14"/>
  <c r="AU329" i="14"/>
  <c r="AV329" i="14"/>
  <c r="AW329" i="14"/>
  <c r="AX329" i="14"/>
  <c r="AY329" i="14"/>
  <c r="AU330" i="14"/>
  <c r="AV330" i="14"/>
  <c r="AW330" i="14"/>
  <c r="AX330" i="14"/>
  <c r="AY330" i="14"/>
  <c r="AU331" i="14"/>
  <c r="AV331" i="14"/>
  <c r="AW331" i="14"/>
  <c r="AX331" i="14"/>
  <c r="AY331" i="14"/>
  <c r="AU332" i="14"/>
  <c r="AV332" i="14"/>
  <c r="AW332" i="14"/>
  <c r="AX332" i="14"/>
  <c r="AY332" i="14"/>
  <c r="AU333" i="14"/>
  <c r="AV333" i="14"/>
  <c r="AW333" i="14"/>
  <c r="AX333" i="14"/>
  <c r="AY333" i="14"/>
  <c r="AU334" i="14"/>
  <c r="AV334" i="14"/>
  <c r="AW334" i="14"/>
  <c r="AX334" i="14"/>
  <c r="AY334" i="14"/>
  <c r="AU335" i="14"/>
  <c r="AV335" i="14"/>
  <c r="AW335" i="14"/>
  <c r="AX335" i="14"/>
  <c r="AY335" i="14"/>
  <c r="AU336" i="14"/>
  <c r="AV336" i="14"/>
  <c r="AW336" i="14"/>
  <c r="AX336" i="14"/>
  <c r="AY336" i="14"/>
  <c r="AU337" i="14"/>
  <c r="AV337" i="14"/>
  <c r="AW337" i="14"/>
  <c r="AX337" i="14"/>
  <c r="AY337" i="14"/>
  <c r="AU338" i="14"/>
  <c r="AV338" i="14"/>
  <c r="AW338" i="14"/>
  <c r="AX338" i="14"/>
  <c r="AY338" i="14"/>
  <c r="AU339" i="14"/>
  <c r="AV339" i="14"/>
  <c r="AW339" i="14"/>
  <c r="AX339" i="14"/>
  <c r="AY339" i="14"/>
  <c r="AU340" i="14"/>
  <c r="AV340" i="14"/>
  <c r="AW340" i="14"/>
  <c r="AX340" i="14"/>
  <c r="AY340" i="14"/>
  <c r="AU341" i="14"/>
  <c r="AV341" i="14"/>
  <c r="AW341" i="14"/>
  <c r="AX341" i="14"/>
  <c r="AY341" i="14"/>
  <c r="AU342" i="14"/>
  <c r="AV342" i="14"/>
  <c r="AW342" i="14"/>
  <c r="AX342" i="14"/>
  <c r="AY342" i="14"/>
  <c r="AU343" i="14"/>
  <c r="AV343" i="14"/>
  <c r="AW343" i="14"/>
  <c r="AX343" i="14"/>
  <c r="AY343" i="14"/>
  <c r="AU344" i="14"/>
  <c r="AV344" i="14"/>
  <c r="AW344" i="14"/>
  <c r="AX344" i="14"/>
  <c r="AY344" i="14"/>
  <c r="AU345" i="14"/>
  <c r="AV345" i="14"/>
  <c r="AW345" i="14"/>
  <c r="AX345" i="14"/>
  <c r="AY345" i="14"/>
  <c r="AU346" i="14"/>
  <c r="AV346" i="14"/>
  <c r="AW346" i="14"/>
  <c r="AX346" i="14"/>
  <c r="AY346" i="14"/>
  <c r="AU347" i="14"/>
  <c r="AV347" i="14"/>
  <c r="AW347" i="14"/>
  <c r="AX347" i="14"/>
  <c r="AY347" i="14"/>
  <c r="AU348" i="14"/>
  <c r="AV348" i="14"/>
  <c r="AW348" i="14"/>
  <c r="AX348" i="14"/>
  <c r="AY348" i="14"/>
  <c r="AU349" i="14"/>
  <c r="AV349" i="14"/>
  <c r="AW349" i="14"/>
  <c r="AX349" i="14"/>
  <c r="AY349" i="14"/>
  <c r="AU350" i="14"/>
  <c r="AV350" i="14"/>
  <c r="AW350" i="14"/>
  <c r="AX350" i="14"/>
  <c r="AY350" i="14"/>
  <c r="AU351" i="14"/>
  <c r="AV351" i="14"/>
  <c r="AW351" i="14"/>
  <c r="AX351" i="14"/>
  <c r="AY351" i="14"/>
  <c r="AU352" i="14"/>
  <c r="AV352" i="14"/>
  <c r="AW352" i="14"/>
  <c r="AX352" i="14"/>
  <c r="AY352" i="14"/>
  <c r="AU353" i="14"/>
  <c r="AV353" i="14"/>
  <c r="AW353" i="14"/>
  <c r="AX353" i="14"/>
  <c r="AY353" i="14"/>
  <c r="AU354" i="14"/>
  <c r="AV354" i="14"/>
  <c r="AW354" i="14"/>
  <c r="AX354" i="14"/>
  <c r="AY354" i="14"/>
  <c r="AU355" i="14"/>
  <c r="AV355" i="14"/>
  <c r="AW355" i="14"/>
  <c r="AX355" i="14"/>
  <c r="AY355" i="14"/>
  <c r="AU356" i="14"/>
  <c r="AV356" i="14"/>
  <c r="AW356" i="14"/>
  <c r="AX356" i="14"/>
  <c r="AY356" i="14"/>
  <c r="AU357" i="14"/>
  <c r="AV357" i="14"/>
  <c r="AW357" i="14"/>
  <c r="AX357" i="14"/>
  <c r="AY357" i="14"/>
  <c r="AU358" i="14"/>
  <c r="AV358" i="14"/>
  <c r="AW358" i="14"/>
  <c r="AX358" i="14"/>
  <c r="AY358" i="14"/>
  <c r="AU359" i="14"/>
  <c r="AV359" i="14"/>
  <c r="AW359" i="14"/>
  <c r="AX359" i="14"/>
  <c r="AY359" i="14"/>
  <c r="AU360" i="14"/>
  <c r="AV360" i="14"/>
  <c r="AW360" i="14"/>
  <c r="AX360" i="14"/>
  <c r="AY360" i="14"/>
  <c r="AU361" i="14"/>
  <c r="AV361" i="14"/>
  <c r="AW361" i="14"/>
  <c r="AX361" i="14"/>
  <c r="AY361" i="14"/>
  <c r="AU362" i="14"/>
  <c r="AV362" i="14"/>
  <c r="AW362" i="14"/>
  <c r="AX362" i="14"/>
  <c r="AY362" i="14"/>
  <c r="AU363" i="14"/>
  <c r="AV363" i="14"/>
  <c r="AW363" i="14"/>
  <c r="AX363" i="14"/>
  <c r="AY363" i="14"/>
  <c r="AU364" i="14"/>
  <c r="AV364" i="14"/>
  <c r="AW364" i="14"/>
  <c r="AX364" i="14"/>
  <c r="AY364" i="14"/>
  <c r="AU365" i="14"/>
  <c r="AV365" i="14"/>
  <c r="AW365" i="14"/>
  <c r="AX365" i="14"/>
  <c r="AY365" i="14"/>
  <c r="AU366" i="14"/>
  <c r="AV366" i="14"/>
  <c r="AW366" i="14"/>
  <c r="AX366" i="14"/>
  <c r="AY366" i="14"/>
  <c r="AU367" i="14"/>
  <c r="AV367" i="14"/>
  <c r="AW367" i="14"/>
  <c r="AX367" i="14"/>
  <c r="AY367" i="14"/>
  <c r="AU368" i="14"/>
  <c r="AV368" i="14"/>
  <c r="AW368" i="14"/>
  <c r="AX368" i="14"/>
  <c r="AY368" i="14"/>
  <c r="AU369" i="14"/>
  <c r="AV369" i="14"/>
  <c r="AW369" i="14"/>
  <c r="AX369" i="14"/>
  <c r="AY369" i="14"/>
  <c r="AU370" i="14"/>
  <c r="AV370" i="14"/>
  <c r="AW370" i="14"/>
  <c r="AX370" i="14"/>
  <c r="AY370" i="14"/>
  <c r="AU371" i="14"/>
  <c r="AV371" i="14"/>
  <c r="AW371" i="14"/>
  <c r="AX371" i="14"/>
  <c r="AY371" i="14"/>
  <c r="AU372" i="14"/>
  <c r="AV372" i="14"/>
  <c r="AW372" i="14"/>
  <c r="AX372" i="14"/>
  <c r="AY372" i="14"/>
  <c r="AU373" i="14"/>
  <c r="AV373" i="14"/>
  <c r="AW373" i="14"/>
  <c r="AX373" i="14"/>
  <c r="AY373" i="14"/>
  <c r="AU374" i="14"/>
  <c r="AV374" i="14"/>
  <c r="AW374" i="14"/>
  <c r="AX374" i="14"/>
  <c r="AY374" i="14"/>
  <c r="AU375" i="14"/>
  <c r="AV375" i="14"/>
  <c r="AW375" i="14"/>
  <c r="AX375" i="14"/>
  <c r="AY375" i="14"/>
  <c r="AU376" i="14"/>
  <c r="AV376" i="14"/>
  <c r="AW376" i="14"/>
  <c r="AX376" i="14"/>
  <c r="AY376" i="14"/>
  <c r="AU377" i="14"/>
  <c r="AV377" i="14"/>
  <c r="AW377" i="14"/>
  <c r="AX377" i="14"/>
  <c r="AY377" i="14"/>
  <c r="AU378" i="14"/>
  <c r="AV378" i="14"/>
  <c r="AW378" i="14"/>
  <c r="AX378" i="14"/>
  <c r="AY378" i="14"/>
  <c r="AU379" i="14"/>
  <c r="AV379" i="14"/>
  <c r="AW379" i="14"/>
  <c r="AX379" i="14"/>
  <c r="AY379" i="14"/>
  <c r="AU380" i="14"/>
  <c r="AV380" i="14"/>
  <c r="AW380" i="14"/>
  <c r="AX380" i="14"/>
  <c r="AY380" i="14"/>
  <c r="AU381" i="14"/>
  <c r="AV381" i="14"/>
  <c r="AW381" i="14"/>
  <c r="AX381" i="14"/>
  <c r="AY381" i="14"/>
  <c r="AU382" i="14"/>
  <c r="AV382" i="14"/>
  <c r="AW382" i="14"/>
  <c r="AX382" i="14"/>
  <c r="AY382" i="14"/>
  <c r="AU383" i="14"/>
  <c r="AV383" i="14"/>
  <c r="AW383" i="14"/>
  <c r="AX383" i="14"/>
  <c r="AY383" i="14"/>
  <c r="AU384" i="14"/>
  <c r="AV384" i="14"/>
  <c r="AW384" i="14"/>
  <c r="AX384" i="14"/>
  <c r="AY384" i="14"/>
  <c r="AU385" i="14"/>
  <c r="AV385" i="14"/>
  <c r="AW385" i="14"/>
  <c r="AX385" i="14"/>
  <c r="AY385" i="14"/>
  <c r="AU386" i="14"/>
  <c r="AV386" i="14"/>
  <c r="AW386" i="14"/>
  <c r="AX386" i="14"/>
  <c r="AY386" i="14"/>
  <c r="AU387" i="14"/>
  <c r="AV387" i="14"/>
  <c r="AW387" i="14"/>
  <c r="AX387" i="14"/>
  <c r="AY387" i="14"/>
  <c r="AU388" i="14"/>
  <c r="AV388" i="14"/>
  <c r="AW388" i="14"/>
  <c r="AX388" i="14"/>
  <c r="AY388" i="14"/>
  <c r="AU389" i="14"/>
  <c r="AV389" i="14"/>
  <c r="AW389" i="14"/>
  <c r="AX389" i="14"/>
  <c r="AY389" i="14"/>
  <c r="AU390" i="14"/>
  <c r="AV390" i="14"/>
  <c r="AW390" i="14"/>
  <c r="AX390" i="14"/>
  <c r="AY390" i="14"/>
  <c r="AU391" i="14"/>
  <c r="AV391" i="14"/>
  <c r="AW391" i="14"/>
  <c r="AX391" i="14"/>
  <c r="AY391" i="14"/>
  <c r="AU392" i="14"/>
  <c r="AV392" i="14"/>
  <c r="AW392" i="14"/>
  <c r="AX392" i="14"/>
  <c r="AY392" i="14"/>
  <c r="AU393" i="14"/>
  <c r="AV393" i="14"/>
  <c r="AW393" i="14"/>
  <c r="AX393" i="14"/>
  <c r="AY393" i="14"/>
  <c r="AU394" i="14"/>
  <c r="AV394" i="14"/>
  <c r="AW394" i="14"/>
  <c r="AX394" i="14"/>
  <c r="AY394" i="14"/>
  <c r="AU395" i="14"/>
  <c r="AV395" i="14"/>
  <c r="AW395" i="14"/>
  <c r="AX395" i="14"/>
  <c r="AY395" i="14"/>
  <c r="AU396" i="14"/>
  <c r="AV396" i="14"/>
  <c r="AW396" i="14"/>
  <c r="AX396" i="14"/>
  <c r="AY396" i="14"/>
  <c r="AU397" i="14"/>
  <c r="AV397" i="14"/>
  <c r="AW397" i="14"/>
  <c r="AX397" i="14"/>
  <c r="AY397" i="14"/>
  <c r="AU398" i="14"/>
  <c r="AV398" i="14"/>
  <c r="AW398" i="14"/>
  <c r="AX398" i="14"/>
  <c r="AY398" i="14"/>
  <c r="AU399" i="14"/>
  <c r="AV399" i="14"/>
  <c r="AW399" i="14"/>
  <c r="AX399" i="14"/>
  <c r="AY399" i="14"/>
  <c r="AU400" i="14"/>
  <c r="AV400" i="14"/>
  <c r="AW400" i="14"/>
  <c r="AX400" i="14"/>
  <c r="AY400" i="14"/>
  <c r="AU401" i="14"/>
  <c r="AV401" i="14"/>
  <c r="AW401" i="14"/>
  <c r="AX401" i="14"/>
  <c r="AY401" i="14"/>
  <c r="AU402" i="14"/>
  <c r="AV402" i="14"/>
  <c r="AW402" i="14"/>
  <c r="AX402" i="14"/>
  <c r="AY402" i="14"/>
  <c r="AU403" i="14"/>
  <c r="AV403" i="14"/>
  <c r="AW403" i="14"/>
  <c r="AX403" i="14"/>
  <c r="AY403" i="14"/>
  <c r="AU404" i="14"/>
  <c r="AV404" i="14"/>
  <c r="AW404" i="14"/>
  <c r="AX404" i="14"/>
  <c r="AY404" i="14"/>
  <c r="AU405" i="14"/>
  <c r="AV405" i="14"/>
  <c r="AW405" i="14"/>
  <c r="AX405" i="14"/>
  <c r="AY405" i="14"/>
  <c r="AU406" i="14"/>
  <c r="AV406" i="14"/>
  <c r="AW406" i="14"/>
  <c r="AX406" i="14"/>
  <c r="AY406" i="14"/>
  <c r="AU407" i="14"/>
  <c r="AV407" i="14"/>
  <c r="AW407" i="14"/>
  <c r="AX407" i="14"/>
  <c r="AY407" i="14"/>
  <c r="AU408" i="14"/>
  <c r="AV408" i="14"/>
  <c r="AW408" i="14"/>
  <c r="AX408" i="14"/>
  <c r="AY408" i="14"/>
  <c r="AU409" i="14"/>
  <c r="AV409" i="14"/>
  <c r="AW409" i="14"/>
  <c r="AX409" i="14"/>
  <c r="AY409" i="14"/>
  <c r="AU410" i="14"/>
  <c r="AV410" i="14"/>
  <c r="AW410" i="14"/>
  <c r="AX410" i="14"/>
  <c r="AY410" i="14"/>
  <c r="AU411" i="14"/>
  <c r="AV411" i="14"/>
  <c r="AW411" i="14"/>
  <c r="AX411" i="14"/>
  <c r="AY411" i="14"/>
  <c r="AU412" i="14"/>
  <c r="AV412" i="14"/>
  <c r="AW412" i="14"/>
  <c r="AX412" i="14"/>
  <c r="AY412" i="14"/>
  <c r="AU413" i="14"/>
  <c r="AV413" i="14"/>
  <c r="AW413" i="14"/>
  <c r="AX413" i="14"/>
  <c r="AY413" i="14"/>
  <c r="AU414" i="14"/>
  <c r="AV414" i="14"/>
  <c r="AW414" i="14"/>
  <c r="AX414" i="14"/>
  <c r="AY414" i="14"/>
  <c r="AU415" i="14"/>
  <c r="AV415" i="14"/>
  <c r="AW415" i="14"/>
  <c r="AX415" i="14"/>
  <c r="AY415" i="14"/>
  <c r="AU416" i="14"/>
  <c r="AV416" i="14"/>
  <c r="AW416" i="14"/>
  <c r="AX416" i="14"/>
  <c r="AY416" i="14"/>
  <c r="AU417" i="14"/>
  <c r="AV417" i="14"/>
  <c r="AW417" i="14"/>
  <c r="AX417" i="14"/>
  <c r="AY417" i="14"/>
  <c r="AU418" i="14"/>
  <c r="AV418" i="14"/>
  <c r="AW418" i="14"/>
  <c r="AX418" i="14"/>
  <c r="AY418" i="14"/>
  <c r="AU419" i="14"/>
  <c r="AV419" i="14"/>
  <c r="AW419" i="14"/>
  <c r="AX419" i="14"/>
  <c r="AY419" i="14"/>
  <c r="AU420" i="14"/>
  <c r="AV420" i="14"/>
  <c r="AW420" i="14"/>
  <c r="AX420" i="14"/>
  <c r="AY420" i="14"/>
  <c r="AU421" i="14"/>
  <c r="AV421" i="14"/>
  <c r="AW421" i="14"/>
  <c r="AX421" i="14"/>
  <c r="AY421" i="14"/>
  <c r="AU422" i="14"/>
  <c r="AV422" i="14"/>
  <c r="AW422" i="14"/>
  <c r="AX422" i="14"/>
  <c r="AY422" i="14"/>
  <c r="AU423" i="14"/>
  <c r="AV423" i="14"/>
  <c r="AW423" i="14"/>
  <c r="AX423" i="14"/>
  <c r="AY423" i="14"/>
  <c r="AU424" i="14"/>
  <c r="AV424" i="14"/>
  <c r="AW424" i="14"/>
  <c r="AX424" i="14"/>
  <c r="AY424" i="14"/>
  <c r="AU425" i="14"/>
  <c r="AV425" i="14"/>
  <c r="AW425" i="14"/>
  <c r="AX425" i="14"/>
  <c r="AY425" i="14"/>
  <c r="AU426" i="14"/>
  <c r="AV426" i="14"/>
  <c r="AW426" i="14"/>
  <c r="AX426" i="14"/>
  <c r="AY426" i="14"/>
  <c r="AU427" i="14"/>
  <c r="AV427" i="14"/>
  <c r="AW427" i="14"/>
  <c r="AX427" i="14"/>
  <c r="AY427" i="14"/>
  <c r="AU428" i="14"/>
  <c r="AV428" i="14"/>
  <c r="AW428" i="14"/>
  <c r="AX428" i="14"/>
  <c r="AY428" i="14"/>
  <c r="AU429" i="14"/>
  <c r="AV429" i="14"/>
  <c r="AW429" i="14"/>
  <c r="AX429" i="14"/>
  <c r="AY429" i="14"/>
  <c r="AU430" i="14"/>
  <c r="AV430" i="14"/>
  <c r="AW430" i="14"/>
  <c r="AX430" i="14"/>
  <c r="AY430" i="14"/>
  <c r="AU431" i="14"/>
  <c r="AV431" i="14"/>
  <c r="AW431" i="14"/>
  <c r="AX431" i="14"/>
  <c r="AY431" i="14"/>
  <c r="AU432" i="14"/>
  <c r="AV432" i="14"/>
  <c r="AW432" i="14"/>
  <c r="AX432" i="14"/>
  <c r="AY432" i="14"/>
  <c r="AU433" i="14"/>
  <c r="AV433" i="14"/>
  <c r="AW433" i="14"/>
  <c r="AX433" i="14"/>
  <c r="AY433" i="14"/>
  <c r="AU434" i="14"/>
  <c r="AV434" i="14"/>
  <c r="AW434" i="14"/>
  <c r="AX434" i="14"/>
  <c r="AY434" i="14"/>
  <c r="AU435" i="14"/>
  <c r="AV435" i="14"/>
  <c r="AW435" i="14"/>
  <c r="AX435" i="14"/>
  <c r="AY435" i="14"/>
  <c r="AU436" i="14"/>
  <c r="AV436" i="14"/>
  <c r="AW436" i="14"/>
  <c r="AX436" i="14"/>
  <c r="AY436" i="14"/>
  <c r="AU437" i="14"/>
  <c r="AV437" i="14"/>
  <c r="AW437" i="14"/>
  <c r="AX437" i="14"/>
  <c r="AY437" i="14"/>
  <c r="AU438" i="14"/>
  <c r="AV438" i="14"/>
  <c r="AW438" i="14"/>
  <c r="AX438" i="14"/>
  <c r="AY438" i="14"/>
  <c r="AU439" i="14"/>
  <c r="AV439" i="14"/>
  <c r="AW439" i="14"/>
  <c r="AX439" i="14"/>
  <c r="AY439" i="14"/>
  <c r="AU440" i="14"/>
  <c r="AV440" i="14"/>
  <c r="AW440" i="14"/>
  <c r="AX440" i="14"/>
  <c r="AY440" i="14"/>
  <c r="AU441" i="14"/>
  <c r="AV441" i="14"/>
  <c r="AW441" i="14"/>
  <c r="AX441" i="14"/>
  <c r="AY441" i="14"/>
  <c r="AU442" i="14"/>
  <c r="AV442" i="14"/>
  <c r="AW442" i="14"/>
  <c r="AX442" i="14"/>
  <c r="AY442" i="14"/>
  <c r="AU443" i="14"/>
  <c r="AV443" i="14"/>
  <c r="AW443" i="14"/>
  <c r="AX443" i="14"/>
  <c r="AY443" i="14"/>
  <c r="AU444" i="14"/>
  <c r="AV444" i="14"/>
  <c r="AW444" i="14"/>
  <c r="AX444" i="14"/>
  <c r="AY444" i="14"/>
  <c r="AU445" i="14"/>
  <c r="AV445" i="14"/>
  <c r="AW445" i="14"/>
  <c r="AX445" i="14"/>
  <c r="AY445" i="14"/>
  <c r="AU446" i="14"/>
  <c r="AV446" i="14"/>
  <c r="AW446" i="14"/>
  <c r="AX446" i="14"/>
  <c r="AY446" i="14"/>
  <c r="AU447" i="14"/>
  <c r="AV447" i="14"/>
  <c r="AW447" i="14"/>
  <c r="AX447" i="14"/>
  <c r="AY447" i="14"/>
  <c r="AU448" i="14"/>
  <c r="AV448" i="14"/>
  <c r="AW448" i="14"/>
  <c r="AX448" i="14"/>
  <c r="AY448" i="14"/>
  <c r="AU449" i="14"/>
  <c r="AV449" i="14"/>
  <c r="AW449" i="14"/>
  <c r="AX449" i="14"/>
  <c r="AY449" i="14"/>
  <c r="AU450" i="14"/>
  <c r="AV450" i="14"/>
  <c r="AW450" i="14"/>
  <c r="AX450" i="14"/>
  <c r="AY450" i="14"/>
  <c r="AU451" i="14"/>
  <c r="AV451" i="14"/>
  <c r="AW451" i="14"/>
  <c r="AX451" i="14"/>
  <c r="AY451" i="14"/>
  <c r="AU452" i="14"/>
  <c r="AV452" i="14"/>
  <c r="AW452" i="14"/>
  <c r="AX452" i="14"/>
  <c r="AY452" i="14"/>
  <c r="AU453" i="14"/>
  <c r="AV453" i="14"/>
  <c r="AW453" i="14"/>
  <c r="AX453" i="14"/>
  <c r="AY453" i="14"/>
  <c r="AU454" i="14"/>
  <c r="AV454" i="14"/>
  <c r="AW454" i="14"/>
  <c r="AX454" i="14"/>
  <c r="AY454" i="14"/>
  <c r="AU458" i="14"/>
  <c r="AV458" i="14"/>
  <c r="AW458" i="14"/>
  <c r="AX458" i="14"/>
  <c r="AY458" i="14"/>
  <c r="AU459" i="14"/>
  <c r="AV459" i="14"/>
  <c r="AW459" i="14"/>
  <c r="AX459" i="14"/>
  <c r="AY459" i="14"/>
  <c r="AU460" i="14"/>
  <c r="AV460" i="14"/>
  <c r="AW460" i="14"/>
  <c r="AX460" i="14"/>
  <c r="AY460" i="14"/>
  <c r="AU461" i="14"/>
  <c r="AV461" i="14"/>
  <c r="AW461" i="14"/>
  <c r="AX461" i="14"/>
  <c r="AY461" i="14"/>
  <c r="AU462" i="14"/>
  <c r="AV462" i="14"/>
  <c r="AW462" i="14"/>
  <c r="AX462" i="14"/>
  <c r="AY462" i="14"/>
  <c r="AU465" i="14"/>
  <c r="AV465" i="14"/>
  <c r="AW465" i="14"/>
  <c r="AX465" i="14"/>
  <c r="AY465" i="14"/>
  <c r="AU468" i="14"/>
  <c r="AV468" i="14"/>
  <c r="AW468" i="14"/>
  <c r="AX468" i="14"/>
  <c r="AY468" i="14"/>
  <c r="AH472" i="14"/>
  <c r="I473" i="14"/>
  <c r="AH474" i="14"/>
  <c r="AI474" i="14"/>
  <c r="AJ474" i="14"/>
  <c r="AK474" i="14"/>
  <c r="AL474" i="14"/>
  <c r="AM474" i="14"/>
  <c r="AN474" i="14"/>
  <c r="AO474" i="14"/>
  <c r="AH475" i="14"/>
  <c r="AI475" i="14"/>
  <c r="AJ475" i="14"/>
  <c r="AK475" i="14"/>
  <c r="AL475" i="14"/>
  <c r="AM475" i="14"/>
  <c r="AN475" i="14"/>
  <c r="AO475" i="14"/>
  <c r="AP475" i="14"/>
  <c r="AQ475" i="14"/>
  <c r="AR475" i="14"/>
  <c r="AS475" i="14"/>
  <c r="AT475" i="14"/>
  <c r="AU475" i="14"/>
  <c r="AV475" i="14"/>
  <c r="AW475" i="14"/>
  <c r="AX475" i="14"/>
  <c r="AY475" i="14"/>
  <c r="AH478" i="14"/>
  <c r="AI478" i="14"/>
  <c r="AJ478" i="14"/>
  <c r="AK478" i="14"/>
  <c r="AL478" i="14"/>
  <c r="AM478" i="14"/>
  <c r="AN478" i="14"/>
  <c r="AO478" i="14"/>
  <c r="AP478" i="14"/>
  <c r="AQ478" i="14"/>
  <c r="AR478" i="14"/>
  <c r="AS478" i="14"/>
  <c r="AT478" i="14"/>
  <c r="I480" i="14"/>
  <c r="AH481" i="14"/>
  <c r="AI481" i="14"/>
  <c r="AJ481" i="14"/>
  <c r="AK481" i="14"/>
  <c r="AL481" i="14"/>
  <c r="AM481" i="14"/>
  <c r="AN481" i="14"/>
  <c r="AO481" i="14"/>
  <c r="I482" i="14"/>
  <c r="W483" i="14"/>
  <c r="X483" i="14"/>
  <c r="Y483" i="14"/>
  <c r="Z483" i="14"/>
  <c r="AA483" i="14"/>
  <c r="AB483" i="14"/>
  <c r="AC483" i="14"/>
  <c r="AD483" i="14"/>
  <c r="AE483" i="14"/>
  <c r="AF483" i="14"/>
  <c r="AG483" i="14"/>
  <c r="AH484" i="14"/>
  <c r="AI484" i="14"/>
  <c r="AJ484" i="14"/>
  <c r="AK484" i="14"/>
  <c r="AL484" i="14"/>
  <c r="AM484" i="14"/>
  <c r="AN484" i="14"/>
  <c r="AO484" i="14"/>
  <c r="AP484" i="14"/>
  <c r="AQ484" i="14"/>
  <c r="AR484" i="14"/>
  <c r="AS484" i="14"/>
  <c r="AT484" i="14"/>
  <c r="I486" i="14"/>
  <c r="X487" i="14"/>
  <c r="Y487" i="14"/>
  <c r="Z487" i="14"/>
  <c r="AA487" i="14"/>
  <c r="AB487" i="14"/>
  <c r="AC487" i="14"/>
  <c r="AD487" i="14"/>
  <c r="AE487" i="14"/>
  <c r="AF487" i="14"/>
  <c r="AG487" i="14"/>
  <c r="AH487" i="14"/>
  <c r="AI487" i="14"/>
  <c r="AJ487" i="14"/>
  <c r="AK487" i="14"/>
  <c r="AL487" i="14"/>
  <c r="AM487" i="14"/>
  <c r="AN487" i="14"/>
  <c r="AO487" i="14"/>
  <c r="AP487" i="14"/>
  <c r="AQ487" i="14"/>
  <c r="AR487" i="14"/>
  <c r="AS487" i="14"/>
  <c r="AT487" i="14"/>
  <c r="AU487" i="14"/>
  <c r="AV487" i="14"/>
  <c r="AW487" i="14"/>
  <c r="AX487" i="14"/>
  <c r="AY487" i="14"/>
  <c r="X488" i="14"/>
  <c r="Y488" i="14"/>
  <c r="Z488" i="14"/>
  <c r="AA488" i="14"/>
  <c r="AB488" i="14"/>
  <c r="AC488" i="14"/>
  <c r="AD488" i="14"/>
  <c r="AE488" i="14"/>
  <c r="AF488" i="14"/>
  <c r="AG488" i="14"/>
  <c r="AH488" i="14"/>
  <c r="AI488" i="14"/>
  <c r="AJ488" i="14"/>
  <c r="AK488" i="14"/>
  <c r="AL488" i="14"/>
  <c r="AM488" i="14"/>
  <c r="AN488" i="14"/>
  <c r="AO488" i="14"/>
  <c r="AP488" i="14"/>
  <c r="AQ488" i="14"/>
  <c r="AR488" i="14"/>
  <c r="AS488" i="14"/>
  <c r="AT488" i="14"/>
  <c r="AU488" i="14"/>
  <c r="AV488" i="14"/>
  <c r="AW488" i="14"/>
  <c r="AX488" i="14"/>
  <c r="AY488" i="14"/>
  <c r="I491" i="14"/>
  <c r="I492" i="14"/>
  <c r="AD493" i="14"/>
  <c r="AE493" i="14"/>
  <c r="AF493" i="14"/>
  <c r="AG493" i="14"/>
  <c r="AD494" i="14"/>
  <c r="AE494" i="14"/>
  <c r="AF494" i="14"/>
  <c r="AG494" i="14"/>
  <c r="AD495" i="14"/>
  <c r="AE495" i="14"/>
  <c r="AF495" i="14"/>
  <c r="AG495" i="14"/>
  <c r="AU498" i="14"/>
  <c r="AV498" i="14"/>
  <c r="AW498" i="14"/>
  <c r="AX498" i="14"/>
  <c r="AY498" i="14"/>
  <c r="AS502" i="14"/>
  <c r="AT502" i="14"/>
  <c r="AU502" i="14"/>
  <c r="AV502" i="14"/>
  <c r="AW502" i="14"/>
  <c r="AX502" i="14"/>
  <c r="AY502" i="14"/>
  <c r="AU506" i="14"/>
  <c r="AV506" i="14"/>
  <c r="AW506" i="14"/>
  <c r="AX506" i="14"/>
  <c r="AY506" i="14"/>
  <c r="AU507" i="14"/>
  <c r="AV507" i="14"/>
  <c r="AW507" i="14"/>
  <c r="AX507" i="14"/>
  <c r="AY507" i="14"/>
  <c r="AP510" i="14"/>
  <c r="AQ510" i="14"/>
  <c r="AR510" i="14"/>
  <c r="AS510" i="14"/>
  <c r="AT510" i="14"/>
  <c r="AU510" i="14"/>
  <c r="AV510" i="14"/>
  <c r="AW510" i="14"/>
  <c r="AX510" i="14"/>
  <c r="AY510" i="14"/>
  <c r="AP511" i="14"/>
  <c r="AQ511" i="14"/>
  <c r="AR511" i="14"/>
  <c r="AS511" i="14"/>
  <c r="AT511" i="14"/>
  <c r="AU511" i="14"/>
  <c r="AV511" i="14"/>
  <c r="AW511" i="14"/>
  <c r="AX511" i="14"/>
  <c r="AY511" i="14"/>
  <c r="AU512" i="14"/>
  <c r="AV512" i="14"/>
  <c r="AW512" i="14"/>
  <c r="AX512" i="14"/>
  <c r="AY512" i="14"/>
  <c r="AU515" i="14"/>
  <c r="AV515" i="14"/>
  <c r="AW515" i="14"/>
  <c r="AX515" i="14"/>
  <c r="AY515" i="14"/>
  <c r="AU516" i="14"/>
  <c r="AV516" i="14"/>
  <c r="AW516" i="14"/>
  <c r="AX516" i="14"/>
  <c r="AY516" i="14"/>
  <c r="AU517" i="14"/>
  <c r="AV517" i="14"/>
  <c r="AW517" i="14"/>
  <c r="AX517" i="14"/>
  <c r="AY517" i="14"/>
  <c r="AU518" i="14"/>
  <c r="AV518" i="14"/>
  <c r="AW518" i="14"/>
  <c r="AX518" i="14"/>
  <c r="AY518" i="14"/>
  <c r="AU519" i="14"/>
  <c r="AV519" i="14"/>
  <c r="AW519" i="14"/>
  <c r="AX519" i="14"/>
  <c r="AY519" i="14"/>
  <c r="AU520" i="14"/>
  <c r="AV520" i="14"/>
  <c r="AW520" i="14"/>
  <c r="AX520" i="14"/>
  <c r="AY520" i="14"/>
  <c r="AU521" i="14"/>
  <c r="AV521" i="14"/>
  <c r="AW521" i="14"/>
  <c r="AX521" i="14"/>
  <c r="AY521" i="14"/>
  <c r="AU522" i="14"/>
  <c r="AV522" i="14"/>
  <c r="AW522" i="14"/>
  <c r="AX522" i="14"/>
  <c r="AY522" i="14"/>
  <c r="AU523" i="14"/>
  <c r="AV523" i="14"/>
  <c r="AW523" i="14"/>
  <c r="AX523" i="14"/>
  <c r="AY523" i="14"/>
  <c r="AU524" i="14"/>
  <c r="AV524" i="14"/>
  <c r="AW524" i="14"/>
  <c r="AX524" i="14"/>
  <c r="AY524" i="14"/>
  <c r="AU525" i="14"/>
  <c r="AV525" i="14"/>
  <c r="AW525" i="14"/>
  <c r="AX525" i="14"/>
  <c r="AY525" i="14"/>
  <c r="AU526" i="14"/>
  <c r="AV526" i="14"/>
  <c r="AW526" i="14"/>
  <c r="AX526" i="14"/>
  <c r="AY526" i="14"/>
  <c r="AU527" i="14"/>
  <c r="AV527" i="14"/>
  <c r="AW527" i="14"/>
  <c r="AX527" i="14"/>
  <c r="AY527" i="14"/>
  <c r="AV530" i="14"/>
  <c r="AW530" i="14"/>
  <c r="AX530" i="14"/>
  <c r="AY530" i="14"/>
  <c r="AV531" i="14"/>
  <c r="AW531" i="14"/>
  <c r="AX531" i="14"/>
  <c r="AY531" i="14"/>
  <c r="I536" i="14"/>
  <c r="AU537" i="14"/>
  <c r="AV537" i="14"/>
  <c r="AW537" i="14"/>
  <c r="AX537" i="14"/>
  <c r="AY537" i="14"/>
  <c r="AU538" i="14"/>
  <c r="AV538" i="14"/>
  <c r="AW538" i="14"/>
  <c r="AX538" i="14"/>
  <c r="AY538" i="14"/>
  <c r="AU539" i="14"/>
  <c r="AV539" i="14"/>
  <c r="AW539" i="14"/>
  <c r="AX539" i="14"/>
  <c r="AY539" i="14"/>
  <c r="AU540" i="14"/>
  <c r="AV540" i="14"/>
  <c r="AW540" i="14"/>
  <c r="AX540" i="14"/>
  <c r="AY540" i="14"/>
  <c r="I541" i="14"/>
  <c r="I542" i="14"/>
  <c r="AU545" i="14"/>
  <c r="AV545" i="14"/>
  <c r="AW545" i="14"/>
  <c r="AX545" i="14"/>
  <c r="AY545" i="14"/>
  <c r="AU546" i="14"/>
  <c r="AV546" i="14"/>
  <c r="AW546" i="14"/>
  <c r="AX546" i="14"/>
  <c r="AY546" i="14"/>
  <c r="AU547" i="14"/>
  <c r="AV547" i="14"/>
  <c r="AW547" i="14"/>
  <c r="AX547" i="14"/>
  <c r="AY547" i="14"/>
  <c r="AU548" i="14"/>
  <c r="AV548" i="14"/>
  <c r="AW548" i="14"/>
  <c r="AX548" i="14"/>
  <c r="AY548" i="14"/>
  <c r="AU551" i="14"/>
  <c r="AV551" i="14"/>
  <c r="AW551" i="14"/>
  <c r="AX551" i="14"/>
  <c r="AY551" i="14"/>
  <c r="AU552" i="14"/>
  <c r="AV552" i="14"/>
  <c r="AW552" i="14"/>
  <c r="AX552" i="14"/>
  <c r="AY552" i="14"/>
  <c r="AU553" i="14"/>
  <c r="AV553" i="14"/>
  <c r="AW553" i="14"/>
  <c r="AX553" i="14"/>
  <c r="AY553" i="14"/>
  <c r="I556" i="14"/>
  <c r="AU557" i="14"/>
  <c r="AV557" i="14"/>
  <c r="AW557" i="14"/>
  <c r="AX557" i="14"/>
  <c r="AY557" i="14"/>
  <c r="AU558" i="14"/>
  <c r="AV558" i="14"/>
  <c r="AW558" i="14"/>
  <c r="AX558" i="14"/>
  <c r="AY558" i="14"/>
  <c r="AU559" i="14"/>
  <c r="AV559" i="14"/>
  <c r="AW559" i="14"/>
  <c r="AX559" i="14"/>
  <c r="AY559" i="14"/>
  <c r="I562" i="14"/>
  <c r="I563" i="14"/>
  <c r="I564" i="14"/>
  <c r="I565" i="14"/>
  <c r="I568" i="14"/>
  <c r="I569" i="14"/>
  <c r="I570" i="14"/>
  <c r="I571" i="14"/>
  <c r="I572" i="14"/>
  <c r="I573" i="14"/>
  <c r="I576" i="14"/>
  <c r="I577" i="14"/>
  <c r="I578" i="14"/>
  <c r="I579" i="14"/>
  <c r="I580" i="14"/>
  <c r="I583" i="14"/>
  <c r="I584" i="14"/>
  <c r="AU584" i="14"/>
  <c r="AU585" i="14"/>
  <c r="AV585" i="14"/>
  <c r="AW585" i="14"/>
  <c r="AX585" i="14"/>
  <c r="AY585" i="14"/>
  <c r="AP586" i="14"/>
  <c r="AQ586" i="14"/>
  <c r="AR586" i="14"/>
  <c r="AS586" i="14"/>
  <c r="AT586" i="14"/>
  <c r="AH587" i="14"/>
  <c r="AI587" i="14"/>
  <c r="AJ587" i="14"/>
  <c r="AK587" i="14"/>
  <c r="AL587" i="14"/>
  <c r="AM587" i="14"/>
  <c r="AN587" i="14"/>
  <c r="AO587" i="14"/>
  <c r="AT588" i="14"/>
  <c r="AU590" i="14"/>
  <c r="AV590" i="14"/>
  <c r="AW590" i="14"/>
  <c r="AX590" i="14"/>
  <c r="AY591" i="14"/>
  <c r="AH593" i="14"/>
  <c r="I595" i="14"/>
  <c r="G219" i="15" l="1"/>
  <c r="G44" i="14"/>
  <c r="G44" i="35"/>
  <c r="G44" i="36"/>
  <c r="G30" i="35"/>
  <c r="G29" i="35"/>
  <c r="G30" i="36"/>
  <c r="G29" i="36"/>
  <c r="H235" i="15"/>
  <c r="BC591" i="35"/>
  <c r="BB591" i="35"/>
  <c r="BC591" i="36"/>
  <c r="BB591" i="36"/>
  <c r="BC591" i="14"/>
  <c r="BB591" i="14"/>
  <c r="BC590" i="35"/>
  <c r="BB590" i="35"/>
  <c r="BC590" i="36"/>
  <c r="BB590" i="36"/>
  <c r="BC590" i="14"/>
  <c r="BB590" i="14"/>
  <c r="BB573" i="35"/>
  <c r="BB572" i="35"/>
  <c r="BB571" i="35"/>
  <c r="BB570" i="35"/>
  <c r="BB569" i="35"/>
  <c r="BB568" i="35"/>
  <c r="BB573" i="36"/>
  <c r="BB572" i="36"/>
  <c r="BB571" i="36"/>
  <c r="BB570" i="36"/>
  <c r="BB569" i="36"/>
  <c r="BB568" i="36"/>
  <c r="BB573" i="14"/>
  <c r="BB572" i="14"/>
  <c r="BB571" i="14"/>
  <c r="BB570" i="14"/>
  <c r="BB569" i="14"/>
  <c r="BB568" i="14"/>
  <c r="BB565" i="35"/>
  <c r="BB564" i="35"/>
  <c r="BB563" i="35"/>
  <c r="BB562" i="35"/>
  <c r="BB565" i="36"/>
  <c r="BB564" i="36"/>
  <c r="BB563" i="36"/>
  <c r="BB562" i="36"/>
  <c r="BB565" i="14"/>
  <c r="BB564" i="14"/>
  <c r="BB563" i="14"/>
  <c r="BB562" i="14"/>
  <c r="BC556" i="35"/>
  <c r="BC556" i="36"/>
  <c r="BC556" i="14"/>
  <c r="BB559" i="35"/>
  <c r="BB558" i="35"/>
  <c r="BB557" i="35"/>
  <c r="BB559" i="36"/>
  <c r="BB558" i="36"/>
  <c r="BB557" i="36"/>
  <c r="BB559" i="14"/>
  <c r="BB558" i="14"/>
  <c r="BB557" i="14"/>
  <c r="BC553" i="35"/>
  <c r="BC552" i="35"/>
  <c r="BC553" i="36"/>
  <c r="BC552" i="36"/>
  <c r="BC553" i="14"/>
  <c r="BC552" i="14"/>
  <c r="BC551" i="35"/>
  <c r="BC551" i="36"/>
  <c r="BC551" i="14"/>
  <c r="BB553" i="35"/>
  <c r="BB552" i="35"/>
  <c r="BB551" i="35"/>
  <c r="BB553" i="36"/>
  <c r="BB552" i="36"/>
  <c r="BB551" i="36"/>
  <c r="BB553" i="14"/>
  <c r="BB552" i="14"/>
  <c r="BB551" i="14"/>
  <c r="BD536" i="35"/>
  <c r="BD536" i="36"/>
  <c r="BD536" i="14"/>
  <c r="BC531" i="35"/>
  <c r="BC531" i="36"/>
  <c r="BC531" i="14"/>
  <c r="BC530" i="35"/>
  <c r="BC530" i="36"/>
  <c r="BC530" i="14"/>
  <c r="BB531" i="35"/>
  <c r="BB530" i="35"/>
  <c r="BB531" i="36"/>
  <c r="BB530" i="36"/>
  <c r="BB531" i="14"/>
  <c r="BB530" i="14"/>
  <c r="BB527" i="35"/>
  <c r="BB526" i="35"/>
  <c r="BB525" i="35"/>
  <c r="BB524" i="35"/>
  <c r="BB523" i="35"/>
  <c r="BB522" i="35"/>
  <c r="BB521" i="35"/>
  <c r="BB520" i="35"/>
  <c r="BB519" i="35"/>
  <c r="BB518" i="35"/>
  <c r="BB517" i="35"/>
  <c r="BB516" i="35"/>
  <c r="BB527" i="36"/>
  <c r="BB526" i="36"/>
  <c r="BB525" i="36"/>
  <c r="BB524" i="36"/>
  <c r="BB523" i="36"/>
  <c r="BB522" i="36"/>
  <c r="BB521" i="36"/>
  <c r="BB520" i="36"/>
  <c r="BB519" i="36"/>
  <c r="BB518" i="36"/>
  <c r="BB517" i="36"/>
  <c r="BB516" i="36"/>
  <c r="BB527" i="14"/>
  <c r="BB526" i="14"/>
  <c r="BB525" i="14"/>
  <c r="BB524" i="14"/>
  <c r="BB523" i="14"/>
  <c r="BB522" i="14"/>
  <c r="BB521" i="14"/>
  <c r="BB520" i="14"/>
  <c r="BB519" i="14"/>
  <c r="BB518" i="14"/>
  <c r="BB517" i="14"/>
  <c r="BB516" i="14"/>
  <c r="BC527" i="35"/>
  <c r="BC526" i="35"/>
  <c r="BC525" i="35"/>
  <c r="BC524" i="35"/>
  <c r="BC523" i="35"/>
  <c r="BC522" i="35"/>
  <c r="BC521" i="35"/>
  <c r="BC520" i="35"/>
  <c r="BC519" i="35"/>
  <c r="BC518" i="35"/>
  <c r="BC517" i="35"/>
  <c r="BC516" i="35"/>
  <c r="BC527" i="36"/>
  <c r="BC526" i="36"/>
  <c r="BC525" i="36"/>
  <c r="BC524" i="36"/>
  <c r="BC523" i="36"/>
  <c r="BC522" i="36"/>
  <c r="BC521" i="36"/>
  <c r="BC520" i="36"/>
  <c r="BC519" i="36"/>
  <c r="BC518" i="36"/>
  <c r="BC517" i="36"/>
  <c r="BC516" i="36"/>
  <c r="BC527" i="14"/>
  <c r="BC526" i="14"/>
  <c r="BC525" i="14"/>
  <c r="BC524" i="14"/>
  <c r="BC523" i="14"/>
  <c r="BC522" i="14"/>
  <c r="BC521" i="14"/>
  <c r="BC520" i="14"/>
  <c r="BC519" i="14"/>
  <c r="BC518" i="14"/>
  <c r="BC517" i="14"/>
  <c r="BC516" i="14"/>
  <c r="BC515" i="35"/>
  <c r="BC515" i="36"/>
  <c r="BC515" i="14"/>
  <c r="BD512" i="35"/>
  <c r="BC512" i="35"/>
  <c r="BD512" i="36"/>
  <c r="BC512" i="36"/>
  <c r="BD512" i="14"/>
  <c r="BC512" i="14"/>
  <c r="BD511" i="35"/>
  <c r="BC511" i="35"/>
  <c r="BD511" i="36"/>
  <c r="BC511" i="36"/>
  <c r="BD511" i="14"/>
  <c r="BC511" i="14"/>
  <c r="BD510" i="35"/>
  <c r="BD510" i="36"/>
  <c r="BD510" i="14"/>
  <c r="BC510" i="35"/>
  <c r="BC510" i="36"/>
  <c r="BC510" i="14"/>
  <c r="BD507" i="35"/>
  <c r="BD507" i="36"/>
  <c r="BD507" i="14"/>
  <c r="BD506" i="35"/>
  <c r="BD506" i="36"/>
  <c r="BD506" i="14"/>
  <c r="BC502" i="35"/>
  <c r="BC502" i="36"/>
  <c r="BC502" i="14"/>
  <c r="BC454" i="14"/>
  <c r="BC453" i="14"/>
  <c r="BC452" i="14"/>
  <c r="BC451" i="14"/>
  <c r="BC450" i="14"/>
  <c r="BC449" i="14"/>
  <c r="BC448" i="14"/>
  <c r="BC447" i="14"/>
  <c r="BC446" i="14"/>
  <c r="BC445" i="14"/>
  <c r="BC444" i="14"/>
  <c r="BC443" i="14"/>
  <c r="BC442" i="14"/>
  <c r="BC441" i="14"/>
  <c r="BC440" i="14"/>
  <c r="BC439" i="14"/>
  <c r="BC438" i="14"/>
  <c r="BC437" i="14"/>
  <c r="BC436" i="14"/>
  <c r="BC435" i="14"/>
  <c r="BC434" i="14"/>
  <c r="BC433" i="14"/>
  <c r="BC432" i="14"/>
  <c r="BC431" i="14"/>
  <c r="BC430" i="14"/>
  <c r="BC429" i="14"/>
  <c r="BC428" i="14"/>
  <c r="BC427" i="14"/>
  <c r="BC426" i="14"/>
  <c r="BC425" i="14"/>
  <c r="BC424" i="14"/>
  <c r="BC423" i="14"/>
  <c r="BC422" i="14"/>
  <c r="BC421" i="14"/>
  <c r="BC420" i="14"/>
  <c r="BC419" i="14"/>
  <c r="BC418" i="14"/>
  <c r="BC417" i="14"/>
  <c r="BC416" i="14"/>
  <c r="BC415" i="14"/>
  <c r="BC414" i="14"/>
  <c r="BC413" i="14"/>
  <c r="BC412" i="14"/>
  <c r="BC411" i="14"/>
  <c r="BC410" i="14"/>
  <c r="BC409" i="14"/>
  <c r="BC408" i="14"/>
  <c r="BC407" i="14"/>
  <c r="BC406" i="14"/>
  <c r="BC405" i="14"/>
  <c r="BC404" i="14"/>
  <c r="BC403" i="14"/>
  <c r="BC402" i="14"/>
  <c r="BC401" i="14"/>
  <c r="BC400" i="14"/>
  <c r="BC399" i="14"/>
  <c r="BC398" i="14"/>
  <c r="BC397" i="14"/>
  <c r="BC396" i="14"/>
  <c r="BC395" i="14"/>
  <c r="BC394" i="14"/>
  <c r="BC393" i="14"/>
  <c r="BC392" i="14"/>
  <c r="BC391" i="14"/>
  <c r="BC390" i="14"/>
  <c r="BC389" i="14"/>
  <c r="BC388" i="14"/>
  <c r="BC387" i="14"/>
  <c r="BC386" i="14"/>
  <c r="BC385" i="14"/>
  <c r="BC384" i="14"/>
  <c r="BC383" i="14"/>
  <c r="BC382" i="14"/>
  <c r="BC381" i="14"/>
  <c r="BC380" i="14"/>
  <c r="BC379" i="14"/>
  <c r="BC378" i="14"/>
  <c r="BC377" i="14"/>
  <c r="BC376" i="14"/>
  <c r="BC375" i="14"/>
  <c r="BC374" i="14"/>
  <c r="BC373" i="14"/>
  <c r="BC372" i="14"/>
  <c r="BC371" i="14"/>
  <c r="BC370" i="14"/>
  <c r="BC369" i="14"/>
  <c r="BC368" i="14"/>
  <c r="BC367" i="14"/>
  <c r="BC366" i="14"/>
  <c r="BC365" i="14"/>
  <c r="BC364" i="14"/>
  <c r="BC363" i="14"/>
  <c r="BC362" i="14"/>
  <c r="BC361" i="14"/>
  <c r="BC360" i="14"/>
  <c r="BC359" i="14"/>
  <c r="BC358" i="14"/>
  <c r="BC357" i="14"/>
  <c r="BC356" i="14"/>
  <c r="BC355" i="14"/>
  <c r="BC354" i="14"/>
  <c r="BC353" i="14"/>
  <c r="BC352" i="14"/>
  <c r="BC351" i="14"/>
  <c r="BC350" i="14"/>
  <c r="BC349" i="14"/>
  <c r="BC348" i="14"/>
  <c r="BC347" i="14"/>
  <c r="BC346" i="14"/>
  <c r="BC345" i="14"/>
  <c r="BC344" i="14"/>
  <c r="BC343" i="14"/>
  <c r="BC342" i="14"/>
  <c r="BC341" i="14"/>
  <c r="BC340" i="14"/>
  <c r="BC339" i="14"/>
  <c r="BC338" i="14"/>
  <c r="BC337" i="14"/>
  <c r="BC336" i="14"/>
  <c r="BC335" i="14"/>
  <c r="BC334" i="14"/>
  <c r="BC333" i="14"/>
  <c r="BC332" i="14"/>
  <c r="BC331" i="14"/>
  <c r="BC330" i="14"/>
  <c r="BC329" i="14"/>
  <c r="BC328" i="14"/>
  <c r="BC327" i="14"/>
  <c r="BC326" i="14"/>
  <c r="BC325" i="14"/>
  <c r="BC324" i="14"/>
  <c r="BC323" i="14"/>
  <c r="BC322" i="14"/>
  <c r="BC321" i="14"/>
  <c r="BC320" i="14"/>
  <c r="BC319" i="14"/>
  <c r="BC318" i="14"/>
  <c r="BC317" i="14"/>
  <c r="BC316" i="14"/>
  <c r="BC315" i="14"/>
  <c r="BC314" i="14"/>
  <c r="BC313" i="14"/>
  <c r="BC312" i="14"/>
  <c r="BC311" i="14"/>
  <c r="BC310" i="14"/>
  <c r="BC309" i="14"/>
  <c r="BC308" i="14"/>
  <c r="BC307" i="14"/>
  <c r="BC306" i="14"/>
  <c r="BC305" i="14"/>
  <c r="BC304" i="14"/>
  <c r="BC303" i="14"/>
  <c r="BC302" i="14"/>
  <c r="BC301" i="14"/>
  <c r="BC300" i="14"/>
  <c r="BC299" i="14"/>
  <c r="BC298" i="14"/>
  <c r="BC297" i="14"/>
  <c r="BC296" i="14"/>
  <c r="BC295" i="14"/>
  <c r="BC294" i="14"/>
  <c r="BC293" i="14"/>
  <c r="BC292" i="14"/>
  <c r="BC291" i="14"/>
  <c r="BC290" i="14"/>
  <c r="BC289" i="14"/>
  <c r="BC288" i="14"/>
  <c r="BC287" i="14"/>
  <c r="BC286" i="14"/>
  <c r="BC285" i="14"/>
  <c r="BC284" i="14"/>
  <c r="BC283" i="14"/>
  <c r="BC282" i="14"/>
  <c r="BC281" i="14"/>
  <c r="BC280" i="14"/>
  <c r="BC279" i="14"/>
  <c r="BC278" i="14"/>
  <c r="BC277" i="14"/>
  <c r="BC276" i="14"/>
  <c r="BC275" i="14"/>
  <c r="BC274" i="14"/>
  <c r="BC273" i="14"/>
  <c r="BC272" i="14"/>
  <c r="BC271" i="14"/>
  <c r="BC270" i="14"/>
  <c r="BC269" i="14"/>
  <c r="BC268" i="14"/>
  <c r="BC267" i="14"/>
  <c r="BC266" i="14"/>
  <c r="BC265" i="14"/>
  <c r="BC264" i="14"/>
  <c r="BC263" i="14"/>
  <c r="BC262" i="14"/>
  <c r="BC261" i="14"/>
  <c r="BC260" i="14"/>
  <c r="BC259" i="14"/>
  <c r="BC258" i="14"/>
  <c r="BC257" i="14"/>
  <c r="BC256" i="14"/>
  <c r="BC255" i="14"/>
  <c r="BC254" i="14"/>
  <c r="BC253" i="14"/>
  <c r="BC252" i="14"/>
  <c r="BC251" i="14"/>
  <c r="BC250" i="14"/>
  <c r="BC249" i="14"/>
  <c r="BC248" i="14"/>
  <c r="BC247" i="14"/>
  <c r="BC246" i="14"/>
  <c r="BC245" i="14"/>
  <c r="BC244" i="14"/>
  <c r="BC243" i="14"/>
  <c r="BC242" i="14"/>
  <c r="BC241" i="14"/>
  <c r="BC240" i="14"/>
  <c r="BC239" i="14"/>
  <c r="BC238" i="14"/>
  <c r="BC237" i="14"/>
  <c r="BC236" i="14"/>
  <c r="BC235" i="14"/>
  <c r="BC234" i="14"/>
  <c r="BC233" i="14"/>
  <c r="BC232" i="14"/>
  <c r="BC231" i="14"/>
  <c r="BC230" i="14"/>
  <c r="BC229" i="14"/>
  <c r="BC228" i="14"/>
  <c r="BC227" i="14"/>
  <c r="BC226" i="14"/>
  <c r="BC225" i="14"/>
  <c r="BC224" i="14"/>
  <c r="BC223" i="14"/>
  <c r="BC222" i="14"/>
  <c r="BC221" i="14"/>
  <c r="BC220" i="14"/>
  <c r="BC219" i="14"/>
  <c r="BC218" i="14"/>
  <c r="BC217" i="14"/>
  <c r="BC216" i="14"/>
  <c r="BC215" i="14"/>
  <c r="BC214" i="14"/>
  <c r="BC213" i="14"/>
  <c r="BC212" i="14"/>
  <c r="BC211" i="14"/>
  <c r="BC210" i="14"/>
  <c r="BC209" i="14"/>
  <c r="BC208" i="14"/>
  <c r="BC207" i="14"/>
  <c r="BC206" i="14"/>
  <c r="BC205" i="14"/>
  <c r="BC202" i="35"/>
  <c r="BC201" i="35"/>
  <c r="BC200" i="35"/>
  <c r="BC199" i="35"/>
  <c r="BC198" i="35"/>
  <c r="BC197" i="35"/>
  <c r="BC196" i="35"/>
  <c r="BC195" i="35"/>
  <c r="BC194" i="35"/>
  <c r="BC193" i="35"/>
  <c r="BC192" i="35"/>
  <c r="BC191" i="35"/>
  <c r="BC190" i="35"/>
  <c r="BC189" i="35"/>
  <c r="BC188" i="35"/>
  <c r="BC187" i="35"/>
  <c r="BC186" i="35"/>
  <c r="BC185" i="35"/>
  <c r="BC184" i="35"/>
  <c r="BC183" i="35"/>
  <c r="BC182" i="35"/>
  <c r="BC181" i="35"/>
  <c r="BC180" i="35"/>
  <c r="BC179" i="35"/>
  <c r="BC178" i="35"/>
  <c r="BC177" i="35"/>
  <c r="BC176" i="35"/>
  <c r="BC175" i="35"/>
  <c r="BC174" i="35"/>
  <c r="BC173" i="35"/>
  <c r="BC172" i="35"/>
  <c r="BC171" i="35"/>
  <c r="BC170" i="35"/>
  <c r="BC169" i="35"/>
  <c r="BC168" i="35"/>
  <c r="BC167" i="35"/>
  <c r="BC166" i="35"/>
  <c r="BC165" i="35"/>
  <c r="BC164" i="35"/>
  <c r="BC163" i="35"/>
  <c r="BC162" i="35"/>
  <c r="BC161" i="35"/>
  <c r="BC160" i="35"/>
  <c r="BC159" i="35"/>
  <c r="BC158" i="35"/>
  <c r="BC157" i="35"/>
  <c r="BC156" i="35"/>
  <c r="BC155" i="35"/>
  <c r="BC154" i="35"/>
  <c r="BC153" i="35"/>
  <c r="BC202" i="36"/>
  <c r="BC201" i="36"/>
  <c r="BC200" i="36"/>
  <c r="BC199" i="36"/>
  <c r="BC198" i="36"/>
  <c r="BC197" i="36"/>
  <c r="BC196" i="36"/>
  <c r="BC195" i="36"/>
  <c r="BC194" i="36"/>
  <c r="BC193" i="36"/>
  <c r="BC192" i="36"/>
  <c r="BC191" i="36"/>
  <c r="BC190" i="36"/>
  <c r="BC189" i="36"/>
  <c r="BC188" i="36"/>
  <c r="BC187" i="36"/>
  <c r="BC186" i="36"/>
  <c r="BC185" i="36"/>
  <c r="BC184" i="36"/>
  <c r="BC183" i="36"/>
  <c r="BC182" i="36"/>
  <c r="BC181" i="36"/>
  <c r="BC180" i="36"/>
  <c r="BC179" i="36"/>
  <c r="BC178" i="36"/>
  <c r="BC177" i="36"/>
  <c r="BC176" i="36"/>
  <c r="BC175" i="36"/>
  <c r="BC174" i="36"/>
  <c r="BC173" i="36"/>
  <c r="BC172" i="36"/>
  <c r="BC171" i="36"/>
  <c r="BC170" i="36"/>
  <c r="BC169" i="36"/>
  <c r="BC168" i="36"/>
  <c r="BC167" i="36"/>
  <c r="BC166" i="36"/>
  <c r="BC165" i="36"/>
  <c r="BC164" i="36"/>
  <c r="BC163" i="36"/>
  <c r="BC162" i="36"/>
  <c r="BC161" i="36"/>
  <c r="BC160" i="36"/>
  <c r="BC159" i="36"/>
  <c r="BC158" i="36"/>
  <c r="BC157" i="36"/>
  <c r="BC156" i="36"/>
  <c r="BC155" i="36"/>
  <c r="BC154" i="36"/>
  <c r="BC153" i="36"/>
  <c r="BC202" i="14"/>
  <c r="BC201" i="14"/>
  <c r="BC200" i="14"/>
  <c r="BC199" i="14"/>
  <c r="BC198" i="14"/>
  <c r="BC197" i="14"/>
  <c r="BC196" i="14"/>
  <c r="BC195" i="14"/>
  <c r="BC194" i="14"/>
  <c r="BC193" i="14"/>
  <c r="BC192" i="14"/>
  <c r="BC191" i="14"/>
  <c r="BC190" i="14"/>
  <c r="BC189" i="14"/>
  <c r="BC188" i="14"/>
  <c r="BC187" i="14"/>
  <c r="BC186" i="14"/>
  <c r="BC185" i="14"/>
  <c r="BC184" i="14"/>
  <c r="BC183" i="14"/>
  <c r="BC182" i="14"/>
  <c r="BC181" i="14"/>
  <c r="BC180" i="14"/>
  <c r="BC179" i="14"/>
  <c r="BC178" i="14"/>
  <c r="BC177" i="14"/>
  <c r="BC176" i="14"/>
  <c r="BC175" i="14"/>
  <c r="BC174" i="14"/>
  <c r="BC173" i="14"/>
  <c r="BC172" i="14"/>
  <c r="BC171" i="14"/>
  <c r="BC170" i="14"/>
  <c r="BC169" i="14"/>
  <c r="BC168" i="14"/>
  <c r="BC167" i="14"/>
  <c r="BC166" i="14"/>
  <c r="BC165" i="14"/>
  <c r="BC164" i="14"/>
  <c r="BC163" i="14"/>
  <c r="BC162" i="14"/>
  <c r="BC161" i="14"/>
  <c r="BC160" i="14"/>
  <c r="BC159" i="14"/>
  <c r="BC158" i="14"/>
  <c r="BC157" i="14"/>
  <c r="BC156" i="14"/>
  <c r="BC155" i="14"/>
  <c r="BC154" i="14"/>
  <c r="BC153" i="14"/>
  <c r="BC60" i="35"/>
  <c r="BB60" i="35"/>
  <c r="BC60" i="36"/>
  <c r="BB60" i="36"/>
  <c r="BC60" i="14"/>
  <c r="BB60" i="14"/>
  <c r="BC55" i="35"/>
  <c r="BC55" i="36"/>
  <c r="BC55" i="14"/>
  <c r="BB55" i="35"/>
  <c r="BB55" i="36"/>
  <c r="BB55" i="14"/>
  <c r="AY234" i="15" l="1"/>
  <c r="AU238" i="15" l="1"/>
  <c r="AU237" i="15"/>
  <c r="AX233" i="15"/>
  <c r="AW233" i="15"/>
  <c r="AV233" i="15"/>
  <c r="AU233" i="15"/>
  <c r="AY232" i="15"/>
  <c r="AY239" i="15" s="1"/>
  <c r="AX232" i="15"/>
  <c r="AW232" i="15"/>
  <c r="AV232" i="15"/>
  <c r="AU232" i="15"/>
  <c r="AY233" i="15"/>
  <c r="AX234" i="15"/>
  <c r="AW234" i="15"/>
  <c r="AV234" i="15"/>
  <c r="AU234" i="15"/>
  <c r="BC25" i="15"/>
  <c r="BB25" i="15"/>
  <c r="AU240" i="15" l="1"/>
  <c r="AW239" i="15"/>
  <c r="AU239" i="15"/>
  <c r="AV239" i="15"/>
  <c r="AX239" i="15"/>
  <c r="BB49" i="8"/>
  <c r="BB49" i="11"/>
  <c r="BB48" i="11"/>
  <c r="BB46" i="11"/>
  <c r="BC265" i="15"/>
  <c r="BB265" i="15"/>
  <c r="BB229" i="15"/>
  <c r="BB228" i="15"/>
  <c r="BB227" i="15"/>
  <c r="BB226" i="15"/>
  <c r="BB39" i="15"/>
  <c r="BC172" i="27"/>
  <c r="BB172" i="27"/>
  <c r="BC171" i="27"/>
  <c r="BB171" i="27"/>
  <c r="BC170" i="27"/>
  <c r="BB170" i="27"/>
  <c r="BC169" i="27"/>
  <c r="BB169" i="27"/>
  <c r="BC168" i="27"/>
  <c r="BB168" i="27"/>
  <c r="BC167" i="27"/>
  <c r="BB167" i="27"/>
  <c r="BC166" i="27"/>
  <c r="BB166" i="27"/>
  <c r="BC165" i="27"/>
  <c r="BB165" i="27"/>
  <c r="BC164" i="27"/>
  <c r="BB164" i="27"/>
  <c r="BC163" i="27"/>
  <c r="BB163" i="27"/>
  <c r="BC162" i="27"/>
  <c r="BB162" i="27"/>
  <c r="BC161" i="27"/>
  <c r="BB161" i="27"/>
  <c r="BC160" i="27"/>
  <c r="BB160" i="27"/>
  <c r="BC159" i="27"/>
  <c r="BB159" i="27"/>
  <c r="BC158" i="27"/>
  <c r="BB158" i="27"/>
  <c r="BC157" i="27"/>
  <c r="BB157" i="27"/>
  <c r="BC156" i="27"/>
  <c r="BB156" i="27"/>
  <c r="BC155" i="27"/>
  <c r="BB155" i="27"/>
  <c r="BC154" i="27"/>
  <c r="BB154" i="27"/>
  <c r="BC153" i="27"/>
  <c r="BB153" i="27"/>
  <c r="BC152" i="27"/>
  <c r="BB152" i="27"/>
  <c r="BC151" i="27"/>
  <c r="BB151" i="27"/>
  <c r="BC150" i="27"/>
  <c r="BB150" i="27"/>
  <c r="BC149" i="27"/>
  <c r="BB149" i="27"/>
  <c r="BC148" i="27"/>
  <c r="BB148" i="27"/>
  <c r="BC147" i="27"/>
  <c r="BB147" i="27"/>
  <c r="BC146" i="27"/>
  <c r="BB146" i="27"/>
  <c r="BC145" i="27"/>
  <c r="BB145" i="27"/>
  <c r="BC144" i="27"/>
  <c r="BB144" i="27"/>
  <c r="BC143" i="27"/>
  <c r="BB143" i="27"/>
  <c r="BC142" i="27"/>
  <c r="BB142" i="27"/>
  <c r="BC141" i="27"/>
  <c r="BB141" i="27"/>
  <c r="BC140" i="27"/>
  <c r="BB140" i="27"/>
  <c r="BC139" i="27"/>
  <c r="BB139" i="27"/>
  <c r="BC138" i="27"/>
  <c r="BB138" i="27"/>
  <c r="BC137" i="27"/>
  <c r="BB137" i="27"/>
  <c r="BC136" i="27"/>
  <c r="BB136" i="27"/>
  <c r="BC135" i="27"/>
  <c r="BB135" i="27"/>
  <c r="BC134" i="27"/>
  <c r="BB134" i="27"/>
  <c r="BC133" i="27"/>
  <c r="BB133" i="27"/>
  <c r="BC132" i="27"/>
  <c r="BB132" i="27"/>
  <c r="BC131" i="27"/>
  <c r="BB131" i="27"/>
  <c r="BC130" i="27"/>
  <c r="BB130" i="27"/>
  <c r="BC129" i="27"/>
  <c r="BB129" i="27"/>
  <c r="BC128" i="27"/>
  <c r="BB128" i="27"/>
  <c r="BC127" i="27"/>
  <c r="BB127" i="27"/>
  <c r="BC126" i="27"/>
  <c r="BB126" i="27"/>
  <c r="BC125" i="27"/>
  <c r="BB125" i="27"/>
  <c r="BC124" i="27"/>
  <c r="BB124" i="27"/>
  <c r="BC123" i="27"/>
  <c r="BB123" i="27"/>
  <c r="BC122" i="27"/>
  <c r="BB122" i="27"/>
  <c r="BC121" i="27"/>
  <c r="BB121" i="27"/>
  <c r="BC120" i="27"/>
  <c r="BB120" i="27"/>
  <c r="BC119" i="27"/>
  <c r="BB119" i="27"/>
  <c r="BC118" i="27"/>
  <c r="BB118" i="27"/>
  <c r="BC117" i="27"/>
  <c r="BB117" i="27"/>
  <c r="BC38" i="27"/>
  <c r="BB38" i="27"/>
  <c r="BC37" i="27"/>
  <c r="BB37" i="27"/>
  <c r="BC36" i="27"/>
  <c r="BB36" i="27"/>
  <c r="BC35" i="27"/>
  <c r="BB35" i="27"/>
  <c r="BC34" i="27"/>
  <c r="BB34" i="27"/>
  <c r="BC33" i="27"/>
  <c r="BB33" i="27"/>
  <c r="BC32" i="27"/>
  <c r="BB32" i="27"/>
  <c r="BC31" i="27"/>
  <c r="BB31" i="27"/>
  <c r="BC30" i="27"/>
  <c r="BB30" i="27"/>
  <c r="BC29" i="27"/>
  <c r="BB29" i="27"/>
  <c r="BC28" i="27"/>
  <c r="BB28" i="27"/>
  <c r="BC27" i="27"/>
  <c r="BB27" i="27"/>
  <c r="BC595" i="35"/>
  <c r="BB595" i="35"/>
  <c r="BC593" i="35"/>
  <c r="BB593" i="35"/>
  <c r="BC588" i="35"/>
  <c r="BB588" i="35"/>
  <c r="BC587" i="35"/>
  <c r="BB587" i="35"/>
  <c r="BC586" i="35"/>
  <c r="BB586" i="35"/>
  <c r="BC585" i="35"/>
  <c r="BB585" i="35"/>
  <c r="BC584" i="35"/>
  <c r="BB584" i="35"/>
  <c r="BC583" i="35"/>
  <c r="BB583" i="35"/>
  <c r="BC580" i="35"/>
  <c r="BB580" i="35"/>
  <c r="BC579" i="35"/>
  <c r="BB579" i="35"/>
  <c r="BC578" i="35"/>
  <c r="BB578" i="35"/>
  <c r="BC577" i="35"/>
  <c r="BB577" i="35"/>
  <c r="BC576" i="35"/>
  <c r="BB576" i="35"/>
  <c r="BB556" i="35"/>
  <c r="BD542" i="35"/>
  <c r="BC542" i="35"/>
  <c r="BB542" i="35"/>
  <c r="BD541" i="35"/>
  <c r="BC541" i="35"/>
  <c r="BB541" i="35"/>
  <c r="BD540" i="35"/>
  <c r="BC540" i="35"/>
  <c r="BB540" i="35"/>
  <c r="BD539" i="35"/>
  <c r="BC539" i="35"/>
  <c r="BB539" i="35"/>
  <c r="BD538" i="35"/>
  <c r="BC538" i="35"/>
  <c r="BB538" i="35"/>
  <c r="BD537" i="35"/>
  <c r="BC537" i="35"/>
  <c r="BB537" i="35"/>
  <c r="BD548" i="35"/>
  <c r="BC548" i="35"/>
  <c r="BB548" i="35"/>
  <c r="BC536" i="35"/>
  <c r="BB536" i="35"/>
  <c r="BD547" i="35"/>
  <c r="BC547" i="35"/>
  <c r="BB547" i="35"/>
  <c r="BD546" i="35"/>
  <c r="BC546" i="35"/>
  <c r="BB546" i="35"/>
  <c r="BD545" i="35"/>
  <c r="BC545" i="35"/>
  <c r="BB545" i="35"/>
  <c r="BB512" i="35"/>
  <c r="BB511" i="35"/>
  <c r="BB510" i="35"/>
  <c r="BB515" i="35"/>
  <c r="BB502" i="35"/>
  <c r="BC507" i="35"/>
  <c r="BB507" i="35"/>
  <c r="BC506" i="35"/>
  <c r="BB506" i="35"/>
  <c r="BC498" i="35"/>
  <c r="BB498" i="35"/>
  <c r="BD495" i="35"/>
  <c r="BC495" i="35"/>
  <c r="BB495" i="35"/>
  <c r="BD494" i="35"/>
  <c r="BC494" i="35"/>
  <c r="BB494" i="35"/>
  <c r="BD493" i="35"/>
  <c r="BC493" i="35"/>
  <c r="BB493" i="35"/>
  <c r="BD492" i="35"/>
  <c r="BC492" i="35"/>
  <c r="BB492" i="35"/>
  <c r="BD491" i="35"/>
  <c r="BC491" i="35"/>
  <c r="BB491" i="35"/>
  <c r="BD488" i="35"/>
  <c r="BC488" i="35"/>
  <c r="BB488" i="35"/>
  <c r="BD487" i="35"/>
  <c r="BC487" i="35"/>
  <c r="BB487" i="35"/>
  <c r="BD486" i="35"/>
  <c r="BC486" i="35"/>
  <c r="BB486" i="35"/>
  <c r="BD484" i="35"/>
  <c r="BC484" i="35"/>
  <c r="BB484" i="35"/>
  <c r="BD483" i="35"/>
  <c r="BC483" i="35"/>
  <c r="BB483" i="35"/>
  <c r="BD482" i="35"/>
  <c r="BC482" i="35"/>
  <c r="BB482" i="35"/>
  <c r="BD481" i="35"/>
  <c r="BC481" i="35"/>
  <c r="BB481" i="35"/>
  <c r="BD480" i="35"/>
  <c r="BC480" i="35"/>
  <c r="BB480" i="35"/>
  <c r="BD478" i="35"/>
  <c r="BC478" i="35"/>
  <c r="BB478" i="35"/>
  <c r="BD475" i="35"/>
  <c r="BC475" i="35"/>
  <c r="BB475" i="35"/>
  <c r="BD474" i="35"/>
  <c r="BC474" i="35"/>
  <c r="BB474" i="35"/>
  <c r="BD473" i="35"/>
  <c r="BC473" i="35"/>
  <c r="BB473" i="35"/>
  <c r="BD472" i="35"/>
  <c r="BC472" i="35"/>
  <c r="BB472" i="35"/>
  <c r="BC573" i="35"/>
  <c r="BC572" i="35"/>
  <c r="BC571" i="35"/>
  <c r="BC570" i="35"/>
  <c r="BC569" i="35"/>
  <c r="BC568" i="35"/>
  <c r="BC565" i="35"/>
  <c r="BC564" i="35"/>
  <c r="BC563" i="35"/>
  <c r="BC562" i="35"/>
  <c r="BC559" i="35"/>
  <c r="BC558" i="35"/>
  <c r="BC557" i="35"/>
  <c r="BC468" i="35"/>
  <c r="BB468" i="35"/>
  <c r="BC465" i="35"/>
  <c r="BB465" i="35"/>
  <c r="BD462" i="35"/>
  <c r="BC462" i="35"/>
  <c r="BB462" i="35"/>
  <c r="BD461" i="35"/>
  <c r="BC461" i="35"/>
  <c r="BB461" i="35"/>
  <c r="BD460" i="35"/>
  <c r="BC460" i="35"/>
  <c r="BB460" i="35"/>
  <c r="BD459" i="35"/>
  <c r="BC459" i="35"/>
  <c r="BB459" i="35"/>
  <c r="BD458" i="35"/>
  <c r="BC458" i="35"/>
  <c r="BB458" i="35"/>
  <c r="BD202" i="35"/>
  <c r="BB202" i="35"/>
  <c r="BD201" i="35"/>
  <c r="BB201" i="35"/>
  <c r="BD200" i="35"/>
  <c r="BB200" i="35"/>
  <c r="BD199" i="35"/>
  <c r="BB199" i="35"/>
  <c r="BD198" i="35"/>
  <c r="BB198" i="35"/>
  <c r="BD197" i="35"/>
  <c r="BB197" i="35"/>
  <c r="BD196" i="35"/>
  <c r="BB196" i="35"/>
  <c r="BD195" i="35"/>
  <c r="BB195" i="35"/>
  <c r="BD194" i="35"/>
  <c r="BB194" i="35"/>
  <c r="BD193" i="35"/>
  <c r="BB193" i="35"/>
  <c r="BD192" i="35"/>
  <c r="BB192" i="35"/>
  <c r="BD191" i="35"/>
  <c r="BB191" i="35"/>
  <c r="BD190" i="35"/>
  <c r="BB190" i="35"/>
  <c r="BD189" i="35"/>
  <c r="BB189" i="35"/>
  <c r="BD188" i="35"/>
  <c r="BB188" i="35"/>
  <c r="BD187" i="35"/>
  <c r="BB187" i="35"/>
  <c r="BD186" i="35"/>
  <c r="BB186" i="35"/>
  <c r="BD185" i="35"/>
  <c r="BB185" i="35"/>
  <c r="BD184" i="35"/>
  <c r="BB184" i="35"/>
  <c r="BD183" i="35"/>
  <c r="BB183" i="35"/>
  <c r="BD182" i="35"/>
  <c r="BB182" i="35"/>
  <c r="BD181" i="35"/>
  <c r="BB181" i="35"/>
  <c r="BD180" i="35"/>
  <c r="BB180" i="35"/>
  <c r="BD179" i="35"/>
  <c r="BB179" i="35"/>
  <c r="BD178" i="35"/>
  <c r="BB178" i="35"/>
  <c r="BD177" i="35"/>
  <c r="BB177" i="35"/>
  <c r="BD176" i="35"/>
  <c r="BB176" i="35"/>
  <c r="BD175" i="35"/>
  <c r="BB175" i="35"/>
  <c r="BD174" i="35"/>
  <c r="BB174" i="35"/>
  <c r="BD173" i="35"/>
  <c r="BB173" i="35"/>
  <c r="BD172" i="35"/>
  <c r="BB172" i="35"/>
  <c r="BD171" i="35"/>
  <c r="BB171" i="35"/>
  <c r="BD170" i="35"/>
  <c r="BB170" i="35"/>
  <c r="BD169" i="35"/>
  <c r="BB169" i="35"/>
  <c r="BD168" i="35"/>
  <c r="BB168" i="35"/>
  <c r="BD167" i="35"/>
  <c r="BB167" i="35"/>
  <c r="BD166" i="35"/>
  <c r="BB166" i="35"/>
  <c r="BD165" i="35"/>
  <c r="BB165" i="35"/>
  <c r="BD164" i="35"/>
  <c r="BB164" i="35"/>
  <c r="BD163" i="35"/>
  <c r="BB163" i="35"/>
  <c r="BD162" i="35"/>
  <c r="BB162" i="35"/>
  <c r="BD161" i="35"/>
  <c r="BB161" i="35"/>
  <c r="BD160" i="35"/>
  <c r="BB160" i="35"/>
  <c r="BD159" i="35"/>
  <c r="BB159" i="35"/>
  <c r="BD158" i="35"/>
  <c r="BB158" i="35"/>
  <c r="BD157" i="35"/>
  <c r="BB157" i="35"/>
  <c r="BD156" i="35"/>
  <c r="BB156" i="35"/>
  <c r="BD155" i="35"/>
  <c r="BB155" i="35"/>
  <c r="BD154" i="35"/>
  <c r="BB154" i="35"/>
  <c r="BD153" i="35"/>
  <c r="BB153" i="35"/>
  <c r="BD148" i="35"/>
  <c r="BC148" i="35"/>
  <c r="BB148" i="35"/>
  <c r="BD147" i="35"/>
  <c r="BC147" i="35"/>
  <c r="BB147" i="35"/>
  <c r="BD146" i="35"/>
  <c r="BC146" i="35"/>
  <c r="BB146" i="35"/>
  <c r="BD145" i="35"/>
  <c r="BC145" i="35"/>
  <c r="BB145" i="35"/>
  <c r="BD144" i="35"/>
  <c r="BC144" i="35"/>
  <c r="BB144" i="35"/>
  <c r="BD143" i="35"/>
  <c r="BC143" i="35"/>
  <c r="BB143" i="35"/>
  <c r="BD142" i="35"/>
  <c r="BC142" i="35"/>
  <c r="BB142" i="35"/>
  <c r="BD141" i="35"/>
  <c r="BC141" i="35"/>
  <c r="BB141" i="35"/>
  <c r="BD140" i="35"/>
  <c r="BC140" i="35"/>
  <c r="BB140" i="35"/>
  <c r="BD139" i="35"/>
  <c r="BC139" i="35"/>
  <c r="BB139" i="35"/>
  <c r="BD138" i="35"/>
  <c r="BC138" i="35"/>
  <c r="BB138" i="35"/>
  <c r="BD137" i="35"/>
  <c r="BC137" i="35"/>
  <c r="BB137" i="35"/>
  <c r="BD136" i="35"/>
  <c r="BC136" i="35"/>
  <c r="BB136" i="35"/>
  <c r="BD135" i="35"/>
  <c r="BC135" i="35"/>
  <c r="BB135" i="35"/>
  <c r="BD134" i="35"/>
  <c r="BC134" i="35"/>
  <c r="BB134" i="35"/>
  <c r="BD133" i="35"/>
  <c r="BC133" i="35"/>
  <c r="BB133" i="35"/>
  <c r="BD132" i="35"/>
  <c r="BC132" i="35"/>
  <c r="BB132" i="35"/>
  <c r="BD131" i="35"/>
  <c r="BC131" i="35"/>
  <c r="BB131" i="35"/>
  <c r="BD130" i="35"/>
  <c r="BC130" i="35"/>
  <c r="BB130" i="35"/>
  <c r="BD129" i="35"/>
  <c r="BC129" i="35"/>
  <c r="BB129" i="35"/>
  <c r="BD128" i="35"/>
  <c r="BC128" i="35"/>
  <c r="BB128" i="35"/>
  <c r="BD127" i="35"/>
  <c r="BC127" i="35"/>
  <c r="BB127" i="35"/>
  <c r="BD126" i="35"/>
  <c r="BC126" i="35"/>
  <c r="BB126" i="35"/>
  <c r="BD125" i="35"/>
  <c r="BC125" i="35"/>
  <c r="BB125" i="35"/>
  <c r="BD124" i="35"/>
  <c r="BC124" i="35"/>
  <c r="BB124" i="35"/>
  <c r="BD123" i="35"/>
  <c r="BC123" i="35"/>
  <c r="BB123" i="35"/>
  <c r="BD122" i="35"/>
  <c r="BC122" i="35"/>
  <c r="BB122" i="35"/>
  <c r="BD121" i="35"/>
  <c r="BC121" i="35"/>
  <c r="BB121" i="35"/>
  <c r="BD120" i="35"/>
  <c r="BC120" i="35"/>
  <c r="BB120" i="35"/>
  <c r="BD119" i="35"/>
  <c r="BC119" i="35"/>
  <c r="BB119" i="35"/>
  <c r="BD118" i="35"/>
  <c r="BC118" i="35"/>
  <c r="BB118" i="35"/>
  <c r="BD117" i="35"/>
  <c r="BC117" i="35"/>
  <c r="BB117" i="35"/>
  <c r="BD116" i="35"/>
  <c r="BC116" i="35"/>
  <c r="BB116" i="35"/>
  <c r="BD115" i="35"/>
  <c r="BC115" i="35"/>
  <c r="BB115" i="35"/>
  <c r="BD114" i="35"/>
  <c r="BC114" i="35"/>
  <c r="BB114" i="35"/>
  <c r="BD113" i="35"/>
  <c r="BC113" i="35"/>
  <c r="BB113" i="35"/>
  <c r="BD112" i="35"/>
  <c r="BC112" i="35"/>
  <c r="BB112" i="35"/>
  <c r="BD111" i="35"/>
  <c r="BC111" i="35"/>
  <c r="BB111" i="35"/>
  <c r="BD110" i="35"/>
  <c r="BC110" i="35"/>
  <c r="BB110" i="35"/>
  <c r="BD109" i="35"/>
  <c r="BC109" i="35"/>
  <c r="BB109" i="35"/>
  <c r="BD108" i="35"/>
  <c r="BC108" i="35"/>
  <c r="BB108" i="35"/>
  <c r="BD107" i="35"/>
  <c r="BC107" i="35"/>
  <c r="BB107" i="35"/>
  <c r="BD106" i="35"/>
  <c r="BC106" i="35"/>
  <c r="BB106" i="35"/>
  <c r="BD105" i="35"/>
  <c r="BC105" i="35"/>
  <c r="BB105" i="35"/>
  <c r="BD104" i="35"/>
  <c r="BC104" i="35"/>
  <c r="BB104" i="35"/>
  <c r="BD103" i="35"/>
  <c r="BC103" i="35"/>
  <c r="BB103" i="35"/>
  <c r="BD102" i="35"/>
  <c r="BC102" i="35"/>
  <c r="BB102" i="35"/>
  <c r="BD101" i="35"/>
  <c r="BC101" i="35"/>
  <c r="BB101" i="35"/>
  <c r="BD100" i="35"/>
  <c r="BC100" i="35"/>
  <c r="BB100" i="35"/>
  <c r="BD99" i="35"/>
  <c r="BC99" i="35"/>
  <c r="BB99" i="35"/>
  <c r="BC95" i="35"/>
  <c r="BB95" i="35"/>
  <c r="BC94" i="35"/>
  <c r="BB94" i="35"/>
  <c r="BC90" i="35"/>
  <c r="BB90" i="35"/>
  <c r="BC93" i="35"/>
  <c r="BB93" i="35"/>
  <c r="BC89" i="35"/>
  <c r="BB89" i="35"/>
  <c r="BC88" i="35"/>
  <c r="BB88" i="35"/>
  <c r="BC87" i="35"/>
  <c r="BB87" i="35"/>
  <c r="BC92" i="35"/>
  <c r="BB92" i="35"/>
  <c r="BC91" i="35"/>
  <c r="BB91" i="35"/>
  <c r="BC86" i="35"/>
  <c r="BB86" i="35"/>
  <c r="BC85" i="35"/>
  <c r="BB85" i="35"/>
  <c r="BC84" i="35"/>
  <c r="BB84" i="35"/>
  <c r="BC83" i="35"/>
  <c r="BB83" i="35"/>
  <c r="BC80" i="35"/>
  <c r="BB80" i="35"/>
  <c r="BC79" i="35"/>
  <c r="BB79" i="35"/>
  <c r="BC78" i="35"/>
  <c r="BB78" i="35"/>
  <c r="BC77" i="35"/>
  <c r="BB77" i="35"/>
  <c r="BC74" i="35"/>
  <c r="BB74" i="35"/>
  <c r="BC73" i="35"/>
  <c r="BB73" i="35"/>
  <c r="BC72" i="35"/>
  <c r="BB72" i="35"/>
  <c r="BC71" i="35"/>
  <c r="BB71" i="35"/>
  <c r="BC70" i="35"/>
  <c r="BB70" i="35"/>
  <c r="BC69" i="35"/>
  <c r="BB69" i="35"/>
  <c r="BC66" i="35"/>
  <c r="BB66" i="35"/>
  <c r="BC65" i="35"/>
  <c r="BB65" i="35"/>
  <c r="BC64" i="35"/>
  <c r="BB64" i="35"/>
  <c r="BC63" i="35"/>
  <c r="BB63" i="35"/>
  <c r="BC62" i="35"/>
  <c r="BB62" i="35"/>
  <c r="BC61" i="35"/>
  <c r="BB61" i="35"/>
  <c r="BC59" i="35"/>
  <c r="BB59" i="35"/>
  <c r="BC58" i="35"/>
  <c r="BB58" i="35"/>
  <c r="BC52" i="35"/>
  <c r="BB52" i="35"/>
  <c r="BC51" i="35"/>
  <c r="BB51" i="35"/>
  <c r="BC50" i="35"/>
  <c r="BB50" i="35"/>
  <c r="BC49" i="35"/>
  <c r="BB49" i="35"/>
  <c r="BC48" i="35"/>
  <c r="BB48" i="35"/>
  <c r="BC47" i="35"/>
  <c r="BB47" i="35"/>
  <c r="BC43" i="35"/>
  <c r="BB43" i="35"/>
  <c r="BC42" i="35"/>
  <c r="BB42" i="35"/>
  <c r="BC41" i="35"/>
  <c r="BB41" i="35"/>
  <c r="BC40" i="35"/>
  <c r="BB40" i="35"/>
  <c r="BC39" i="35"/>
  <c r="BB39" i="35"/>
  <c r="BA38" i="35" a="1"/>
  <c r="BA38" i="35" s="1"/>
  <c r="BA37" i="35" a="1"/>
  <c r="BA37" i="35" s="1"/>
  <c r="BC36" i="35"/>
  <c r="BB36" i="35"/>
  <c r="BC35" i="35"/>
  <c r="BB35" i="35"/>
  <c r="BC34" i="35"/>
  <c r="BB34" i="35"/>
  <c r="BC33" i="35"/>
  <c r="BB33" i="35"/>
  <c r="BC32" i="35"/>
  <c r="BB32" i="35"/>
  <c r="BC31" i="35"/>
  <c r="BB31" i="35"/>
  <c r="BC30" i="35"/>
  <c r="BB30" i="35"/>
  <c r="BC29" i="35"/>
  <c r="BB29" i="35"/>
  <c r="BC28" i="35"/>
  <c r="BB28" i="35"/>
  <c r="BC27" i="35"/>
  <c r="BB27" i="35"/>
  <c r="BC26" i="35"/>
  <c r="BB26" i="35"/>
  <c r="BC23" i="35"/>
  <c r="BB23" i="35"/>
  <c r="BD20" i="35"/>
  <c r="BC20" i="35"/>
  <c r="BB20" i="35"/>
  <c r="BD19" i="35"/>
  <c r="BC19" i="35"/>
  <c r="BB19" i="35"/>
  <c r="BD18" i="35"/>
  <c r="BC18" i="35"/>
  <c r="BB18" i="35"/>
  <c r="BD17" i="35"/>
  <c r="BC17" i="35"/>
  <c r="BB17" i="35"/>
  <c r="BD16" i="35"/>
  <c r="BC16" i="35"/>
  <c r="BB16" i="35"/>
  <c r="BD13" i="35"/>
  <c r="BC13" i="35"/>
  <c r="BB13" i="35"/>
  <c r="BD12" i="35"/>
  <c r="BC12" i="35"/>
  <c r="BB12" i="35"/>
  <c r="BD11" i="35"/>
  <c r="BC11" i="35"/>
  <c r="BB11" i="35"/>
  <c r="BD10" i="35"/>
  <c r="BC10" i="35"/>
  <c r="BB10" i="35"/>
  <c r="BD9" i="35"/>
  <c r="BC9" i="35"/>
  <c r="BB9" i="35"/>
  <c r="BC595" i="36"/>
  <c r="BB595" i="36"/>
  <c r="BC593" i="36"/>
  <c r="BB593" i="36"/>
  <c r="BC588" i="36"/>
  <c r="BB588" i="36"/>
  <c r="BC587" i="36"/>
  <c r="BB587" i="36"/>
  <c r="BC586" i="36"/>
  <c r="BB586" i="36"/>
  <c r="BC585" i="36"/>
  <c r="BB585" i="36"/>
  <c r="BC584" i="36"/>
  <c r="BB584" i="36"/>
  <c r="BC583" i="36"/>
  <c r="BB583" i="36"/>
  <c r="BC580" i="36"/>
  <c r="BB580" i="36"/>
  <c r="BC579" i="36"/>
  <c r="BB579" i="36"/>
  <c r="BC578" i="36"/>
  <c r="BB578" i="36"/>
  <c r="BC577" i="36"/>
  <c r="BB577" i="36"/>
  <c r="BC576" i="36"/>
  <c r="BB576" i="36"/>
  <c r="BB556" i="36"/>
  <c r="BD542" i="36"/>
  <c r="BC542" i="36"/>
  <c r="BB542" i="36"/>
  <c r="BD541" i="36"/>
  <c r="BC541" i="36"/>
  <c r="BB541" i="36"/>
  <c r="BD540" i="36"/>
  <c r="BC540" i="36"/>
  <c r="BB540" i="36"/>
  <c r="BD539" i="36"/>
  <c r="BC539" i="36"/>
  <c r="BB539" i="36"/>
  <c r="BD538" i="36"/>
  <c r="BC538" i="36"/>
  <c r="BB538" i="36"/>
  <c r="BD537" i="36"/>
  <c r="BC537" i="36"/>
  <c r="BB537" i="36"/>
  <c r="BD548" i="36"/>
  <c r="BC548" i="36"/>
  <c r="BB548" i="36"/>
  <c r="BC536" i="36"/>
  <c r="BB536" i="36"/>
  <c r="BD547" i="36"/>
  <c r="BC547" i="36"/>
  <c r="BB547" i="36"/>
  <c r="BD546" i="36"/>
  <c r="BC546" i="36"/>
  <c r="BB546" i="36"/>
  <c r="BD545" i="36"/>
  <c r="BC545" i="36"/>
  <c r="BB545" i="36"/>
  <c r="BB512" i="36"/>
  <c r="BB511" i="36"/>
  <c r="BB510" i="36"/>
  <c r="BB515" i="36"/>
  <c r="BB502" i="36"/>
  <c r="BC507" i="36"/>
  <c r="BB507" i="36"/>
  <c r="BC506" i="36"/>
  <c r="BB506" i="36"/>
  <c r="BC498" i="36"/>
  <c r="BB498" i="36"/>
  <c r="BD495" i="36"/>
  <c r="BC495" i="36"/>
  <c r="BB495" i="36"/>
  <c r="BD494" i="36"/>
  <c r="BC494" i="36"/>
  <c r="BB494" i="36"/>
  <c r="BD493" i="36"/>
  <c r="BC493" i="36"/>
  <c r="BB493" i="36"/>
  <c r="BD492" i="36"/>
  <c r="BC492" i="36"/>
  <c r="BB492" i="36"/>
  <c r="BD491" i="36"/>
  <c r="BC491" i="36"/>
  <c r="BB491" i="36"/>
  <c r="BD488" i="36"/>
  <c r="BC488" i="36"/>
  <c r="BB488" i="36"/>
  <c r="BD487" i="36"/>
  <c r="BC487" i="36"/>
  <c r="BB487" i="36"/>
  <c r="BD486" i="36"/>
  <c r="BC486" i="36"/>
  <c r="BB486" i="36"/>
  <c r="BD484" i="36"/>
  <c r="BC484" i="36"/>
  <c r="BB484" i="36"/>
  <c r="BD483" i="36"/>
  <c r="BC483" i="36"/>
  <c r="BB483" i="36"/>
  <c r="BD482" i="36"/>
  <c r="BC482" i="36"/>
  <c r="BB482" i="36"/>
  <c r="BD481" i="36"/>
  <c r="BC481" i="36"/>
  <c r="BB481" i="36"/>
  <c r="BD480" i="36"/>
  <c r="BC480" i="36"/>
  <c r="BB480" i="36"/>
  <c r="BD478" i="36"/>
  <c r="BC478" i="36"/>
  <c r="BB478" i="36"/>
  <c r="BD475" i="36"/>
  <c r="BC475" i="36"/>
  <c r="BB475" i="36"/>
  <c r="BD474" i="36"/>
  <c r="BC474" i="36"/>
  <c r="BB474" i="36"/>
  <c r="BD473" i="36"/>
  <c r="BC473" i="36"/>
  <c r="BB473" i="36"/>
  <c r="BD472" i="36"/>
  <c r="BC472" i="36"/>
  <c r="BB472" i="36"/>
  <c r="BC573" i="36"/>
  <c r="BC572" i="36"/>
  <c r="BC571" i="36"/>
  <c r="BC570" i="36"/>
  <c r="BC569" i="36"/>
  <c r="BC568" i="36"/>
  <c r="BC565" i="36"/>
  <c r="BC564" i="36"/>
  <c r="BC563" i="36"/>
  <c r="BC562" i="36"/>
  <c r="BC559" i="36"/>
  <c r="BC558" i="36"/>
  <c r="BC557" i="36"/>
  <c r="BC468" i="36"/>
  <c r="BB468" i="36"/>
  <c r="BC465" i="36"/>
  <c r="BB465" i="36"/>
  <c r="BD462" i="36"/>
  <c r="BC462" i="36"/>
  <c r="BB462" i="36"/>
  <c r="BD461" i="36"/>
  <c r="BC461" i="36"/>
  <c r="BB461" i="36"/>
  <c r="BD460" i="36"/>
  <c r="BC460" i="36"/>
  <c r="BB460" i="36"/>
  <c r="BD459" i="36"/>
  <c r="BC459" i="36"/>
  <c r="BB459" i="36"/>
  <c r="BD458" i="36"/>
  <c r="BC458" i="36"/>
  <c r="BB458" i="36"/>
  <c r="BD202" i="36"/>
  <c r="BB202" i="36"/>
  <c r="BD201" i="36"/>
  <c r="BB201" i="36"/>
  <c r="BD200" i="36"/>
  <c r="BB200" i="36"/>
  <c r="BD199" i="36"/>
  <c r="BB199" i="36"/>
  <c r="BD198" i="36"/>
  <c r="BB198" i="36"/>
  <c r="BD197" i="36"/>
  <c r="BB197" i="36"/>
  <c r="BD196" i="36"/>
  <c r="BB196" i="36"/>
  <c r="BD195" i="36"/>
  <c r="BB195" i="36"/>
  <c r="BD194" i="36"/>
  <c r="BB194" i="36"/>
  <c r="BD193" i="36"/>
  <c r="BB193" i="36"/>
  <c r="BD192" i="36"/>
  <c r="BB192" i="36"/>
  <c r="BD191" i="36"/>
  <c r="BB191" i="36"/>
  <c r="BD190" i="36"/>
  <c r="BB190" i="36"/>
  <c r="BD189" i="36"/>
  <c r="BB189" i="36"/>
  <c r="BD188" i="36"/>
  <c r="BB188" i="36"/>
  <c r="BD187" i="36"/>
  <c r="BB187" i="36"/>
  <c r="BD186" i="36"/>
  <c r="BB186" i="36"/>
  <c r="BD185" i="36"/>
  <c r="BB185" i="36"/>
  <c r="BD184" i="36"/>
  <c r="BB184" i="36"/>
  <c r="BD183" i="36"/>
  <c r="BB183" i="36"/>
  <c r="BD182" i="36"/>
  <c r="BB182" i="36"/>
  <c r="BD181" i="36"/>
  <c r="BB181" i="36"/>
  <c r="BD180" i="36"/>
  <c r="BB180" i="36"/>
  <c r="BD179" i="36"/>
  <c r="BB179" i="36"/>
  <c r="BD178" i="36"/>
  <c r="BB178" i="36"/>
  <c r="BD177" i="36"/>
  <c r="BB177" i="36"/>
  <c r="BD176" i="36"/>
  <c r="BB176" i="36"/>
  <c r="BD175" i="36"/>
  <c r="BB175" i="36"/>
  <c r="BD174" i="36"/>
  <c r="BB174" i="36"/>
  <c r="BD173" i="36"/>
  <c r="BB173" i="36"/>
  <c r="BD172" i="36"/>
  <c r="BB172" i="36"/>
  <c r="BD171" i="36"/>
  <c r="BB171" i="36"/>
  <c r="BD170" i="36"/>
  <c r="BB170" i="36"/>
  <c r="BD169" i="36"/>
  <c r="BB169" i="36"/>
  <c r="BD168" i="36"/>
  <c r="BB168" i="36"/>
  <c r="BD167" i="36"/>
  <c r="BB167" i="36"/>
  <c r="BD166" i="36"/>
  <c r="BB166" i="36"/>
  <c r="BD165" i="36"/>
  <c r="BB165" i="36"/>
  <c r="BD164" i="36"/>
  <c r="BB164" i="36"/>
  <c r="BD163" i="36"/>
  <c r="BB163" i="36"/>
  <c r="BD162" i="36"/>
  <c r="BB162" i="36"/>
  <c r="BD161" i="36"/>
  <c r="BB161" i="36"/>
  <c r="BD160" i="36"/>
  <c r="BB160" i="36"/>
  <c r="BD159" i="36"/>
  <c r="BB159" i="36"/>
  <c r="BD158" i="36"/>
  <c r="BB158" i="36"/>
  <c r="BD157" i="36"/>
  <c r="BB157" i="36"/>
  <c r="BD156" i="36"/>
  <c r="BB156" i="36"/>
  <c r="BD155" i="36"/>
  <c r="BB155" i="36"/>
  <c r="BD154" i="36"/>
  <c r="BB154" i="36"/>
  <c r="BD153" i="36"/>
  <c r="BB153" i="36"/>
  <c r="BD148" i="36"/>
  <c r="BC148" i="36"/>
  <c r="BB148" i="36"/>
  <c r="BD147" i="36"/>
  <c r="BC147" i="36"/>
  <c r="BB147" i="36"/>
  <c r="BD146" i="36"/>
  <c r="BC146" i="36"/>
  <c r="BB146" i="36"/>
  <c r="BD145" i="36"/>
  <c r="BC145" i="36"/>
  <c r="BB145" i="36"/>
  <c r="BD144" i="36"/>
  <c r="BC144" i="36"/>
  <c r="BB144" i="36"/>
  <c r="BD143" i="36"/>
  <c r="BC143" i="36"/>
  <c r="BB143" i="36"/>
  <c r="BD142" i="36"/>
  <c r="BC142" i="36"/>
  <c r="BB142" i="36"/>
  <c r="BD141" i="36"/>
  <c r="BC141" i="36"/>
  <c r="BB141" i="36"/>
  <c r="BD140" i="36"/>
  <c r="BC140" i="36"/>
  <c r="BB140" i="36"/>
  <c r="BD139" i="36"/>
  <c r="BC139" i="36"/>
  <c r="BB139" i="36"/>
  <c r="BD138" i="36"/>
  <c r="BC138" i="36"/>
  <c r="BB138" i="36"/>
  <c r="BD137" i="36"/>
  <c r="BC137" i="36"/>
  <c r="BB137" i="36"/>
  <c r="BD136" i="36"/>
  <c r="BC136" i="36"/>
  <c r="BB136" i="36"/>
  <c r="BD135" i="36"/>
  <c r="BC135" i="36"/>
  <c r="BB135" i="36"/>
  <c r="BD134" i="36"/>
  <c r="BC134" i="36"/>
  <c r="BB134" i="36"/>
  <c r="BD133" i="36"/>
  <c r="BC133" i="36"/>
  <c r="BB133" i="36"/>
  <c r="BD132" i="36"/>
  <c r="BC132" i="36"/>
  <c r="BB132" i="36"/>
  <c r="BD131" i="36"/>
  <c r="BC131" i="36"/>
  <c r="BB131" i="36"/>
  <c r="BD130" i="36"/>
  <c r="BC130" i="36"/>
  <c r="BB130" i="36"/>
  <c r="BD129" i="36"/>
  <c r="BC129" i="36"/>
  <c r="BB129" i="36"/>
  <c r="BD128" i="36"/>
  <c r="BC128" i="36"/>
  <c r="BB128" i="36"/>
  <c r="BD127" i="36"/>
  <c r="BC127" i="36"/>
  <c r="BB127" i="36"/>
  <c r="BD126" i="36"/>
  <c r="BC126" i="36"/>
  <c r="BB126" i="36"/>
  <c r="BD125" i="36"/>
  <c r="BC125" i="36"/>
  <c r="BB125" i="36"/>
  <c r="BD124" i="36"/>
  <c r="BC124" i="36"/>
  <c r="BB124" i="36"/>
  <c r="BD123" i="36"/>
  <c r="BC123" i="36"/>
  <c r="BB123" i="36"/>
  <c r="BD122" i="36"/>
  <c r="BC122" i="36"/>
  <c r="BB122" i="36"/>
  <c r="BD121" i="36"/>
  <c r="BC121" i="36"/>
  <c r="BB121" i="36"/>
  <c r="BD120" i="36"/>
  <c r="BC120" i="36"/>
  <c r="BB120" i="36"/>
  <c r="BD119" i="36"/>
  <c r="BC119" i="36"/>
  <c r="BB119" i="36"/>
  <c r="BD118" i="36"/>
  <c r="BC118" i="36"/>
  <c r="BB118" i="36"/>
  <c r="BD117" i="36"/>
  <c r="BC117" i="36"/>
  <c r="BB117" i="36"/>
  <c r="BD116" i="36"/>
  <c r="BC116" i="36"/>
  <c r="BB116" i="36"/>
  <c r="BD115" i="36"/>
  <c r="BC115" i="36"/>
  <c r="BB115" i="36"/>
  <c r="BD114" i="36"/>
  <c r="BC114" i="36"/>
  <c r="BB114" i="36"/>
  <c r="BD113" i="36"/>
  <c r="BC113" i="36"/>
  <c r="BB113" i="36"/>
  <c r="BD112" i="36"/>
  <c r="BC112" i="36"/>
  <c r="BB112" i="36"/>
  <c r="BD111" i="36"/>
  <c r="BC111" i="36"/>
  <c r="BB111" i="36"/>
  <c r="BD110" i="36"/>
  <c r="BC110" i="36"/>
  <c r="BB110" i="36"/>
  <c r="BD109" i="36"/>
  <c r="BC109" i="36"/>
  <c r="BB109" i="36"/>
  <c r="BD108" i="36"/>
  <c r="BC108" i="36"/>
  <c r="BB108" i="36"/>
  <c r="BD107" i="36"/>
  <c r="BC107" i="36"/>
  <c r="BB107" i="36"/>
  <c r="BD106" i="36"/>
  <c r="BC106" i="36"/>
  <c r="BB106" i="36"/>
  <c r="BD105" i="36"/>
  <c r="BC105" i="36"/>
  <c r="BB105" i="36"/>
  <c r="BD104" i="36"/>
  <c r="BC104" i="36"/>
  <c r="BB104" i="36"/>
  <c r="BD103" i="36"/>
  <c r="BC103" i="36"/>
  <c r="BB103" i="36"/>
  <c r="BD102" i="36"/>
  <c r="BC102" i="36"/>
  <c r="BB102" i="36"/>
  <c r="BD101" i="36"/>
  <c r="BC101" i="36"/>
  <c r="BB101" i="36"/>
  <c r="BD100" i="36"/>
  <c r="BC100" i="36"/>
  <c r="BB100" i="36"/>
  <c r="BD99" i="36"/>
  <c r="BC99" i="36"/>
  <c r="BB99" i="36"/>
  <c r="BC95" i="36"/>
  <c r="BB95" i="36"/>
  <c r="BC94" i="36"/>
  <c r="BB94" i="36"/>
  <c r="BC90" i="36"/>
  <c r="BB90" i="36"/>
  <c r="BC93" i="36"/>
  <c r="BB93" i="36"/>
  <c r="BC89" i="36"/>
  <c r="BB89" i="36"/>
  <c r="BC88" i="36"/>
  <c r="BB88" i="36"/>
  <c r="BC87" i="36"/>
  <c r="BB87" i="36"/>
  <c r="BC92" i="36"/>
  <c r="BB92" i="36"/>
  <c r="BC91" i="36"/>
  <c r="BB91" i="36"/>
  <c r="BC86" i="36"/>
  <c r="BB86" i="36"/>
  <c r="BC85" i="36"/>
  <c r="BB85" i="36"/>
  <c r="BC84" i="36"/>
  <c r="BB84" i="36"/>
  <c r="BC83" i="36"/>
  <c r="BB83" i="36"/>
  <c r="BC80" i="36"/>
  <c r="BB80" i="36"/>
  <c r="BC79" i="36"/>
  <c r="BB79" i="36"/>
  <c r="BC78" i="36"/>
  <c r="BB78" i="36"/>
  <c r="BC77" i="36"/>
  <c r="BB77" i="36"/>
  <c r="BC74" i="36"/>
  <c r="BB74" i="36"/>
  <c r="BC73" i="36"/>
  <c r="BB73" i="36"/>
  <c r="BC72" i="36"/>
  <c r="BB72" i="36"/>
  <c r="BC71" i="36"/>
  <c r="BB71" i="36"/>
  <c r="BC70" i="36"/>
  <c r="BB70" i="36"/>
  <c r="BC69" i="36"/>
  <c r="BB69" i="36"/>
  <c r="BC66" i="36"/>
  <c r="BB66" i="36"/>
  <c r="BC65" i="36"/>
  <c r="BB65" i="36"/>
  <c r="BC64" i="36"/>
  <c r="BB64" i="36"/>
  <c r="BC63" i="36"/>
  <c r="BB63" i="36"/>
  <c r="BC62" i="36"/>
  <c r="BB62" i="36"/>
  <c r="BC61" i="36"/>
  <c r="BB61" i="36"/>
  <c r="BC59" i="36"/>
  <c r="BB59" i="36"/>
  <c r="BC58" i="36"/>
  <c r="BB58" i="36"/>
  <c r="BC52" i="36"/>
  <c r="BB52" i="36"/>
  <c r="BC51" i="36"/>
  <c r="BB51" i="36"/>
  <c r="BC50" i="36"/>
  <c r="BB50" i="36"/>
  <c r="BC49" i="36"/>
  <c r="BB49" i="36"/>
  <c r="BC48" i="36"/>
  <c r="BB48" i="36"/>
  <c r="BC47" i="36"/>
  <c r="BB47" i="36"/>
  <c r="BC43" i="36"/>
  <c r="BB43" i="36"/>
  <c r="BC42" i="36"/>
  <c r="BB42" i="36"/>
  <c r="BC41" i="36"/>
  <c r="BB41" i="36"/>
  <c r="BC40" i="36"/>
  <c r="BB40" i="36"/>
  <c r="BC39" i="36"/>
  <c r="BB39" i="36"/>
  <c r="BA38" i="36" a="1"/>
  <c r="BA38" i="36" s="1"/>
  <c r="BA37" i="36" a="1"/>
  <c r="BA37" i="36" s="1"/>
  <c r="BC36" i="36"/>
  <c r="BB36" i="36"/>
  <c r="BC35" i="36"/>
  <c r="BB35" i="36"/>
  <c r="BC34" i="36"/>
  <c r="BB34" i="36"/>
  <c r="BC33" i="36"/>
  <c r="BB33" i="36"/>
  <c r="BC32" i="36"/>
  <c r="BB32" i="36"/>
  <c r="BC31" i="36"/>
  <c r="BB31" i="36"/>
  <c r="BC30" i="36"/>
  <c r="BB30" i="36"/>
  <c r="BC29" i="36"/>
  <c r="BB29" i="36"/>
  <c r="BC28" i="36"/>
  <c r="BB28" i="36"/>
  <c r="BC27" i="36"/>
  <c r="BB27" i="36"/>
  <c r="BC26" i="36"/>
  <c r="BB26" i="36"/>
  <c r="BC23" i="36"/>
  <c r="BB23" i="36"/>
  <c r="BD20" i="36"/>
  <c r="BC20" i="36"/>
  <c r="BB20" i="36"/>
  <c r="BD19" i="36"/>
  <c r="BC19" i="36"/>
  <c r="BB19" i="36"/>
  <c r="BD18" i="36"/>
  <c r="BC18" i="36"/>
  <c r="BB18" i="36"/>
  <c r="BD17" i="36"/>
  <c r="BC17" i="36"/>
  <c r="BB17" i="36"/>
  <c r="BD16" i="36"/>
  <c r="BC16" i="36"/>
  <c r="BB16" i="36"/>
  <c r="BD13" i="36"/>
  <c r="BC13" i="36"/>
  <c r="BB13" i="36"/>
  <c r="BD12" i="36"/>
  <c r="BC12" i="36"/>
  <c r="BB12" i="36"/>
  <c r="BD11" i="36"/>
  <c r="BC11" i="36"/>
  <c r="BB11" i="36"/>
  <c r="BD10" i="36"/>
  <c r="BC10" i="36"/>
  <c r="BB10" i="36"/>
  <c r="BD9" i="36"/>
  <c r="BC9" i="36"/>
  <c r="BB9" i="36"/>
  <c r="BC565" i="14"/>
  <c r="BC564" i="14"/>
  <c r="BC563" i="14"/>
  <c r="BC562" i="14"/>
  <c r="BD270" i="14"/>
  <c r="BB270" i="14"/>
  <c r="BD269" i="14"/>
  <c r="BB269" i="14"/>
  <c r="BD268" i="14"/>
  <c r="BB268" i="14"/>
  <c r="BD267" i="14"/>
  <c r="BB267" i="14"/>
  <c r="BD266" i="14"/>
  <c r="BB266" i="14"/>
  <c r="BD265" i="14"/>
  <c r="BB265" i="14"/>
  <c r="BD264" i="14"/>
  <c r="BB264" i="14"/>
  <c r="BD263" i="14"/>
  <c r="BB263" i="14"/>
  <c r="BD262" i="14"/>
  <c r="BB262" i="14"/>
  <c r="BD261" i="14"/>
  <c r="BB261" i="14"/>
  <c r="BD260" i="14"/>
  <c r="BB260" i="14"/>
  <c r="BD259" i="14"/>
  <c r="BB259" i="14"/>
  <c r="BD258" i="14"/>
  <c r="BB258" i="14"/>
  <c r="BD257" i="14"/>
  <c r="BB257" i="14"/>
  <c r="BD256" i="14"/>
  <c r="BB256" i="14"/>
  <c r="BD255" i="14"/>
  <c r="BB255" i="14"/>
  <c r="BD254" i="14"/>
  <c r="BB254" i="14"/>
  <c r="BD253" i="14"/>
  <c r="BB253" i="14"/>
  <c r="BD252" i="14"/>
  <c r="BB252" i="14"/>
  <c r="BD251" i="14"/>
  <c r="BB251" i="14"/>
  <c r="BD250" i="14"/>
  <c r="BB250" i="14"/>
  <c r="BD249" i="14"/>
  <c r="BB249" i="14"/>
  <c r="BD248" i="14"/>
  <c r="BB248" i="14"/>
  <c r="BD247" i="14"/>
  <c r="BB247" i="14"/>
  <c r="BD246" i="14"/>
  <c r="BB246" i="14"/>
  <c r="BD245" i="14"/>
  <c r="BB245" i="14"/>
  <c r="BD244" i="14"/>
  <c r="BB244" i="14"/>
  <c r="BD243" i="14"/>
  <c r="BB243" i="14"/>
  <c r="BD242" i="14"/>
  <c r="BB242" i="14"/>
  <c r="BD241" i="14"/>
  <c r="BB241" i="14"/>
  <c r="BD240" i="14"/>
  <c r="BB240" i="14"/>
  <c r="BD239" i="14"/>
  <c r="BB239" i="14"/>
  <c r="BD238" i="14"/>
  <c r="BB238" i="14"/>
  <c r="BD237" i="14"/>
  <c r="BB237" i="14"/>
  <c r="BD236" i="14"/>
  <c r="BB236" i="14"/>
  <c r="BD235" i="14"/>
  <c r="BB235" i="14"/>
  <c r="BD234" i="14"/>
  <c r="BB234" i="14"/>
  <c r="BD233" i="14"/>
  <c r="BB233" i="14"/>
  <c r="BD232" i="14"/>
  <c r="BB232" i="14"/>
  <c r="BD231" i="14"/>
  <c r="BB231" i="14"/>
  <c r="BD230" i="14"/>
  <c r="BB230" i="14"/>
  <c r="BD229" i="14"/>
  <c r="BB229" i="14"/>
  <c r="BD228" i="14"/>
  <c r="BB228" i="14"/>
  <c r="BD227" i="14"/>
  <c r="BB227" i="14"/>
  <c r="BD226" i="14"/>
  <c r="BB226" i="14"/>
  <c r="BD225" i="14"/>
  <c r="BB225" i="14"/>
  <c r="BD224" i="14"/>
  <c r="BB224" i="14"/>
  <c r="BD223" i="14"/>
  <c r="BB223" i="14"/>
  <c r="BD222" i="14"/>
  <c r="BB222" i="14"/>
  <c r="BD221" i="14"/>
  <c r="BB221" i="14"/>
  <c r="BD220" i="14"/>
  <c r="BB220" i="14"/>
  <c r="BD219" i="14"/>
  <c r="BB219" i="14"/>
  <c r="BD218" i="14"/>
  <c r="BB218" i="14"/>
  <c r="BD217" i="14"/>
  <c r="BB217" i="14"/>
  <c r="BD216" i="14"/>
  <c r="BB216" i="14"/>
  <c r="BD215" i="14"/>
  <c r="BB215" i="14"/>
  <c r="BD202" i="14"/>
  <c r="BB202" i="14"/>
  <c r="BD201" i="14"/>
  <c r="BB201" i="14"/>
  <c r="BD200" i="14"/>
  <c r="BB200" i="14"/>
  <c r="BD199" i="14"/>
  <c r="BB199" i="14"/>
  <c r="BD198" i="14"/>
  <c r="BB198" i="14"/>
  <c r="BD197" i="14"/>
  <c r="BB197" i="14"/>
  <c r="BD196" i="14"/>
  <c r="BB196" i="14"/>
  <c r="BD195" i="14"/>
  <c r="BB195" i="14"/>
  <c r="BD194" i="14"/>
  <c r="BB194" i="14"/>
  <c r="BD193" i="14"/>
  <c r="BB193" i="14"/>
  <c r="BD192" i="14"/>
  <c r="BB192" i="14"/>
  <c r="BD191" i="14"/>
  <c r="BB191" i="14"/>
  <c r="BD190" i="14"/>
  <c r="BB190" i="14"/>
  <c r="BD189" i="14"/>
  <c r="BB189" i="14"/>
  <c r="BD188" i="14"/>
  <c r="BB188" i="14"/>
  <c r="BD187" i="14"/>
  <c r="BB187" i="14"/>
  <c r="BD186" i="14"/>
  <c r="BB186" i="14"/>
  <c r="BD185" i="14"/>
  <c r="BB185" i="14"/>
  <c r="BD184" i="14"/>
  <c r="BB184" i="14"/>
  <c r="BD183" i="14"/>
  <c r="BB183" i="14"/>
  <c r="BD182" i="14"/>
  <c r="BB182" i="14"/>
  <c r="BD181" i="14"/>
  <c r="BB181" i="14"/>
  <c r="BD180" i="14"/>
  <c r="BB180" i="14"/>
  <c r="BD179" i="14"/>
  <c r="BB179" i="14"/>
  <c r="BD178" i="14"/>
  <c r="BB178" i="14"/>
  <c r="BD177" i="14"/>
  <c r="BB177" i="14"/>
  <c r="BD176" i="14"/>
  <c r="BB176" i="14"/>
  <c r="BD175" i="14"/>
  <c r="BB175" i="14"/>
  <c r="BD174" i="14"/>
  <c r="BB174" i="14"/>
  <c r="BD173" i="14"/>
  <c r="BB173" i="14"/>
  <c r="BD172" i="14"/>
  <c r="BB172" i="14"/>
  <c r="BD171" i="14"/>
  <c r="BB171" i="14"/>
  <c r="BD170" i="14"/>
  <c r="BB170" i="14"/>
  <c r="BD169" i="14"/>
  <c r="BB169" i="14"/>
  <c r="BD168" i="14"/>
  <c r="BB168" i="14"/>
  <c r="BD167" i="14"/>
  <c r="BB167" i="14"/>
  <c r="BD166" i="14"/>
  <c r="BB166" i="14"/>
  <c r="BD165" i="14"/>
  <c r="BB165" i="14"/>
  <c r="BD164" i="14"/>
  <c r="BB164" i="14"/>
  <c r="BD163" i="14"/>
  <c r="BB163" i="14"/>
  <c r="BD162" i="14"/>
  <c r="BB162" i="14"/>
  <c r="BD161" i="14"/>
  <c r="BB161" i="14"/>
  <c r="BD160" i="14"/>
  <c r="BB160" i="14"/>
  <c r="BD159" i="14"/>
  <c r="BB159" i="14"/>
  <c r="BD158" i="14"/>
  <c r="BB158" i="14"/>
  <c r="BD157" i="14"/>
  <c r="BB157" i="14"/>
  <c r="BD156" i="14"/>
  <c r="BB156" i="14"/>
  <c r="BD155" i="14"/>
  <c r="BB155" i="14"/>
  <c r="BD154" i="14"/>
  <c r="BB154" i="14"/>
  <c r="BD153" i="14"/>
  <c r="BB153" i="14"/>
  <c r="G541" i="35"/>
  <c r="G95" i="35"/>
  <c r="G94" i="35"/>
  <c r="G90" i="35"/>
  <c r="G93" i="35"/>
  <c r="G89" i="35"/>
  <c r="G88" i="35"/>
  <c r="G87" i="35"/>
  <c r="G92" i="35"/>
  <c r="G91" i="35"/>
  <c r="G85" i="35"/>
  <c r="G84" i="35"/>
  <c r="G83" i="35"/>
  <c r="G74" i="35"/>
  <c r="G73" i="35"/>
  <c r="G72" i="35"/>
  <c r="G71" i="35"/>
  <c r="G70" i="35"/>
  <c r="G69" i="35"/>
  <c r="G66" i="35"/>
  <c r="G65" i="35"/>
  <c r="G64" i="35"/>
  <c r="G63" i="35"/>
  <c r="G61" i="35"/>
  <c r="G60" i="35"/>
  <c r="G59" i="35"/>
  <c r="G58" i="35"/>
  <c r="G541" i="36"/>
  <c r="G95" i="36"/>
  <c r="G94" i="36"/>
  <c r="G90" i="36"/>
  <c r="G93" i="36"/>
  <c r="G89" i="36"/>
  <c r="G88" i="36"/>
  <c r="G87" i="36"/>
  <c r="G92" i="36"/>
  <c r="G91" i="36"/>
  <c r="G85" i="36"/>
  <c r="G84" i="36"/>
  <c r="G83" i="36"/>
  <c r="G74" i="36"/>
  <c r="G73" i="36"/>
  <c r="G72" i="36"/>
  <c r="G71" i="36"/>
  <c r="G70" i="36"/>
  <c r="G69" i="36"/>
  <c r="G66" i="36"/>
  <c r="G65" i="36"/>
  <c r="G64" i="36"/>
  <c r="G63" i="36"/>
  <c r="G61" i="36"/>
  <c r="G60" i="36"/>
  <c r="G59" i="36"/>
  <c r="G58" i="36"/>
  <c r="G104" i="26"/>
  <c r="G103" i="26"/>
  <c r="G102" i="26"/>
  <c r="G83" i="26"/>
  <c r="G82" i="26"/>
  <c r="G81" i="26"/>
  <c r="G60" i="26"/>
  <c r="G58" i="26"/>
  <c r="G57" i="26"/>
  <c r="G39" i="26"/>
  <c r="G38" i="26"/>
  <c r="G37" i="26"/>
  <c r="G31" i="26"/>
  <c r="G30" i="26"/>
  <c r="G29" i="26"/>
  <c r="G28" i="26"/>
  <c r="G26" i="26"/>
  <c r="G25" i="26"/>
  <c r="G24" i="26"/>
  <c r="G23" i="26"/>
  <c r="G17" i="26"/>
  <c r="G67" i="11"/>
  <c r="AU243" i="15" l="1"/>
  <c r="AU23" i="12" s="1"/>
  <c r="AU241" i="15"/>
  <c r="AV237" i="15" s="1"/>
  <c r="BC124" i="26"/>
  <c r="BC123" i="26"/>
  <c r="BC122" i="26"/>
  <c r="BC121" i="26"/>
  <c r="BC120" i="26"/>
  <c r="G124" i="26"/>
  <c r="G123" i="26"/>
  <c r="G122" i="26"/>
  <c r="G121" i="26"/>
  <c r="G120" i="26"/>
  <c r="V44" i="40" l="1" a="1"/>
  <c r="V44" i="40" s="1"/>
  <c r="U44" i="40" a="1"/>
  <c r="U44" i="40" s="1"/>
  <c r="T44" i="40" a="1"/>
  <c r="T44" i="40" s="1"/>
  <c r="S44" i="40" a="1"/>
  <c r="S44" i="40" s="1"/>
  <c r="R44" i="40" a="1"/>
  <c r="R44" i="40" s="1"/>
  <c r="Q44" i="40" a="1"/>
  <c r="Q44" i="40" s="1"/>
  <c r="P44" i="40" a="1"/>
  <c r="P44" i="40" s="1"/>
  <c r="O44" i="40" a="1"/>
  <c r="O44" i="40" s="1"/>
  <c r="N44" i="40" a="1"/>
  <c r="N44" i="40" s="1"/>
  <c r="M44" i="40" a="1"/>
  <c r="M44" i="40" s="1"/>
  <c r="L44" i="40" a="1"/>
  <c r="L44" i="40" s="1"/>
  <c r="K44" i="40" a="1"/>
  <c r="K44" i="40" s="1"/>
  <c r="AS51" i="40" l="1" a="1"/>
  <c r="AS51" i="40" s="1"/>
  <c r="AR51" i="40" a="1"/>
  <c r="AR51" i="40" s="1"/>
  <c r="AQ51" i="40" a="1"/>
  <c r="AQ51" i="40" s="1"/>
  <c r="AP51" i="40" a="1"/>
  <c r="AP51" i="40" s="1"/>
  <c r="AO51" i="40" a="1"/>
  <c r="AO51" i="40" s="1"/>
  <c r="AN51" i="40" a="1"/>
  <c r="AN51" i="40" s="1"/>
  <c r="AM51" i="40" a="1"/>
  <c r="AM51" i="40" s="1"/>
  <c r="AL51" i="40" a="1"/>
  <c r="AL51" i="40" s="1"/>
  <c r="AK51" i="40" a="1"/>
  <c r="AK51" i="40" s="1"/>
  <c r="AJ51" i="40" a="1"/>
  <c r="AJ51" i="40" s="1"/>
  <c r="AI51" i="40" a="1"/>
  <c r="AI51" i="40" s="1"/>
  <c r="AH51" i="40" a="1"/>
  <c r="AH51" i="40" s="1"/>
  <c r="AG51" i="40" a="1"/>
  <c r="AG51" i="40" s="1"/>
  <c r="AF51" i="40" a="1"/>
  <c r="AF51" i="40" s="1"/>
  <c r="AE51" i="40" a="1"/>
  <c r="AE51" i="40" s="1"/>
  <c r="AD51" i="40" a="1"/>
  <c r="AD51" i="40" s="1"/>
  <c r="AC51" i="40" a="1"/>
  <c r="AC51" i="40" s="1"/>
  <c r="AB51" i="40" a="1"/>
  <c r="AB51" i="40" s="1"/>
  <c r="AA51" i="40" a="1"/>
  <c r="AA51" i="40" s="1"/>
  <c r="Z51" i="40" a="1"/>
  <c r="Z51" i="40" s="1"/>
  <c r="Y51" i="40" a="1"/>
  <c r="Y51" i="40" s="1"/>
  <c r="X51" i="40" a="1"/>
  <c r="X51" i="40" s="1"/>
  <c r="W51" i="40" a="1"/>
  <c r="W51" i="40" s="1"/>
  <c r="V51" i="40" a="1"/>
  <c r="V51" i="40" s="1"/>
  <c r="U51" i="40" a="1"/>
  <c r="U51" i="40" s="1"/>
  <c r="T51" i="40" a="1"/>
  <c r="T51" i="40" s="1"/>
  <c r="S51" i="40" a="1"/>
  <c r="S51" i="40" s="1"/>
  <c r="R51" i="40" a="1"/>
  <c r="R51" i="40" s="1"/>
  <c r="Q51" i="40" a="1"/>
  <c r="Q51" i="40" s="1"/>
  <c r="P51" i="40" a="1"/>
  <c r="P51" i="40" s="1"/>
  <c r="O51" i="40" a="1"/>
  <c r="O51" i="40" s="1"/>
  <c r="N51" i="40" a="1"/>
  <c r="N51" i="40" s="1"/>
  <c r="M51" i="40" a="1"/>
  <c r="M51" i="40" s="1"/>
  <c r="L51" i="40" a="1"/>
  <c r="L51" i="40" s="1"/>
  <c r="K51" i="40" a="1"/>
  <c r="K51" i="40" s="1"/>
  <c r="AT50" i="40" a="1"/>
  <c r="AT50" i="40" s="1"/>
  <c r="AS50" i="40" a="1"/>
  <c r="AS50" i="40" s="1"/>
  <c r="AR50" i="40" a="1"/>
  <c r="AR50" i="40" s="1"/>
  <c r="AQ50" i="40" a="1"/>
  <c r="AQ50" i="40" s="1"/>
  <c r="AP50" i="40" a="1"/>
  <c r="AP50" i="40" s="1"/>
  <c r="AO50" i="40" a="1"/>
  <c r="AO50" i="40" s="1"/>
  <c r="AN50" i="40" a="1"/>
  <c r="AN50" i="40" s="1"/>
  <c r="AM50" i="40" a="1"/>
  <c r="AM50" i="40" s="1"/>
  <c r="AL50" i="40" a="1"/>
  <c r="AL50" i="40" s="1"/>
  <c r="AK50" i="40" a="1"/>
  <c r="AK50" i="40" s="1"/>
  <c r="AJ50" i="40" a="1"/>
  <c r="AJ50" i="40" s="1"/>
  <c r="AI50" i="40" a="1"/>
  <c r="AI50" i="40" s="1"/>
  <c r="AH50" i="40" a="1"/>
  <c r="AH50" i="40" s="1"/>
  <c r="AG50" i="40" a="1"/>
  <c r="AG50" i="40" s="1"/>
  <c r="AF50" i="40" a="1"/>
  <c r="AF50" i="40" s="1"/>
  <c r="AE50" i="40" a="1"/>
  <c r="AE50" i="40" s="1"/>
  <c r="AD50" i="40" a="1"/>
  <c r="AD50" i="40" s="1"/>
  <c r="AC50" i="40" a="1"/>
  <c r="AC50" i="40" s="1"/>
  <c r="AB50" i="40" a="1"/>
  <c r="AB50" i="40" s="1"/>
  <c r="AA50" i="40" a="1"/>
  <c r="AA50" i="40" s="1"/>
  <c r="Z50" i="40" a="1"/>
  <c r="Z50" i="40" s="1"/>
  <c r="Y50" i="40" a="1"/>
  <c r="Y50" i="40" s="1"/>
  <c r="X50" i="40" a="1"/>
  <c r="X50" i="40" s="1"/>
  <c r="W50" i="40" a="1"/>
  <c r="W50" i="40" s="1"/>
  <c r="V50" i="40" a="1"/>
  <c r="V50" i="40" s="1"/>
  <c r="U50" i="40" a="1"/>
  <c r="U50" i="40" s="1"/>
  <c r="T50" i="40" a="1"/>
  <c r="T50" i="40" s="1"/>
  <c r="S50" i="40" a="1"/>
  <c r="S50" i="40" s="1"/>
  <c r="R50" i="40" a="1"/>
  <c r="R50" i="40" s="1"/>
  <c r="Q50" i="40" a="1"/>
  <c r="Q50" i="40" s="1"/>
  <c r="P50" i="40" a="1"/>
  <c r="P50" i="40" s="1"/>
  <c r="O50" i="40" a="1"/>
  <c r="O50" i="40" s="1"/>
  <c r="N50" i="40" a="1"/>
  <c r="N50" i="40" s="1"/>
  <c r="M50" i="40" a="1"/>
  <c r="M50" i="40" s="1"/>
  <c r="L50" i="40" a="1"/>
  <c r="L50" i="40" s="1"/>
  <c r="K50" i="40" a="1"/>
  <c r="K50" i="40" s="1"/>
  <c r="AT49" i="40" a="1"/>
  <c r="AT49" i="40" s="1"/>
  <c r="AS49" i="40" a="1"/>
  <c r="AS49" i="40" s="1"/>
  <c r="AR49" i="40" a="1"/>
  <c r="AR49" i="40" s="1"/>
  <c r="AQ49" i="40" a="1"/>
  <c r="AQ49" i="40" s="1"/>
  <c r="AP49" i="40" a="1"/>
  <c r="AP49" i="40" s="1"/>
  <c r="AO49" i="40" a="1"/>
  <c r="AO49" i="40" s="1"/>
  <c r="AN49" i="40" a="1"/>
  <c r="AN49" i="40" s="1"/>
  <c r="AM49" i="40" a="1"/>
  <c r="AM49" i="40" s="1"/>
  <c r="AL49" i="40" a="1"/>
  <c r="AL49" i="40" s="1"/>
  <c r="AK49" i="40" a="1"/>
  <c r="AK49" i="40" s="1"/>
  <c r="AJ49" i="40" a="1"/>
  <c r="AJ49" i="40" s="1"/>
  <c r="AI49" i="40" a="1"/>
  <c r="AI49" i="40" s="1"/>
  <c r="AH49" i="40" a="1"/>
  <c r="AH49" i="40" s="1"/>
  <c r="AG49" i="40" a="1"/>
  <c r="AG49" i="40" s="1"/>
  <c r="AF49" i="40" a="1"/>
  <c r="AF49" i="40" s="1"/>
  <c r="AE49" i="40" a="1"/>
  <c r="AE49" i="40" s="1"/>
  <c r="AD49" i="40" a="1"/>
  <c r="AD49" i="40" s="1"/>
  <c r="AC49" i="40" a="1"/>
  <c r="AC49" i="40" s="1"/>
  <c r="AB49" i="40" a="1"/>
  <c r="AB49" i="40" s="1"/>
  <c r="AA49" i="40" a="1"/>
  <c r="AA49" i="40" s="1"/>
  <c r="Z49" i="40" a="1"/>
  <c r="Z49" i="40" s="1"/>
  <c r="Y49" i="40" a="1"/>
  <c r="Y49" i="40" s="1"/>
  <c r="X49" i="40" a="1"/>
  <c r="X49" i="40" s="1"/>
  <c r="W49" i="40" a="1"/>
  <c r="W49" i="40" s="1"/>
  <c r="V49" i="40" a="1"/>
  <c r="V49" i="40" s="1"/>
  <c r="U49" i="40" a="1"/>
  <c r="U49" i="40" s="1"/>
  <c r="T49" i="40" a="1"/>
  <c r="T49" i="40" s="1"/>
  <c r="S49" i="40" a="1"/>
  <c r="S49" i="40" s="1"/>
  <c r="R49" i="40" a="1"/>
  <c r="R49" i="40" s="1"/>
  <c r="Q49" i="40" a="1"/>
  <c r="Q49" i="40" s="1"/>
  <c r="P49" i="40" a="1"/>
  <c r="P49" i="40" s="1"/>
  <c r="O49" i="40" a="1"/>
  <c r="O49" i="40" s="1"/>
  <c r="N49" i="40" a="1"/>
  <c r="N49" i="40" s="1"/>
  <c r="M49" i="40" a="1"/>
  <c r="M49" i="40" s="1"/>
  <c r="L49" i="40" a="1"/>
  <c r="L49" i="40" s="1"/>
  <c r="K49" i="40" a="1"/>
  <c r="K49" i="40" s="1"/>
  <c r="AT48" i="40" a="1"/>
  <c r="AT48" i="40" s="1"/>
  <c r="AS48" i="40" a="1"/>
  <c r="AS48" i="40" s="1"/>
  <c r="AR48" i="40" a="1"/>
  <c r="AR48" i="40" s="1"/>
  <c r="AQ48" i="40" a="1"/>
  <c r="AQ48" i="40" s="1"/>
  <c r="AP48" i="40"/>
  <c r="AP48" i="40" a="1"/>
  <c r="AO48" i="40" a="1"/>
  <c r="AO48" i="40" s="1"/>
  <c r="AN48" i="40" a="1"/>
  <c r="AN48" i="40" s="1"/>
  <c r="AM48" i="40" a="1"/>
  <c r="AM48" i="40" s="1"/>
  <c r="AL48" i="40" a="1"/>
  <c r="AL48" i="40" s="1"/>
  <c r="AK48" i="40" a="1"/>
  <c r="AK48" i="40" s="1"/>
  <c r="AJ48" i="40" a="1"/>
  <c r="AJ48" i="40" s="1"/>
  <c r="AI48" i="40" a="1"/>
  <c r="AI48" i="40" s="1"/>
  <c r="AH48" i="40" a="1"/>
  <c r="AH48" i="40" s="1"/>
  <c r="AG48" i="40" a="1"/>
  <c r="AG48" i="40" s="1"/>
  <c r="AF48" i="40" a="1"/>
  <c r="AF48" i="40" s="1"/>
  <c r="AE48" i="40" a="1"/>
  <c r="AE48" i="40" s="1"/>
  <c r="AD48" i="40" a="1"/>
  <c r="AD48" i="40" s="1"/>
  <c r="AC48" i="40" a="1"/>
  <c r="AC48" i="40" s="1"/>
  <c r="AB48" i="40" a="1"/>
  <c r="AB48" i="40" s="1"/>
  <c r="AA48" i="40" a="1"/>
  <c r="AA48" i="40" s="1"/>
  <c r="Z48" i="40" a="1"/>
  <c r="Z48" i="40" s="1"/>
  <c r="Y48" i="40" a="1"/>
  <c r="Y48" i="40" s="1"/>
  <c r="X48" i="40" a="1"/>
  <c r="X48" i="40" s="1"/>
  <c r="W48" i="40" a="1"/>
  <c r="W48" i="40" s="1"/>
  <c r="V48" i="40" a="1"/>
  <c r="V48" i="40" s="1"/>
  <c r="U48" i="40" a="1"/>
  <c r="U48" i="40" s="1"/>
  <c r="T48" i="40" a="1"/>
  <c r="T48" i="40" s="1"/>
  <c r="S48" i="40" a="1"/>
  <c r="S48" i="40" s="1"/>
  <c r="R48" i="40" a="1"/>
  <c r="R48" i="40" s="1"/>
  <c r="Q48" i="40" a="1"/>
  <c r="Q48" i="40" s="1"/>
  <c r="P48" i="40" a="1"/>
  <c r="P48" i="40" s="1"/>
  <c r="O48" i="40" a="1"/>
  <c r="O48" i="40" s="1"/>
  <c r="N48" i="40" a="1"/>
  <c r="N48" i="40" s="1"/>
  <c r="M48" i="40" a="1"/>
  <c r="M48" i="40" s="1"/>
  <c r="L48" i="40" a="1"/>
  <c r="L48" i="40" s="1"/>
  <c r="K48" i="40" a="1"/>
  <c r="K48" i="40" s="1"/>
  <c r="AT47" i="40" a="1"/>
  <c r="AT47" i="40" s="1"/>
  <c r="AS47" i="40" a="1"/>
  <c r="AS47" i="40" s="1"/>
  <c r="AR47" i="40" a="1"/>
  <c r="AR47" i="40" s="1"/>
  <c r="AQ47" i="40" a="1"/>
  <c r="AQ47" i="40" s="1"/>
  <c r="AP47" i="40" a="1"/>
  <c r="AP47" i="40" s="1"/>
  <c r="AO47" i="40" a="1"/>
  <c r="AO47" i="40" s="1"/>
  <c r="AN47" i="40" a="1"/>
  <c r="AN47" i="40" s="1"/>
  <c r="AM47" i="40" a="1"/>
  <c r="AM47" i="40" s="1"/>
  <c r="AL47" i="40" a="1"/>
  <c r="AL47" i="40" s="1"/>
  <c r="AK47" i="40" a="1"/>
  <c r="AK47" i="40" s="1"/>
  <c r="AJ47" i="40" a="1"/>
  <c r="AJ47" i="40" s="1"/>
  <c r="AI47" i="40" a="1"/>
  <c r="AI47" i="40" s="1"/>
  <c r="AH47" i="40" a="1"/>
  <c r="AH47" i="40" s="1"/>
  <c r="AG47" i="40" a="1"/>
  <c r="AG47" i="40" s="1"/>
  <c r="AF47" i="40" a="1"/>
  <c r="AF47" i="40" s="1"/>
  <c r="AE47" i="40" a="1"/>
  <c r="AE47" i="40" s="1"/>
  <c r="AD47" i="40" a="1"/>
  <c r="AD47" i="40" s="1"/>
  <c r="AC47" i="40" a="1"/>
  <c r="AC47" i="40" s="1"/>
  <c r="AB47" i="40" a="1"/>
  <c r="AB47" i="40" s="1"/>
  <c r="AA47" i="40" a="1"/>
  <c r="AA47" i="40" s="1"/>
  <c r="Z47" i="40" a="1"/>
  <c r="Z47" i="40" s="1"/>
  <c r="Y47" i="40" a="1"/>
  <c r="Y47" i="40" s="1"/>
  <c r="X47" i="40" a="1"/>
  <c r="X47" i="40" s="1"/>
  <c r="W47" i="40" a="1"/>
  <c r="W47" i="40" s="1"/>
  <c r="V47" i="40" a="1"/>
  <c r="V47" i="40" s="1"/>
  <c r="U47" i="40" a="1"/>
  <c r="U47" i="40" s="1"/>
  <c r="T47" i="40" a="1"/>
  <c r="T47" i="40" s="1"/>
  <c r="S47" i="40" a="1"/>
  <c r="S47" i="40" s="1"/>
  <c r="R47" i="40" a="1"/>
  <c r="R47" i="40" s="1"/>
  <c r="Q47" i="40" a="1"/>
  <c r="Q47" i="40" s="1"/>
  <c r="P47" i="40" a="1"/>
  <c r="P47" i="40" s="1"/>
  <c r="O47" i="40" a="1"/>
  <c r="O47" i="40" s="1"/>
  <c r="N47" i="40" a="1"/>
  <c r="N47" i="40" s="1"/>
  <c r="M47" i="40" a="1"/>
  <c r="M47" i="40" s="1"/>
  <c r="L47" i="40" a="1"/>
  <c r="L47" i="40" s="1"/>
  <c r="K47" i="40" a="1"/>
  <c r="K47" i="40" s="1"/>
  <c r="AS46" i="40" a="1"/>
  <c r="AS46" i="40" s="1"/>
  <c r="AR46" i="40" a="1"/>
  <c r="AR46" i="40" s="1"/>
  <c r="AQ46" i="40" a="1"/>
  <c r="AQ46" i="40" s="1"/>
  <c r="AP46" i="40" a="1"/>
  <c r="AP46" i="40" s="1"/>
  <c r="AO46" i="40" a="1"/>
  <c r="AO46" i="40" s="1"/>
  <c r="AN46" i="40" a="1"/>
  <c r="AN46" i="40" s="1"/>
  <c r="AM46" i="40" a="1"/>
  <c r="AM46" i="40" s="1"/>
  <c r="AL46" i="40" a="1"/>
  <c r="AL46" i="40" s="1"/>
  <c r="AK46" i="40" a="1"/>
  <c r="AK46" i="40" s="1"/>
  <c r="AJ46" i="40" a="1"/>
  <c r="AJ46" i="40" s="1"/>
  <c r="AI46" i="40" a="1"/>
  <c r="AI46" i="40" s="1"/>
  <c r="AH46" i="40" a="1"/>
  <c r="AH46" i="40" s="1"/>
  <c r="AG46" i="40" a="1"/>
  <c r="AG46" i="40" s="1"/>
  <c r="AF46" i="40" a="1"/>
  <c r="AF46" i="40" s="1"/>
  <c r="AE46" i="40" a="1"/>
  <c r="AE46" i="40" s="1"/>
  <c r="AD46" i="40" a="1"/>
  <c r="AD46" i="40" s="1"/>
  <c r="AC46" i="40" a="1"/>
  <c r="AC46" i="40" s="1"/>
  <c r="AB46" i="40" a="1"/>
  <c r="AB46" i="40" s="1"/>
  <c r="AA46" i="40" a="1"/>
  <c r="AA46" i="40" s="1"/>
  <c r="Z46" i="40" a="1"/>
  <c r="Z46" i="40" s="1"/>
  <c r="Y46" i="40" a="1"/>
  <c r="Y46" i="40" s="1"/>
  <c r="X46" i="40" a="1"/>
  <c r="X46" i="40" s="1"/>
  <c r="W46" i="40" a="1"/>
  <c r="W46" i="40" s="1"/>
  <c r="V46" i="40" a="1"/>
  <c r="V46" i="40" s="1"/>
  <c r="U46" i="40" a="1"/>
  <c r="U46" i="40" s="1"/>
  <c r="T46" i="40" a="1"/>
  <c r="T46" i="40" s="1"/>
  <c r="S46" i="40" a="1"/>
  <c r="S46" i="40" s="1"/>
  <c r="R46" i="40" a="1"/>
  <c r="R46" i="40" s="1"/>
  <c r="Q46" i="40" a="1"/>
  <c r="Q46" i="40" s="1"/>
  <c r="P46" i="40" a="1"/>
  <c r="P46" i="40" s="1"/>
  <c r="O46" i="40" a="1"/>
  <c r="O46" i="40" s="1"/>
  <c r="N46" i="40" a="1"/>
  <c r="N46" i="40" s="1"/>
  <c r="M46" i="40" a="1"/>
  <c r="M46" i="40" s="1"/>
  <c r="L46" i="40" a="1"/>
  <c r="L46" i="40" s="1"/>
  <c r="K46" i="40" a="1"/>
  <c r="K46" i="40" s="1"/>
  <c r="AS45" i="40" a="1"/>
  <c r="AS45" i="40" s="1"/>
  <c r="AR45" i="40" a="1"/>
  <c r="AR45" i="40" s="1"/>
  <c r="AQ45" i="40" a="1"/>
  <c r="AQ45" i="40" s="1"/>
  <c r="AP45" i="40" a="1"/>
  <c r="AP45" i="40" s="1"/>
  <c r="AO45" i="40" a="1"/>
  <c r="AO45" i="40" s="1"/>
  <c r="AN45" i="40" a="1"/>
  <c r="AN45" i="40" s="1"/>
  <c r="AM45" i="40" a="1"/>
  <c r="AM45" i="40" s="1"/>
  <c r="AL45" i="40" a="1"/>
  <c r="AL45" i="40" s="1"/>
  <c r="AK45" i="40" a="1"/>
  <c r="AK45" i="40" s="1"/>
  <c r="AJ45" i="40" a="1"/>
  <c r="AJ45" i="40" s="1"/>
  <c r="AI45" i="40" a="1"/>
  <c r="AI45" i="40" s="1"/>
  <c r="AH45" i="40" a="1"/>
  <c r="AH45" i="40" s="1"/>
  <c r="AG45" i="40" a="1"/>
  <c r="AG45" i="40" s="1"/>
  <c r="AF45" i="40" a="1"/>
  <c r="AF45" i="40" s="1"/>
  <c r="AE45" i="40" a="1"/>
  <c r="AE45" i="40" s="1"/>
  <c r="AD45" i="40" a="1"/>
  <c r="AD45" i="40" s="1"/>
  <c r="AC45" i="40" a="1"/>
  <c r="AC45" i="40" s="1"/>
  <c r="AB45" i="40" a="1"/>
  <c r="AB45" i="40" s="1"/>
  <c r="AA45" i="40" a="1"/>
  <c r="AA45" i="40" s="1"/>
  <c r="Z45" i="40" a="1"/>
  <c r="Z45" i="40" s="1"/>
  <c r="Y45" i="40" a="1"/>
  <c r="Y45" i="40" s="1"/>
  <c r="X45" i="40" a="1"/>
  <c r="X45" i="40" s="1"/>
  <c r="W45" i="40" a="1"/>
  <c r="W45" i="40" s="1"/>
  <c r="V45" i="40" a="1"/>
  <c r="V45" i="40" s="1"/>
  <c r="U45" i="40" a="1"/>
  <c r="U45" i="40" s="1"/>
  <c r="T45" i="40" a="1"/>
  <c r="T45" i="40" s="1"/>
  <c r="S45" i="40" a="1"/>
  <c r="S45" i="40" s="1"/>
  <c r="R45" i="40" a="1"/>
  <c r="R45" i="40" s="1"/>
  <c r="Q45" i="40" a="1"/>
  <c r="Q45" i="40" s="1"/>
  <c r="P45" i="40" a="1"/>
  <c r="P45" i="40" s="1"/>
  <c r="O45" i="40" a="1"/>
  <c r="O45" i="40" s="1"/>
  <c r="N45" i="40" a="1"/>
  <c r="N45" i="40" s="1"/>
  <c r="M45" i="40" a="1"/>
  <c r="M45" i="40" s="1"/>
  <c r="L45" i="40" a="1"/>
  <c r="L45" i="40" s="1"/>
  <c r="K45" i="40" a="1"/>
  <c r="K45" i="40" s="1"/>
  <c r="AC43" i="40" a="1"/>
  <c r="AC43" i="40" s="1"/>
  <c r="AB43" i="40" a="1"/>
  <c r="AB43" i="40" s="1"/>
  <c r="AA43" i="40" a="1"/>
  <c r="AA43" i="40" s="1"/>
  <c r="Z43" i="40" a="1"/>
  <c r="Z43" i="40" s="1"/>
  <c r="Y43" i="40" a="1"/>
  <c r="Y43" i="40" s="1"/>
  <c r="X43" i="40" a="1"/>
  <c r="X43" i="40" s="1"/>
  <c r="W43" i="40" a="1"/>
  <c r="W43" i="40" s="1"/>
  <c r="V43" i="40" a="1"/>
  <c r="V43" i="40" s="1"/>
  <c r="U43" i="40" a="1"/>
  <c r="U43" i="40" s="1"/>
  <c r="T43" i="40" a="1"/>
  <c r="T43" i="40" s="1"/>
  <c r="S43" i="40" a="1"/>
  <c r="S43" i="40" s="1"/>
  <c r="R43" i="40" a="1"/>
  <c r="R43" i="40" s="1"/>
  <c r="Q43" i="40" a="1"/>
  <c r="Q43" i="40" s="1"/>
  <c r="P43" i="40" a="1"/>
  <c r="P43" i="40" s="1"/>
  <c r="O43" i="40" a="1"/>
  <c r="O43" i="40" s="1"/>
  <c r="N43" i="40" a="1"/>
  <c r="N43" i="40" s="1"/>
  <c r="M43" i="40" a="1"/>
  <c r="M43" i="40" s="1"/>
  <c r="L43" i="40" a="1"/>
  <c r="L43" i="40" s="1"/>
  <c r="K43" i="40" a="1"/>
  <c r="K43" i="40" s="1"/>
  <c r="AT42" i="40" a="1"/>
  <c r="AT42" i="40" s="1"/>
  <c r="AS42" i="40" a="1"/>
  <c r="AS42" i="40" s="1"/>
  <c r="AR42" i="40" a="1"/>
  <c r="AR42" i="40" s="1"/>
  <c r="AQ42" i="40" a="1"/>
  <c r="AQ42" i="40" s="1"/>
  <c r="AP42" i="40" a="1"/>
  <c r="AP42" i="40" s="1"/>
  <c r="AO42" i="40" a="1"/>
  <c r="AO42" i="40" s="1"/>
  <c r="AN42" i="40" a="1"/>
  <c r="AN42" i="40" s="1"/>
  <c r="AM42" i="40" a="1"/>
  <c r="AM42" i="40" s="1"/>
  <c r="AL42" i="40" a="1"/>
  <c r="AL42" i="40" s="1"/>
  <c r="AK42" i="40" a="1"/>
  <c r="AK42" i="40" s="1"/>
  <c r="AJ42" i="40" a="1"/>
  <c r="AJ42" i="40" s="1"/>
  <c r="AI42" i="40" a="1"/>
  <c r="AI42" i="40" s="1"/>
  <c r="AH42" i="40" a="1"/>
  <c r="AH42" i="40" s="1"/>
  <c r="AG42" i="40" a="1"/>
  <c r="AG42" i="40" s="1"/>
  <c r="AF42" i="40" a="1"/>
  <c r="AF42" i="40" s="1"/>
  <c r="AE42" i="40" a="1"/>
  <c r="AE42" i="40" s="1"/>
  <c r="AD42" i="40" a="1"/>
  <c r="AD42" i="40" s="1"/>
  <c r="AC42" i="40" a="1"/>
  <c r="AC42" i="40" s="1"/>
  <c r="AB42" i="40" a="1"/>
  <c r="AB42" i="40" s="1"/>
  <c r="AA42" i="40" a="1"/>
  <c r="AA42" i="40" s="1"/>
  <c r="Z42" i="40" a="1"/>
  <c r="Z42" i="40" s="1"/>
  <c r="Y42" i="40" a="1"/>
  <c r="Y42" i="40" s="1"/>
  <c r="X42" i="40" a="1"/>
  <c r="X42" i="40" s="1"/>
  <c r="W42" i="40" a="1"/>
  <c r="W42" i="40" s="1"/>
  <c r="V42" i="40" a="1"/>
  <c r="V42" i="40" s="1"/>
  <c r="U42" i="40" a="1"/>
  <c r="U42" i="40" s="1"/>
  <c r="T42" i="40" a="1"/>
  <c r="T42" i="40" s="1"/>
  <c r="S42" i="40" a="1"/>
  <c r="S42" i="40" s="1"/>
  <c r="R42" i="40" a="1"/>
  <c r="R42" i="40" s="1"/>
  <c r="Q42" i="40" a="1"/>
  <c r="Q42" i="40" s="1"/>
  <c r="P42" i="40" a="1"/>
  <c r="P42" i="40" s="1"/>
  <c r="O42" i="40" a="1"/>
  <c r="O42" i="40" s="1"/>
  <c r="N42" i="40" a="1"/>
  <c r="N42" i="40" s="1"/>
  <c r="M42" i="40" a="1"/>
  <c r="M42" i="40" s="1"/>
  <c r="L42" i="40" a="1"/>
  <c r="L42" i="40" s="1"/>
  <c r="K42" i="40" a="1"/>
  <c r="K42" i="40" s="1"/>
  <c r="AT41" i="40" a="1"/>
  <c r="AT41" i="40" s="1"/>
  <c r="AS41" i="40" a="1"/>
  <c r="AS41" i="40" s="1"/>
  <c r="AR41" i="40" a="1"/>
  <c r="AR41" i="40" s="1"/>
  <c r="AQ41" i="40" a="1"/>
  <c r="AQ41" i="40" s="1"/>
  <c r="AP41" i="40" a="1"/>
  <c r="AP41" i="40" s="1"/>
  <c r="AO41" i="40" a="1"/>
  <c r="AO41" i="40" s="1"/>
  <c r="AN41" i="40" a="1"/>
  <c r="AN41" i="40" s="1"/>
  <c r="AM41" i="40" a="1"/>
  <c r="AM41" i="40" s="1"/>
  <c r="AL41" i="40" a="1"/>
  <c r="AL41" i="40" s="1"/>
  <c r="AK41" i="40" a="1"/>
  <c r="AK41" i="40" s="1"/>
  <c r="AJ41" i="40" a="1"/>
  <c r="AJ41" i="40" s="1"/>
  <c r="AI41" i="40" a="1"/>
  <c r="AI41" i="40" s="1"/>
  <c r="AH41" i="40" a="1"/>
  <c r="AH41" i="40" s="1"/>
  <c r="AG41" i="40" a="1"/>
  <c r="AG41" i="40" s="1"/>
  <c r="AF41" i="40" a="1"/>
  <c r="AF41" i="40" s="1"/>
  <c r="AE41" i="40" a="1"/>
  <c r="AE41" i="40" s="1"/>
  <c r="AD41" i="40" a="1"/>
  <c r="AD41" i="40" s="1"/>
  <c r="AC41" i="40" a="1"/>
  <c r="AC41" i="40" s="1"/>
  <c r="AB41" i="40" a="1"/>
  <c r="AB41" i="40" s="1"/>
  <c r="AA41" i="40" a="1"/>
  <c r="AA41" i="40" s="1"/>
  <c r="Z41" i="40" a="1"/>
  <c r="Z41" i="40" s="1"/>
  <c r="Y41" i="40" a="1"/>
  <c r="Y41" i="40" s="1"/>
  <c r="X41" i="40" a="1"/>
  <c r="X41" i="40" s="1"/>
  <c r="W41" i="40" a="1"/>
  <c r="W41" i="40" s="1"/>
  <c r="V41" i="40" a="1"/>
  <c r="V41" i="40" s="1"/>
  <c r="U41" i="40" a="1"/>
  <c r="U41" i="40" s="1"/>
  <c r="T41" i="40" a="1"/>
  <c r="T41" i="40" s="1"/>
  <c r="S41" i="40" a="1"/>
  <c r="S41" i="40" s="1"/>
  <c r="R41" i="40" a="1"/>
  <c r="R41" i="40" s="1"/>
  <c r="Q41" i="40" a="1"/>
  <c r="Q41" i="40" s="1"/>
  <c r="P41" i="40" a="1"/>
  <c r="P41" i="40" s="1"/>
  <c r="O41" i="40" a="1"/>
  <c r="O41" i="40" s="1"/>
  <c r="N41" i="40" a="1"/>
  <c r="N41" i="40" s="1"/>
  <c r="M41" i="40" a="1"/>
  <c r="M41" i="40" s="1"/>
  <c r="L41" i="40" a="1"/>
  <c r="L41" i="40" s="1"/>
  <c r="K41" i="40" a="1"/>
  <c r="K41" i="40" s="1"/>
  <c r="U40" i="40" a="1"/>
  <c r="U40" i="40" s="1"/>
  <c r="T40" i="40" a="1"/>
  <c r="T40" i="40" s="1"/>
  <c r="S40" i="40" a="1"/>
  <c r="S40" i="40" s="1"/>
  <c r="R40" i="40" a="1"/>
  <c r="R40" i="40" s="1"/>
  <c r="Q40" i="40" a="1"/>
  <c r="Q40" i="40" s="1"/>
  <c r="P40" i="40" a="1"/>
  <c r="P40" i="40" s="1"/>
  <c r="O40" i="40" a="1"/>
  <c r="O40" i="40" s="1"/>
  <c r="N40" i="40" a="1"/>
  <c r="N40" i="40" s="1"/>
  <c r="M40" i="40" a="1"/>
  <c r="M40" i="40" s="1"/>
  <c r="L40" i="40" a="1"/>
  <c r="L40" i="40" s="1"/>
  <c r="K40" i="40" a="1"/>
  <c r="K40" i="40" s="1"/>
  <c r="AR39" i="40" a="1"/>
  <c r="AR39" i="40" s="1"/>
  <c r="AQ39" i="40" a="1"/>
  <c r="AQ39" i="40" s="1"/>
  <c r="AP39" i="40" a="1"/>
  <c r="AP39" i="40" s="1"/>
  <c r="AO39" i="40" a="1"/>
  <c r="AO39" i="40" s="1"/>
  <c r="AN39" i="40" a="1"/>
  <c r="AN39" i="40" s="1"/>
  <c r="AM39" i="40" a="1"/>
  <c r="AM39" i="40" s="1"/>
  <c r="AL39" i="40" a="1"/>
  <c r="AL39" i="40" s="1"/>
  <c r="AK39" i="40" a="1"/>
  <c r="AK39" i="40" s="1"/>
  <c r="AJ39" i="40" a="1"/>
  <c r="AJ39" i="40" s="1"/>
  <c r="AI39" i="40" a="1"/>
  <c r="AI39" i="40" s="1"/>
  <c r="AH39" i="40" a="1"/>
  <c r="AH39" i="40" s="1"/>
  <c r="AG39" i="40" a="1"/>
  <c r="AG39" i="40" s="1"/>
  <c r="AF39" i="40" a="1"/>
  <c r="AF39" i="40" s="1"/>
  <c r="AE39" i="40" a="1"/>
  <c r="AE39" i="40" s="1"/>
  <c r="AD39" i="40" a="1"/>
  <c r="AD39" i="40" s="1"/>
  <c r="AC39" i="40" a="1"/>
  <c r="AC39" i="40" s="1"/>
  <c r="AB39" i="40" a="1"/>
  <c r="AB39" i="40" s="1"/>
  <c r="AA39" i="40" a="1"/>
  <c r="AA39" i="40" s="1"/>
  <c r="Z39" i="40" a="1"/>
  <c r="Z39" i="40" s="1"/>
  <c r="Y39" i="40" a="1"/>
  <c r="Y39" i="40" s="1"/>
  <c r="X39" i="40" a="1"/>
  <c r="X39" i="40" s="1"/>
  <c r="W39" i="40" a="1"/>
  <c r="W39" i="40" s="1"/>
  <c r="V39" i="40" a="1"/>
  <c r="V39" i="40" s="1"/>
  <c r="U39" i="40" a="1"/>
  <c r="U39" i="40" s="1"/>
  <c r="T39" i="40" a="1"/>
  <c r="T39" i="40" s="1"/>
  <c r="S39" i="40" a="1"/>
  <c r="S39" i="40" s="1"/>
  <c r="R39" i="40" a="1"/>
  <c r="R39" i="40" s="1"/>
  <c r="Q39" i="40" a="1"/>
  <c r="Q39" i="40" s="1"/>
  <c r="P39" i="40" a="1"/>
  <c r="P39" i="40" s="1"/>
  <c r="O39" i="40" a="1"/>
  <c r="O39" i="40" s="1"/>
  <c r="N39" i="40" a="1"/>
  <c r="N39" i="40" s="1"/>
  <c r="M39" i="40" a="1"/>
  <c r="M39" i="40" s="1"/>
  <c r="L39" i="40" a="1"/>
  <c r="L39" i="40" s="1"/>
  <c r="K39" i="40" a="1"/>
  <c r="K39" i="40" s="1"/>
  <c r="V38" i="40" a="1"/>
  <c r="V38" i="40" s="1"/>
  <c r="U38" i="40" a="1"/>
  <c r="U38" i="40" s="1"/>
  <c r="T38" i="40" a="1"/>
  <c r="T38" i="40" s="1"/>
  <c r="S38" i="40" a="1"/>
  <c r="S38" i="40" s="1"/>
  <c r="R38" i="40" a="1"/>
  <c r="R38" i="40" s="1"/>
  <c r="Q38" i="40" a="1"/>
  <c r="Q38" i="40" s="1"/>
  <c r="P38" i="40" a="1"/>
  <c r="P38" i="40" s="1"/>
  <c r="O38" i="40" a="1"/>
  <c r="O38" i="40" s="1"/>
  <c r="N38" i="40" a="1"/>
  <c r="N38" i="40" s="1"/>
  <c r="M38" i="40" a="1"/>
  <c r="M38" i="40" s="1"/>
  <c r="L38" i="40" a="1"/>
  <c r="L38" i="40" s="1"/>
  <c r="K38" i="40" a="1"/>
  <c r="K38" i="40" s="1"/>
  <c r="I50" i="40" a="1"/>
  <c r="I50" i="40" s="1"/>
  <c r="I46" i="40" a="1"/>
  <c r="I46" i="40" s="1"/>
  <c r="I45" i="40" a="1"/>
  <c r="I45" i="40" s="1"/>
  <c r="I41" i="40" a="1"/>
  <c r="I41" i="40" s="1"/>
  <c r="I39" i="40" a="1"/>
  <c r="I39" i="40" s="1"/>
  <c r="AY35" i="40" a="1"/>
  <c r="AY35" i="40" s="1"/>
  <c r="AX35" i="40" a="1"/>
  <c r="AX35" i="40" s="1"/>
  <c r="AW35" i="40" a="1"/>
  <c r="AW35" i="40" s="1"/>
  <c r="AV35" i="40" a="1"/>
  <c r="AV35" i="40" s="1"/>
  <c r="AU35" i="40" a="1"/>
  <c r="AU35" i="40" s="1"/>
  <c r="AT35" i="40" a="1"/>
  <c r="AT35" i="40" s="1"/>
  <c r="AS35" i="40" a="1"/>
  <c r="AS35" i="40" s="1"/>
  <c r="AR35" i="40" a="1"/>
  <c r="AR35" i="40" s="1"/>
  <c r="AQ35" i="40" a="1"/>
  <c r="AQ35" i="40" s="1"/>
  <c r="AP35" i="40" a="1"/>
  <c r="AP35" i="40" s="1"/>
  <c r="AO35" i="40" a="1"/>
  <c r="AO35" i="40" s="1"/>
  <c r="AN35" i="40" a="1"/>
  <c r="AN35" i="40" s="1"/>
  <c r="AM35" i="40" a="1"/>
  <c r="AM35" i="40" s="1"/>
  <c r="AL35" i="40" a="1"/>
  <c r="AL35" i="40" s="1"/>
  <c r="AK35" i="40" a="1"/>
  <c r="AK35" i="40" s="1"/>
  <c r="AJ35" i="40" a="1"/>
  <c r="AJ35" i="40" s="1"/>
  <c r="AI35" i="40" a="1"/>
  <c r="AI35" i="40" s="1"/>
  <c r="AH35" i="40" a="1"/>
  <c r="AH35" i="40" s="1"/>
  <c r="AG35" i="40" a="1"/>
  <c r="AG35" i="40" s="1"/>
  <c r="AF35" i="40" a="1"/>
  <c r="AF35" i="40" s="1"/>
  <c r="AE35" i="40" a="1"/>
  <c r="AE35" i="40" s="1"/>
  <c r="AD35" i="40" a="1"/>
  <c r="AD35" i="40" s="1"/>
  <c r="AC35" i="40" a="1"/>
  <c r="AC35" i="40" s="1"/>
  <c r="AB35" i="40" a="1"/>
  <c r="AB35" i="40" s="1"/>
  <c r="AA35" i="40" a="1"/>
  <c r="AA35" i="40" s="1"/>
  <c r="Z35" i="40" a="1"/>
  <c r="Z35" i="40" s="1"/>
  <c r="Y35" i="40" a="1"/>
  <c r="Y35" i="40" s="1"/>
  <c r="X35" i="40" a="1"/>
  <c r="X35" i="40" s="1"/>
  <c r="W35" i="40" a="1"/>
  <c r="W35" i="40" s="1"/>
  <c r="V35" i="40" a="1"/>
  <c r="V35" i="40" s="1"/>
  <c r="U35" i="40" a="1"/>
  <c r="U35" i="40" s="1"/>
  <c r="T35" i="40" a="1"/>
  <c r="T35" i="40" s="1"/>
  <c r="S35" i="40" a="1"/>
  <c r="S35" i="40" s="1"/>
  <c r="R35" i="40" a="1"/>
  <c r="R35" i="40" s="1"/>
  <c r="Q35" i="40" a="1"/>
  <c r="Q35" i="40" s="1"/>
  <c r="P35" i="40" a="1"/>
  <c r="P35" i="40" s="1"/>
  <c r="O35" i="40" a="1"/>
  <c r="O35" i="40" s="1"/>
  <c r="N35" i="40" a="1"/>
  <c r="N35" i="40" s="1"/>
  <c r="M35" i="40" a="1"/>
  <c r="M35" i="40" s="1"/>
  <c r="L35" i="40" a="1"/>
  <c r="L35" i="40" s="1"/>
  <c r="K35" i="40" a="1"/>
  <c r="K35" i="40" s="1"/>
  <c r="AY34" i="40" a="1"/>
  <c r="AY34" i="40" s="1"/>
  <c r="AX34" i="40" a="1"/>
  <c r="AX34" i="40" s="1"/>
  <c r="AW34" i="40" a="1"/>
  <c r="AW34" i="40" s="1"/>
  <c r="AV34" i="40" a="1"/>
  <c r="AV34" i="40" s="1"/>
  <c r="AU34" i="40" a="1"/>
  <c r="AU34" i="40" s="1"/>
  <c r="AT34" i="40" a="1"/>
  <c r="AT34" i="40" s="1"/>
  <c r="AS34" i="40" a="1"/>
  <c r="AS34" i="40" s="1"/>
  <c r="AR34" i="40" a="1"/>
  <c r="AR34" i="40" s="1"/>
  <c r="AQ34" i="40" a="1"/>
  <c r="AQ34" i="40" s="1"/>
  <c r="AP34" i="40" a="1"/>
  <c r="AP34" i="40" s="1"/>
  <c r="AO34" i="40" a="1"/>
  <c r="AO34" i="40" s="1"/>
  <c r="AN34" i="40" a="1"/>
  <c r="AN34" i="40" s="1"/>
  <c r="AM34" i="40" a="1"/>
  <c r="AM34" i="40" s="1"/>
  <c r="AL34" i="40" a="1"/>
  <c r="AL34" i="40" s="1"/>
  <c r="AK34" i="40" a="1"/>
  <c r="AK34" i="40" s="1"/>
  <c r="AJ34" i="40" a="1"/>
  <c r="AJ34" i="40" s="1"/>
  <c r="AI34" i="40" a="1"/>
  <c r="AI34" i="40" s="1"/>
  <c r="AH34" i="40" a="1"/>
  <c r="AH34" i="40" s="1"/>
  <c r="AG34" i="40" a="1"/>
  <c r="AG34" i="40" s="1"/>
  <c r="AF34" i="40" a="1"/>
  <c r="AF34" i="40" s="1"/>
  <c r="AE34" i="40" a="1"/>
  <c r="AE34" i="40" s="1"/>
  <c r="AD34" i="40" a="1"/>
  <c r="AD34" i="40" s="1"/>
  <c r="AC34" i="40" a="1"/>
  <c r="AC34" i="40" s="1"/>
  <c r="AB34" i="40" a="1"/>
  <c r="AB34" i="40" s="1"/>
  <c r="AA34" i="40" a="1"/>
  <c r="AA34" i="40" s="1"/>
  <c r="Z34" i="40" a="1"/>
  <c r="Z34" i="40" s="1"/>
  <c r="Y34" i="40" a="1"/>
  <c r="Y34" i="40" s="1"/>
  <c r="X34" i="40" a="1"/>
  <c r="X34" i="40" s="1"/>
  <c r="W34" i="40" a="1"/>
  <c r="W34" i="40" s="1"/>
  <c r="V34" i="40" a="1"/>
  <c r="V34" i="40" s="1"/>
  <c r="U34" i="40" a="1"/>
  <c r="U34" i="40" s="1"/>
  <c r="T34" i="40" a="1"/>
  <c r="T34" i="40" s="1"/>
  <c r="S34" i="40" a="1"/>
  <c r="S34" i="40" s="1"/>
  <c r="R34" i="40" a="1"/>
  <c r="R34" i="40" s="1"/>
  <c r="Q34" i="40" a="1"/>
  <c r="Q34" i="40" s="1"/>
  <c r="P34" i="40" a="1"/>
  <c r="P34" i="40" s="1"/>
  <c r="O34" i="40" a="1"/>
  <c r="O34" i="40" s="1"/>
  <c r="N34" i="40" a="1"/>
  <c r="N34" i="40" s="1"/>
  <c r="M34" i="40" a="1"/>
  <c r="M34" i="40" s="1"/>
  <c r="L34" i="40" a="1"/>
  <c r="L34" i="40" s="1"/>
  <c r="K34" i="40" a="1"/>
  <c r="K34" i="40" s="1"/>
  <c r="AY33" i="40" a="1"/>
  <c r="AY33" i="40" s="1"/>
  <c r="AX33" i="40" a="1"/>
  <c r="AX33" i="40" s="1"/>
  <c r="AW33" i="40" a="1"/>
  <c r="AW33" i="40" s="1"/>
  <c r="AV33" i="40" a="1"/>
  <c r="AV33" i="40" s="1"/>
  <c r="AU33" i="40" a="1"/>
  <c r="AU33" i="40" s="1"/>
  <c r="AT33" i="40" a="1"/>
  <c r="AT33" i="40" s="1"/>
  <c r="AS33" i="40" a="1"/>
  <c r="AS33" i="40" s="1"/>
  <c r="AR33" i="40" a="1"/>
  <c r="AR33" i="40" s="1"/>
  <c r="AQ33" i="40" a="1"/>
  <c r="AQ33" i="40" s="1"/>
  <c r="AP33" i="40" a="1"/>
  <c r="AP33" i="40" s="1"/>
  <c r="AO33" i="40" a="1"/>
  <c r="AO33" i="40" s="1"/>
  <c r="AN33" i="40" a="1"/>
  <c r="AN33" i="40" s="1"/>
  <c r="AM33" i="40" a="1"/>
  <c r="AM33" i="40" s="1"/>
  <c r="AL33" i="40" a="1"/>
  <c r="AL33" i="40" s="1"/>
  <c r="AK33" i="40" a="1"/>
  <c r="AK33" i="40" s="1"/>
  <c r="AJ33" i="40" a="1"/>
  <c r="AJ33" i="40" s="1"/>
  <c r="AI33" i="40" a="1"/>
  <c r="AI33" i="40" s="1"/>
  <c r="AH33" i="40" a="1"/>
  <c r="AH33" i="40" s="1"/>
  <c r="AG33" i="40" a="1"/>
  <c r="AG33" i="40" s="1"/>
  <c r="AF33" i="40" a="1"/>
  <c r="AF33" i="40" s="1"/>
  <c r="AE33" i="40" a="1"/>
  <c r="AE33" i="40" s="1"/>
  <c r="AD33" i="40" a="1"/>
  <c r="AD33" i="40" s="1"/>
  <c r="AC33" i="40" a="1"/>
  <c r="AC33" i="40" s="1"/>
  <c r="AB33" i="40" a="1"/>
  <c r="AB33" i="40" s="1"/>
  <c r="AA33" i="40" a="1"/>
  <c r="AA33" i="40" s="1"/>
  <c r="Z33" i="40" a="1"/>
  <c r="Z33" i="40" s="1"/>
  <c r="Y33" i="40" a="1"/>
  <c r="Y33" i="40" s="1"/>
  <c r="X33" i="40" a="1"/>
  <c r="X33" i="40" s="1"/>
  <c r="W33" i="40" a="1"/>
  <c r="W33" i="40" s="1"/>
  <c r="V33" i="40" a="1"/>
  <c r="V33" i="40" s="1"/>
  <c r="U33" i="40" a="1"/>
  <c r="U33" i="40" s="1"/>
  <c r="T33" i="40" a="1"/>
  <c r="T33" i="40" s="1"/>
  <c r="S33" i="40" a="1"/>
  <c r="S33" i="40" s="1"/>
  <c r="R33" i="40" a="1"/>
  <c r="R33" i="40" s="1"/>
  <c r="Q33" i="40" a="1"/>
  <c r="Q33" i="40" s="1"/>
  <c r="P33" i="40" a="1"/>
  <c r="P33" i="40" s="1"/>
  <c r="O33" i="40" a="1"/>
  <c r="O33" i="40" s="1"/>
  <c r="N33" i="40" a="1"/>
  <c r="N33" i="40" s="1"/>
  <c r="M33" i="40" a="1"/>
  <c r="M33" i="40" s="1"/>
  <c r="L33" i="40" a="1"/>
  <c r="L33" i="40" s="1"/>
  <c r="K33" i="40" a="1"/>
  <c r="K33" i="40" s="1"/>
  <c r="AY32" i="40" a="1"/>
  <c r="AY32" i="40" s="1"/>
  <c r="AX32" i="40" a="1"/>
  <c r="AX32" i="40" s="1"/>
  <c r="AW32" i="40" a="1"/>
  <c r="AW32" i="40" s="1"/>
  <c r="AV32" i="40" a="1"/>
  <c r="AV32" i="40" s="1"/>
  <c r="AU32" i="40" a="1"/>
  <c r="AU32" i="40" s="1"/>
  <c r="AT32" i="40" a="1"/>
  <c r="AT32" i="40" s="1"/>
  <c r="AS32" i="40" a="1"/>
  <c r="AS32" i="40" s="1"/>
  <c r="AR32" i="40" a="1"/>
  <c r="AR32" i="40" s="1"/>
  <c r="AQ32" i="40" a="1"/>
  <c r="AQ32" i="40" s="1"/>
  <c r="AP32" i="40" a="1"/>
  <c r="AP32" i="40" s="1"/>
  <c r="AO32" i="40" a="1"/>
  <c r="AO32" i="40" s="1"/>
  <c r="AN32" i="40" a="1"/>
  <c r="AN32" i="40" s="1"/>
  <c r="AM32" i="40" a="1"/>
  <c r="AM32" i="40" s="1"/>
  <c r="AL32" i="40" a="1"/>
  <c r="AL32" i="40" s="1"/>
  <c r="AK32" i="40" a="1"/>
  <c r="AK32" i="40" s="1"/>
  <c r="AJ32" i="40" a="1"/>
  <c r="AJ32" i="40" s="1"/>
  <c r="AI32" i="40" a="1"/>
  <c r="AI32" i="40" s="1"/>
  <c r="AH32" i="40" a="1"/>
  <c r="AH32" i="40" s="1"/>
  <c r="AG32" i="40" a="1"/>
  <c r="AG32" i="40" s="1"/>
  <c r="AF32" i="40" a="1"/>
  <c r="AF32" i="40" s="1"/>
  <c r="AE32" i="40" a="1"/>
  <c r="AE32" i="40" s="1"/>
  <c r="AD32" i="40" a="1"/>
  <c r="AD32" i="40" s="1"/>
  <c r="AC32" i="40" a="1"/>
  <c r="AC32" i="40" s="1"/>
  <c r="AB32" i="40" a="1"/>
  <c r="AB32" i="40" s="1"/>
  <c r="AA32" i="40" a="1"/>
  <c r="AA32" i="40" s="1"/>
  <c r="Z32" i="40" a="1"/>
  <c r="Z32" i="40" s="1"/>
  <c r="Y32" i="40" a="1"/>
  <c r="Y32" i="40" s="1"/>
  <c r="X32" i="40" a="1"/>
  <c r="X32" i="40" s="1"/>
  <c r="W32" i="40" a="1"/>
  <c r="W32" i="40" s="1"/>
  <c r="V32" i="40" a="1"/>
  <c r="V32" i="40" s="1"/>
  <c r="U32" i="40" a="1"/>
  <c r="U32" i="40" s="1"/>
  <c r="T32" i="40" a="1"/>
  <c r="T32" i="40" s="1"/>
  <c r="S32" i="40" a="1"/>
  <c r="S32" i="40" s="1"/>
  <c r="R32" i="40" a="1"/>
  <c r="R32" i="40" s="1"/>
  <c r="Q32" i="40" a="1"/>
  <c r="Q32" i="40" s="1"/>
  <c r="P32" i="40" a="1"/>
  <c r="P32" i="40" s="1"/>
  <c r="O32" i="40" a="1"/>
  <c r="O32" i="40" s="1"/>
  <c r="N32" i="40" a="1"/>
  <c r="N32" i="40" s="1"/>
  <c r="M32" i="40" a="1"/>
  <c r="M32" i="40" s="1"/>
  <c r="L32" i="40" a="1"/>
  <c r="L32" i="40" s="1"/>
  <c r="K32" i="40" a="1"/>
  <c r="K32" i="40" s="1"/>
  <c r="AY31" i="40" a="1"/>
  <c r="AY31" i="40" s="1"/>
  <c r="AX31" i="40" a="1"/>
  <c r="AX31" i="40" s="1"/>
  <c r="AW31" i="40" a="1"/>
  <c r="AW31" i="40" s="1"/>
  <c r="AV31" i="40" a="1"/>
  <c r="AV31" i="40" s="1"/>
  <c r="AU31" i="40" a="1"/>
  <c r="AU31" i="40" s="1"/>
  <c r="AT31" i="40" a="1"/>
  <c r="AT31" i="40" s="1"/>
  <c r="AS31" i="40" a="1"/>
  <c r="AS31" i="40" s="1"/>
  <c r="AR31" i="40" a="1"/>
  <c r="AR31" i="40" s="1"/>
  <c r="AQ31" i="40" a="1"/>
  <c r="AQ31" i="40" s="1"/>
  <c r="AP31" i="40" a="1"/>
  <c r="AP31" i="40" s="1"/>
  <c r="AO31" i="40" a="1"/>
  <c r="AO31" i="40" s="1"/>
  <c r="AN31" i="40" a="1"/>
  <c r="AN31" i="40" s="1"/>
  <c r="AM31" i="40" a="1"/>
  <c r="AM31" i="40" s="1"/>
  <c r="AL31" i="40" a="1"/>
  <c r="AL31" i="40" s="1"/>
  <c r="AK31" i="40" a="1"/>
  <c r="AK31" i="40" s="1"/>
  <c r="AJ31" i="40" a="1"/>
  <c r="AJ31" i="40" s="1"/>
  <c r="AI31" i="40" a="1"/>
  <c r="AI31" i="40" s="1"/>
  <c r="AH31" i="40" a="1"/>
  <c r="AH31" i="40" s="1"/>
  <c r="AG31" i="40" a="1"/>
  <c r="AG31" i="40" s="1"/>
  <c r="AF31" i="40" a="1"/>
  <c r="AF31" i="40" s="1"/>
  <c r="AE31" i="40" a="1"/>
  <c r="AE31" i="40" s="1"/>
  <c r="AD31" i="40" a="1"/>
  <c r="AD31" i="40" s="1"/>
  <c r="AC31" i="40" a="1"/>
  <c r="AC31" i="40" s="1"/>
  <c r="AB31" i="40" a="1"/>
  <c r="AB31" i="40" s="1"/>
  <c r="AA31" i="40" a="1"/>
  <c r="AA31" i="40" s="1"/>
  <c r="Z31" i="40" a="1"/>
  <c r="Z31" i="40" s="1"/>
  <c r="Y31" i="40" a="1"/>
  <c r="Y31" i="40" s="1"/>
  <c r="X31" i="40" a="1"/>
  <c r="X31" i="40" s="1"/>
  <c r="W31" i="40" a="1"/>
  <c r="W31" i="40" s="1"/>
  <c r="V31" i="40" a="1"/>
  <c r="V31" i="40" s="1"/>
  <c r="U31" i="40" a="1"/>
  <c r="U31" i="40" s="1"/>
  <c r="T31" i="40" a="1"/>
  <c r="T31" i="40" s="1"/>
  <c r="S31" i="40" a="1"/>
  <c r="S31" i="40" s="1"/>
  <c r="R31" i="40" a="1"/>
  <c r="R31" i="40" s="1"/>
  <c r="Q31" i="40" a="1"/>
  <c r="Q31" i="40" s="1"/>
  <c r="P31" i="40" a="1"/>
  <c r="P31" i="40" s="1"/>
  <c r="O31" i="40" a="1"/>
  <c r="O31" i="40" s="1"/>
  <c r="N31" i="40" a="1"/>
  <c r="N31" i="40" s="1"/>
  <c r="M31" i="40" a="1"/>
  <c r="M31" i="40" s="1"/>
  <c r="L31" i="40" a="1"/>
  <c r="L31" i="40" s="1"/>
  <c r="K31" i="40" a="1"/>
  <c r="K31" i="40" s="1"/>
  <c r="AY30" i="40" a="1"/>
  <c r="AY30" i="40" s="1"/>
  <c r="AX30" i="40" a="1"/>
  <c r="AX30" i="40" s="1"/>
  <c r="AW30" i="40" a="1"/>
  <c r="AW30" i="40" s="1"/>
  <c r="AV30" i="40" a="1"/>
  <c r="AV30" i="40" s="1"/>
  <c r="AU30" i="40" a="1"/>
  <c r="AU30" i="40" s="1"/>
  <c r="AT30" i="40" a="1"/>
  <c r="AT30" i="40" s="1"/>
  <c r="AS30" i="40" a="1"/>
  <c r="AS30" i="40" s="1"/>
  <c r="AR30" i="40" a="1"/>
  <c r="AR30" i="40" s="1"/>
  <c r="AQ30" i="40" a="1"/>
  <c r="AQ30" i="40" s="1"/>
  <c r="AP30" i="40" a="1"/>
  <c r="AP30" i="40" s="1"/>
  <c r="AO30" i="40" a="1"/>
  <c r="AO30" i="40" s="1"/>
  <c r="AN30" i="40" a="1"/>
  <c r="AN30" i="40" s="1"/>
  <c r="AM30" i="40" a="1"/>
  <c r="AM30" i="40" s="1"/>
  <c r="AL30" i="40" a="1"/>
  <c r="AL30" i="40" s="1"/>
  <c r="AK30" i="40" a="1"/>
  <c r="AK30" i="40" s="1"/>
  <c r="AJ30" i="40" a="1"/>
  <c r="AJ30" i="40" s="1"/>
  <c r="AI30" i="40" a="1"/>
  <c r="AI30" i="40" s="1"/>
  <c r="AH30" i="40" a="1"/>
  <c r="AH30" i="40" s="1"/>
  <c r="AG30" i="40" a="1"/>
  <c r="AG30" i="40" s="1"/>
  <c r="AF30" i="40" a="1"/>
  <c r="AF30" i="40" s="1"/>
  <c r="AE30" i="40" a="1"/>
  <c r="AE30" i="40" s="1"/>
  <c r="AD30" i="40" a="1"/>
  <c r="AD30" i="40" s="1"/>
  <c r="AC30" i="40" a="1"/>
  <c r="AC30" i="40" s="1"/>
  <c r="AB30" i="40" a="1"/>
  <c r="AB30" i="40" s="1"/>
  <c r="AA30" i="40" a="1"/>
  <c r="AA30" i="40" s="1"/>
  <c r="Z30" i="40" a="1"/>
  <c r="Z30" i="40" s="1"/>
  <c r="Y30" i="40" a="1"/>
  <c r="Y30" i="40" s="1"/>
  <c r="X30" i="40" a="1"/>
  <c r="X30" i="40" s="1"/>
  <c r="W30" i="40" a="1"/>
  <c r="W30" i="40" s="1"/>
  <c r="V30" i="40" a="1"/>
  <c r="V30" i="40" s="1"/>
  <c r="U30" i="40" a="1"/>
  <c r="U30" i="40" s="1"/>
  <c r="T30" i="40" a="1"/>
  <c r="T30" i="40" s="1"/>
  <c r="S30" i="40" a="1"/>
  <c r="S30" i="40" s="1"/>
  <c r="R30" i="40" a="1"/>
  <c r="R30" i="40" s="1"/>
  <c r="Q30" i="40" a="1"/>
  <c r="Q30" i="40" s="1"/>
  <c r="P30" i="40" a="1"/>
  <c r="P30" i="40" s="1"/>
  <c r="O30" i="40" a="1"/>
  <c r="O30" i="40" s="1"/>
  <c r="N30" i="40" a="1"/>
  <c r="N30" i="40" s="1"/>
  <c r="M30" i="40" a="1"/>
  <c r="M30" i="40" s="1"/>
  <c r="L30" i="40" a="1"/>
  <c r="L30" i="40" s="1"/>
  <c r="K30" i="40" a="1"/>
  <c r="K30" i="40" s="1"/>
  <c r="AY29" i="40" a="1"/>
  <c r="AY29" i="40" s="1"/>
  <c r="AX29" i="40" a="1"/>
  <c r="AX29" i="40" s="1"/>
  <c r="AW29" i="40" a="1"/>
  <c r="AW29" i="40" s="1"/>
  <c r="AV29" i="40" a="1"/>
  <c r="AV29" i="40" s="1"/>
  <c r="AU29" i="40" a="1"/>
  <c r="AU29" i="40" s="1"/>
  <c r="AT29" i="40" a="1"/>
  <c r="AT29" i="40" s="1"/>
  <c r="AS29" i="40" a="1"/>
  <c r="AS29" i="40" s="1"/>
  <c r="AR29" i="40" a="1"/>
  <c r="AR29" i="40" s="1"/>
  <c r="AQ29" i="40" a="1"/>
  <c r="AQ29" i="40" s="1"/>
  <c r="AP29" i="40" a="1"/>
  <c r="AP29" i="40" s="1"/>
  <c r="AO29" i="40" a="1"/>
  <c r="AO29" i="40" s="1"/>
  <c r="AN29" i="40" a="1"/>
  <c r="AN29" i="40" s="1"/>
  <c r="AM29" i="40" a="1"/>
  <c r="AM29" i="40" s="1"/>
  <c r="AL29" i="40" a="1"/>
  <c r="AL29" i="40" s="1"/>
  <c r="AK29" i="40" a="1"/>
  <c r="AK29" i="40" s="1"/>
  <c r="AJ29" i="40" a="1"/>
  <c r="AJ29" i="40" s="1"/>
  <c r="AI29" i="40" a="1"/>
  <c r="AI29" i="40" s="1"/>
  <c r="AH29" i="40" a="1"/>
  <c r="AH29" i="40" s="1"/>
  <c r="AG29" i="40" a="1"/>
  <c r="AG29" i="40" s="1"/>
  <c r="AF29" i="40" a="1"/>
  <c r="AF29" i="40" s="1"/>
  <c r="AE29" i="40" a="1"/>
  <c r="AE29" i="40" s="1"/>
  <c r="AD29" i="40" a="1"/>
  <c r="AD29" i="40" s="1"/>
  <c r="AC29" i="40" a="1"/>
  <c r="AC29" i="40" s="1"/>
  <c r="AB29" i="40" a="1"/>
  <c r="AB29" i="40" s="1"/>
  <c r="AA29" i="40" a="1"/>
  <c r="AA29" i="40" s="1"/>
  <c r="Z29" i="40" a="1"/>
  <c r="Z29" i="40" s="1"/>
  <c r="Y29" i="40" a="1"/>
  <c r="Y29" i="40" s="1"/>
  <c r="X29" i="40" a="1"/>
  <c r="X29" i="40" s="1"/>
  <c r="W29" i="40" a="1"/>
  <c r="W29" i="40" s="1"/>
  <c r="V29" i="40" a="1"/>
  <c r="V29" i="40" s="1"/>
  <c r="U29" i="40" a="1"/>
  <c r="U29" i="40" s="1"/>
  <c r="T29" i="40" a="1"/>
  <c r="T29" i="40" s="1"/>
  <c r="S29" i="40" a="1"/>
  <c r="S29" i="40" s="1"/>
  <c r="R29" i="40" a="1"/>
  <c r="R29" i="40" s="1"/>
  <c r="Q29" i="40" a="1"/>
  <c r="Q29" i="40" s="1"/>
  <c r="P29" i="40" a="1"/>
  <c r="P29" i="40" s="1"/>
  <c r="O29" i="40" a="1"/>
  <c r="O29" i="40" s="1"/>
  <c r="N29" i="40" a="1"/>
  <c r="N29" i="40" s="1"/>
  <c r="M29" i="40" a="1"/>
  <c r="M29" i="40" s="1"/>
  <c r="L29" i="40" a="1"/>
  <c r="L29" i="40" s="1"/>
  <c r="K29" i="40" a="1"/>
  <c r="K29" i="40" s="1"/>
  <c r="AY28" i="40" a="1"/>
  <c r="AY28" i="40" s="1"/>
  <c r="AX28" i="40" a="1"/>
  <c r="AX28" i="40" s="1"/>
  <c r="AW28" i="40" a="1"/>
  <c r="AW28" i="40" s="1"/>
  <c r="AV28" i="40" a="1"/>
  <c r="AV28" i="40" s="1"/>
  <c r="AU28" i="40" a="1"/>
  <c r="AU28" i="40" s="1"/>
  <c r="AT28" i="40" a="1"/>
  <c r="AT28" i="40" s="1"/>
  <c r="AS28" i="40" a="1"/>
  <c r="AS28" i="40" s="1"/>
  <c r="AR28" i="40" a="1"/>
  <c r="AR28" i="40" s="1"/>
  <c r="AQ28" i="40" a="1"/>
  <c r="AQ28" i="40" s="1"/>
  <c r="AP28" i="40" a="1"/>
  <c r="AP28" i="40" s="1"/>
  <c r="AO28" i="40" a="1"/>
  <c r="AO28" i="40" s="1"/>
  <c r="AN28" i="40" a="1"/>
  <c r="AN28" i="40" s="1"/>
  <c r="AM28" i="40" a="1"/>
  <c r="AM28" i="40" s="1"/>
  <c r="AL28" i="40" a="1"/>
  <c r="AL28" i="40" s="1"/>
  <c r="AK28" i="40" a="1"/>
  <c r="AK28" i="40" s="1"/>
  <c r="AJ28" i="40" a="1"/>
  <c r="AJ28" i="40" s="1"/>
  <c r="AI28" i="40" a="1"/>
  <c r="AI28" i="40" s="1"/>
  <c r="AH28" i="40" a="1"/>
  <c r="AH28" i="40" s="1"/>
  <c r="AG28" i="40" a="1"/>
  <c r="AG28" i="40" s="1"/>
  <c r="AF28" i="40" a="1"/>
  <c r="AF28" i="40" s="1"/>
  <c r="AE28" i="40" a="1"/>
  <c r="AE28" i="40" s="1"/>
  <c r="AD28" i="40" a="1"/>
  <c r="AD28" i="40" s="1"/>
  <c r="AC28" i="40" a="1"/>
  <c r="AC28" i="40" s="1"/>
  <c r="AB28" i="40" a="1"/>
  <c r="AB28" i="40" s="1"/>
  <c r="AA28" i="40" a="1"/>
  <c r="AA28" i="40" s="1"/>
  <c r="Z28" i="40" a="1"/>
  <c r="Z28" i="40" s="1"/>
  <c r="Y28" i="40" a="1"/>
  <c r="Y28" i="40" s="1"/>
  <c r="X28" i="40" a="1"/>
  <c r="X28" i="40" s="1"/>
  <c r="W28" i="40" a="1"/>
  <c r="W28" i="40" s="1"/>
  <c r="V28" i="40" a="1"/>
  <c r="V28" i="40" s="1"/>
  <c r="U28" i="40" a="1"/>
  <c r="U28" i="40" s="1"/>
  <c r="T28" i="40" a="1"/>
  <c r="T28" i="40" s="1"/>
  <c r="S28" i="40" a="1"/>
  <c r="S28" i="40" s="1"/>
  <c r="R28" i="40" a="1"/>
  <c r="R28" i="40" s="1"/>
  <c r="Q28" i="40" a="1"/>
  <c r="Q28" i="40" s="1"/>
  <c r="P28" i="40" a="1"/>
  <c r="P28" i="40" s="1"/>
  <c r="O28" i="40" a="1"/>
  <c r="O28" i="40" s="1"/>
  <c r="N28" i="40" a="1"/>
  <c r="N28" i="40" s="1"/>
  <c r="M28" i="40" a="1"/>
  <c r="M28" i="40" s="1"/>
  <c r="L28" i="40" a="1"/>
  <c r="L28" i="40" s="1"/>
  <c r="K28" i="40" a="1"/>
  <c r="K28" i="40" s="1"/>
  <c r="I35" i="40" a="1"/>
  <c r="I35" i="40" s="1"/>
  <c r="I34" i="40" a="1"/>
  <c r="I34" i="40" s="1"/>
  <c r="I33" i="40" a="1"/>
  <c r="I33" i="40" s="1"/>
  <c r="I32" i="40" a="1"/>
  <c r="I32" i="40" s="1"/>
  <c r="I31" i="40" a="1"/>
  <c r="I31" i="40" s="1"/>
  <c r="I30" i="40" a="1"/>
  <c r="I30" i="40" s="1"/>
  <c r="I29" i="40" a="1"/>
  <c r="I29" i="40" s="1"/>
  <c r="I28" i="40" a="1"/>
  <c r="I28" i="40" s="1"/>
  <c r="BC614" i="27"/>
  <c r="BB614" i="27"/>
  <c r="BC613" i="27"/>
  <c r="BB613" i="27"/>
  <c r="BC612" i="27"/>
  <c r="BB612" i="27"/>
  <c r="BC611" i="27"/>
  <c r="BB611" i="27"/>
  <c r="BC610" i="27"/>
  <c r="BB610" i="27"/>
  <c r="BC609" i="27"/>
  <c r="BB609" i="27"/>
  <c r="BC608" i="27"/>
  <c r="BB608" i="27"/>
  <c r="BC607" i="27"/>
  <c r="BB607" i="27"/>
  <c r="BC606" i="27"/>
  <c r="BB606" i="27"/>
  <c r="BC605" i="27"/>
  <c r="BB605" i="27"/>
  <c r="BC604" i="27"/>
  <c r="BB604" i="27"/>
  <c r="BC603" i="27"/>
  <c r="BB603" i="27"/>
  <c r="BC602" i="27"/>
  <c r="BB602" i="27"/>
  <c r="BC601" i="27"/>
  <c r="BB601" i="27"/>
  <c r="BC600" i="27"/>
  <c r="BB600" i="27"/>
  <c r="BC599" i="27"/>
  <c r="BB599" i="27"/>
  <c r="BC598" i="27"/>
  <c r="BB598" i="27"/>
  <c r="BC597" i="27"/>
  <c r="BB597" i="27"/>
  <c r="BC596" i="27"/>
  <c r="BB596" i="27"/>
  <c r="BC595" i="27"/>
  <c r="BB595" i="27"/>
  <c r="BC594" i="27"/>
  <c r="BB594" i="27"/>
  <c r="BC593" i="27"/>
  <c r="BB593" i="27"/>
  <c r="BC592" i="27"/>
  <c r="BB592" i="27"/>
  <c r="BC591" i="27"/>
  <c r="BB591" i="27"/>
  <c r="BC590" i="27"/>
  <c r="BB590" i="27"/>
  <c r="BC589" i="27"/>
  <c r="BB589" i="27"/>
  <c r="BC588" i="27"/>
  <c r="BB588" i="27"/>
  <c r="BC587" i="27"/>
  <c r="BB587" i="27"/>
  <c r="BC586" i="27"/>
  <c r="BB586" i="27"/>
  <c r="BC585" i="27"/>
  <c r="BB585" i="27"/>
  <c r="BC584" i="27"/>
  <c r="BB584" i="27"/>
  <c r="BC583" i="27"/>
  <c r="BB583" i="27"/>
  <c r="BC582" i="27"/>
  <c r="BB582" i="27"/>
  <c r="BC581" i="27"/>
  <c r="BB581" i="27"/>
  <c r="BC580" i="27"/>
  <c r="BB580" i="27"/>
  <c r="BC579" i="27"/>
  <c r="BB579" i="27"/>
  <c r="BC578" i="27"/>
  <c r="BB578" i="27"/>
  <c r="BC577" i="27"/>
  <c r="BB577" i="27"/>
  <c r="BC576" i="27"/>
  <c r="BB576" i="27"/>
  <c r="BC575" i="27"/>
  <c r="BB575" i="27"/>
  <c r="BC574" i="27"/>
  <c r="BB574" i="27"/>
  <c r="BC573" i="27"/>
  <c r="BB573" i="27"/>
  <c r="BC572" i="27"/>
  <c r="BB572" i="27"/>
  <c r="BC571" i="27"/>
  <c r="BB571" i="27"/>
  <c r="BC570" i="27"/>
  <c r="BB570" i="27"/>
  <c r="BC569" i="27"/>
  <c r="BB569" i="27"/>
  <c r="BC568" i="27"/>
  <c r="BB568" i="27"/>
  <c r="BC567" i="27"/>
  <c r="BB567" i="27"/>
  <c r="BC566" i="27"/>
  <c r="BB566" i="27"/>
  <c r="BC565" i="27"/>
  <c r="BB565" i="27"/>
  <c r="BC564" i="27"/>
  <c r="BB564" i="27"/>
  <c r="BC563" i="27"/>
  <c r="BB563" i="27"/>
  <c r="BC562" i="27"/>
  <c r="BB562" i="27"/>
  <c r="BC561" i="27"/>
  <c r="BB561" i="27"/>
  <c r="BC560" i="27"/>
  <c r="BB560" i="27"/>
  <c r="BC559" i="27"/>
  <c r="BB559" i="27"/>
  <c r="BC558" i="27"/>
  <c r="BB558" i="27"/>
  <c r="BC557" i="27"/>
  <c r="BB557" i="27"/>
  <c r="BC556" i="27"/>
  <c r="BB556" i="27"/>
  <c r="BC555" i="27"/>
  <c r="BB555" i="27"/>
  <c r="BC554" i="27"/>
  <c r="BB554" i="27"/>
  <c r="BC553" i="27"/>
  <c r="BB553" i="27"/>
  <c r="BC552" i="27"/>
  <c r="BB552" i="27"/>
  <c r="BC551" i="27"/>
  <c r="BB551" i="27"/>
  <c r="BC550" i="27"/>
  <c r="BB550" i="27"/>
  <c r="BC549" i="27"/>
  <c r="BB549" i="27"/>
  <c r="BC548" i="27"/>
  <c r="BB548" i="27"/>
  <c r="BC547" i="27"/>
  <c r="BB547" i="27"/>
  <c r="BC546" i="27"/>
  <c r="BB546" i="27"/>
  <c r="BC545" i="27"/>
  <c r="BB545" i="27"/>
  <c r="BC544" i="27"/>
  <c r="BB544" i="27"/>
  <c r="BC543" i="27"/>
  <c r="BB543" i="27"/>
  <c r="BC542" i="27"/>
  <c r="BB542" i="27"/>
  <c r="BC541" i="27"/>
  <c r="BB541" i="27"/>
  <c r="BC540" i="27"/>
  <c r="BB540" i="27"/>
  <c r="BC539" i="27"/>
  <c r="BB539" i="27"/>
  <c r="BC538" i="27"/>
  <c r="BB538" i="27"/>
  <c r="BC537" i="27"/>
  <c r="BB537" i="27"/>
  <c r="BC536" i="27"/>
  <c r="BB536" i="27"/>
  <c r="BC535" i="27"/>
  <c r="BB535" i="27"/>
  <c r="BC534" i="27"/>
  <c r="BB534" i="27"/>
  <c r="BC533" i="27"/>
  <c r="BB533" i="27"/>
  <c r="BC532" i="27"/>
  <c r="BB532" i="27"/>
  <c r="BC531" i="27"/>
  <c r="BB531" i="27"/>
  <c r="BC530" i="27"/>
  <c r="BB530" i="27"/>
  <c r="BC529" i="27"/>
  <c r="BB529" i="27"/>
  <c r="BC528" i="27"/>
  <c r="BB528" i="27"/>
  <c r="BC527" i="27"/>
  <c r="BB527" i="27"/>
  <c r="BC526" i="27"/>
  <c r="BB526" i="27"/>
  <c r="BC525" i="27"/>
  <c r="BB525" i="27"/>
  <c r="BC524" i="27"/>
  <c r="BB524" i="27"/>
  <c r="BC523" i="27"/>
  <c r="BB523" i="27"/>
  <c r="BC522" i="27"/>
  <c r="BB522" i="27"/>
  <c r="BC521" i="27"/>
  <c r="BB521" i="27"/>
  <c r="BC520" i="27"/>
  <c r="BB520" i="27"/>
  <c r="BC519" i="27"/>
  <c r="BB519" i="27"/>
  <c r="BC518" i="27"/>
  <c r="BB518" i="27"/>
  <c r="BC517" i="27"/>
  <c r="BB517" i="27"/>
  <c r="BC516" i="27"/>
  <c r="BB516" i="27"/>
  <c r="BC515" i="27"/>
  <c r="BB515" i="27"/>
  <c r="BC514" i="27"/>
  <c r="BB514" i="27"/>
  <c r="BC513" i="27"/>
  <c r="BB513" i="27"/>
  <c r="BC512" i="27"/>
  <c r="BB512" i="27"/>
  <c r="BC511" i="27"/>
  <c r="BB511" i="27"/>
  <c r="BC510" i="27"/>
  <c r="BB510" i="27"/>
  <c r="BC509" i="27"/>
  <c r="BB509" i="27"/>
  <c r="BC508" i="27"/>
  <c r="BB508" i="27"/>
  <c r="BC507" i="27"/>
  <c r="BB507" i="27"/>
  <c r="BC506" i="27"/>
  <c r="BB506" i="27"/>
  <c r="BC505" i="27"/>
  <c r="BB505" i="27"/>
  <c r="BC504" i="27"/>
  <c r="BB504" i="27"/>
  <c r="BC503" i="27"/>
  <c r="BB503" i="27"/>
  <c r="BC502" i="27"/>
  <c r="BB502" i="27"/>
  <c r="BC501" i="27"/>
  <c r="BB501" i="27"/>
  <c r="BC500" i="27"/>
  <c r="BB500" i="27"/>
  <c r="BC499" i="27"/>
  <c r="BB499" i="27"/>
  <c r="BC498" i="27"/>
  <c r="BB498" i="27"/>
  <c r="BC497" i="27"/>
  <c r="BB497" i="27"/>
  <c r="BC496" i="27"/>
  <c r="BB496" i="27"/>
  <c r="BC495" i="27"/>
  <c r="BB495" i="27"/>
  <c r="BC494" i="27"/>
  <c r="BB494" i="27"/>
  <c r="BC493" i="27"/>
  <c r="BB493" i="27"/>
  <c r="BC492" i="27"/>
  <c r="BB492" i="27"/>
  <c r="BC491" i="27"/>
  <c r="BB491" i="27"/>
  <c r="BC490" i="27"/>
  <c r="BB490" i="27"/>
  <c r="BC489" i="27"/>
  <c r="BB489" i="27"/>
  <c r="BC488" i="27"/>
  <c r="BB488" i="27"/>
  <c r="BC487" i="27"/>
  <c r="BB487" i="27"/>
  <c r="BC486" i="27"/>
  <c r="BB486" i="27"/>
  <c r="BC485" i="27"/>
  <c r="BB485" i="27"/>
  <c r="BC484" i="27"/>
  <c r="BB484" i="27"/>
  <c r="BC483" i="27"/>
  <c r="BB483" i="27"/>
  <c r="BC482" i="27"/>
  <c r="BB482" i="27"/>
  <c r="BC481" i="27"/>
  <c r="BB481" i="27"/>
  <c r="BC480" i="27"/>
  <c r="BB480" i="27"/>
  <c r="BC479" i="27"/>
  <c r="BB479" i="27"/>
  <c r="BC478" i="27"/>
  <c r="BB478" i="27"/>
  <c r="BC477" i="27"/>
  <c r="BB477" i="27"/>
  <c r="BC476" i="27"/>
  <c r="BB476" i="27"/>
  <c r="BC475" i="27"/>
  <c r="BB475" i="27"/>
  <c r="BC474" i="27"/>
  <c r="BB474" i="27"/>
  <c r="BC473" i="27"/>
  <c r="BB473" i="27"/>
  <c r="BC472" i="27"/>
  <c r="BB472" i="27"/>
  <c r="BC471" i="27"/>
  <c r="BB471" i="27"/>
  <c r="BC470" i="27"/>
  <c r="BB470" i="27"/>
  <c r="BC469" i="27"/>
  <c r="BB469" i="27"/>
  <c r="BC468" i="27"/>
  <c r="BB468" i="27"/>
  <c r="BC467" i="27"/>
  <c r="BB467" i="27"/>
  <c r="BC466" i="27"/>
  <c r="BB466" i="27"/>
  <c r="BC465" i="27"/>
  <c r="BB465" i="27"/>
  <c r="BC464" i="27"/>
  <c r="BB464" i="27"/>
  <c r="BC463" i="27"/>
  <c r="BB463" i="27"/>
  <c r="BC462" i="27"/>
  <c r="BB462" i="27"/>
  <c r="BC461" i="27"/>
  <c r="BB461" i="27"/>
  <c r="BC460" i="27"/>
  <c r="BB460" i="27"/>
  <c r="BC459" i="27"/>
  <c r="BB459" i="27"/>
  <c r="BC458" i="27"/>
  <c r="BB458" i="27"/>
  <c r="BC457" i="27"/>
  <c r="BB457" i="27"/>
  <c r="BC456" i="27"/>
  <c r="BB456" i="27"/>
  <c r="BC455" i="27"/>
  <c r="BB455" i="27"/>
  <c r="BC454" i="27"/>
  <c r="BB454" i="27"/>
  <c r="BC453" i="27"/>
  <c r="BB453" i="27"/>
  <c r="BC452" i="27"/>
  <c r="BB452" i="27"/>
  <c r="BC451" i="27"/>
  <c r="BB451" i="27"/>
  <c r="BC450" i="27"/>
  <c r="BB450" i="27"/>
  <c r="BC449" i="27"/>
  <c r="BB449" i="27"/>
  <c r="BC448" i="27"/>
  <c r="BB448" i="27"/>
  <c r="BC447" i="27"/>
  <c r="BB447" i="27"/>
  <c r="BC446" i="27"/>
  <c r="BB446" i="27"/>
  <c r="BC445" i="27"/>
  <c r="BB445" i="27"/>
  <c r="BC444" i="27"/>
  <c r="BB444" i="27"/>
  <c r="BC443" i="27"/>
  <c r="BB443" i="27"/>
  <c r="BC442" i="27"/>
  <c r="BB442" i="27"/>
  <c r="BC441" i="27"/>
  <c r="BB441" i="27"/>
  <c r="BC440" i="27"/>
  <c r="BB440" i="27"/>
  <c r="BC439" i="27"/>
  <c r="BB439" i="27"/>
  <c r="BC438" i="27"/>
  <c r="BB438" i="27"/>
  <c r="BC437" i="27"/>
  <c r="BB437" i="27"/>
  <c r="BC436" i="27"/>
  <c r="BB436" i="27"/>
  <c r="BC435" i="27"/>
  <c r="BB435" i="27"/>
  <c r="BC434" i="27"/>
  <c r="BB434" i="27"/>
  <c r="BC433" i="27"/>
  <c r="BB433" i="27"/>
  <c r="BC432" i="27"/>
  <c r="BB432" i="27"/>
  <c r="BC431" i="27"/>
  <c r="BB431" i="27"/>
  <c r="BC430" i="27"/>
  <c r="BB430" i="27"/>
  <c r="BC429" i="27"/>
  <c r="BB429" i="27"/>
  <c r="BC428" i="27"/>
  <c r="BB428" i="27"/>
  <c r="BC427" i="27"/>
  <c r="BB427" i="27"/>
  <c r="BC426" i="27"/>
  <c r="BB426" i="27"/>
  <c r="BC425" i="27"/>
  <c r="BB425" i="27"/>
  <c r="BC424" i="27"/>
  <c r="BB424" i="27"/>
  <c r="BC423" i="27"/>
  <c r="BB423" i="27"/>
  <c r="BC422" i="27"/>
  <c r="BB422" i="27"/>
  <c r="BC421" i="27"/>
  <c r="BB421" i="27"/>
  <c r="BC420" i="27"/>
  <c r="BB420" i="27"/>
  <c r="BC419" i="27"/>
  <c r="BB419" i="27"/>
  <c r="BC418" i="27"/>
  <c r="BB418" i="27"/>
  <c r="BC417" i="27"/>
  <c r="BB417" i="27"/>
  <c r="BC416" i="27"/>
  <c r="BB416" i="27"/>
  <c r="BC415" i="27"/>
  <c r="BB415" i="27"/>
  <c r="BC414" i="27"/>
  <c r="BB414" i="27"/>
  <c r="BC413" i="27"/>
  <c r="BB413" i="27"/>
  <c r="BC412" i="27"/>
  <c r="BB412" i="27"/>
  <c r="BC411" i="27"/>
  <c r="BB411" i="27"/>
  <c r="BC410" i="27"/>
  <c r="BB410" i="27"/>
  <c r="BC409" i="27"/>
  <c r="BB409" i="27"/>
  <c r="BC408" i="27"/>
  <c r="BB408" i="27"/>
  <c r="BC407" i="27"/>
  <c r="BB407" i="27"/>
  <c r="BC406" i="27"/>
  <c r="BB406" i="27"/>
  <c r="BC405" i="27"/>
  <c r="BB405" i="27"/>
  <c r="BC404" i="27"/>
  <c r="BB404" i="27"/>
  <c r="BC403" i="27"/>
  <c r="BB403" i="27"/>
  <c r="BC402" i="27"/>
  <c r="BB402" i="27"/>
  <c r="BC401" i="27"/>
  <c r="BB401" i="27"/>
  <c r="BC400" i="27"/>
  <c r="BB400" i="27"/>
  <c r="BC399" i="27"/>
  <c r="BB399" i="27"/>
  <c r="BC398" i="27"/>
  <c r="BB398" i="27"/>
  <c r="BC397" i="27"/>
  <c r="BB397" i="27"/>
  <c r="BC396" i="27"/>
  <c r="BB396" i="27"/>
  <c r="BC395" i="27"/>
  <c r="BB395" i="27"/>
  <c r="BC394" i="27"/>
  <c r="BB394" i="27"/>
  <c r="BC393" i="27"/>
  <c r="BB393" i="27"/>
  <c r="BC392" i="27"/>
  <c r="BB392" i="27"/>
  <c r="BC391" i="27"/>
  <c r="BB391" i="27"/>
  <c r="BC390" i="27"/>
  <c r="BB390" i="27"/>
  <c r="BC389" i="27"/>
  <c r="BB389" i="27"/>
  <c r="BC388" i="27"/>
  <c r="BB388" i="27"/>
  <c r="BC387" i="27"/>
  <c r="BB387" i="27"/>
  <c r="BC386" i="27"/>
  <c r="BB386" i="27"/>
  <c r="BC385" i="27"/>
  <c r="BB385" i="27"/>
  <c r="BC384" i="27"/>
  <c r="BB384" i="27"/>
  <c r="BC383" i="27"/>
  <c r="BB383" i="27"/>
  <c r="BC382" i="27"/>
  <c r="BB382" i="27"/>
  <c r="BC381" i="27"/>
  <c r="BB381" i="27"/>
  <c r="BC380" i="27"/>
  <c r="BB380" i="27"/>
  <c r="BC379" i="27"/>
  <c r="BB379" i="27"/>
  <c r="BC378" i="27"/>
  <c r="BB378" i="27"/>
  <c r="BC377" i="27"/>
  <c r="BB377" i="27"/>
  <c r="BC376" i="27"/>
  <c r="BB376" i="27"/>
  <c r="BC375" i="27"/>
  <c r="BB375" i="27"/>
  <c r="BC374" i="27"/>
  <c r="BB374" i="27"/>
  <c r="BC373" i="27"/>
  <c r="BB373" i="27"/>
  <c r="BC372" i="27"/>
  <c r="BB372" i="27"/>
  <c r="BC371" i="27"/>
  <c r="BB371" i="27"/>
  <c r="BC370" i="27"/>
  <c r="BB370" i="27"/>
  <c r="E57" i="27"/>
  <c r="E146" i="40" s="1"/>
  <c r="E56" i="27"/>
  <c r="E145" i="40" s="1"/>
  <c r="E55" i="27"/>
  <c r="E144" i="40" s="1"/>
  <c r="E54" i="27"/>
  <c r="E143" i="40" s="1"/>
  <c r="E53" i="27"/>
  <c r="E142" i="40" s="1"/>
  <c r="E52" i="27"/>
  <c r="E141" i="40" s="1"/>
  <c r="E51" i="27"/>
  <c r="E140" i="40" s="1"/>
  <c r="E50" i="27"/>
  <c r="E139" i="40" s="1"/>
  <c r="E49" i="27"/>
  <c r="E138" i="40" s="1"/>
  <c r="E48" i="27"/>
  <c r="E137" i="40" s="1"/>
  <c r="E47" i="27"/>
  <c r="E136" i="40" s="1"/>
  <c r="E46" i="27"/>
  <c r="E135" i="40" s="1"/>
  <c r="E45" i="27"/>
  <c r="E134" i="40" s="1"/>
  <c r="E44" i="27"/>
  <c r="E133" i="40" s="1"/>
  <c r="E43" i="27"/>
  <c r="E132" i="40" s="1"/>
  <c r="E42" i="27"/>
  <c r="E131" i="40" s="1"/>
  <c r="E41" i="27"/>
  <c r="E130" i="40" s="1"/>
  <c r="E40" i="27"/>
  <c r="E129" i="40" s="1"/>
  <c r="E39" i="27"/>
  <c r="E128" i="40" s="1"/>
  <c r="E38" i="27"/>
  <c r="E127" i="40" s="1"/>
  <c r="E37" i="27"/>
  <c r="E126" i="40" s="1"/>
  <c r="E36" i="27"/>
  <c r="E125" i="40" s="1"/>
  <c r="E35" i="27"/>
  <c r="E124" i="40" s="1"/>
  <c r="E34" i="27"/>
  <c r="E123" i="40" s="1"/>
  <c r="E33" i="27"/>
  <c r="E122" i="40" s="1"/>
  <c r="E32" i="27"/>
  <c r="E121" i="40" s="1"/>
  <c r="E31" i="27"/>
  <c r="E120" i="40" s="1"/>
  <c r="E30" i="27"/>
  <c r="E119" i="40" s="1"/>
  <c r="E29" i="27"/>
  <c r="E118" i="40" s="1"/>
  <c r="E28" i="27"/>
  <c r="E117" i="40" s="1"/>
  <c r="E27" i="27"/>
  <c r="E116" i="40" s="1"/>
  <c r="E26" i="27"/>
  <c r="E115" i="40" s="1"/>
  <c r="E25" i="27"/>
  <c r="E114" i="40" s="1"/>
  <c r="E24" i="27"/>
  <c r="E113" i="40" s="1"/>
  <c r="E23" i="27"/>
  <c r="E112" i="40" s="1"/>
  <c r="E22" i="27"/>
  <c r="E111" i="40" s="1"/>
  <c r="E21" i="27"/>
  <c r="E110" i="40" s="1"/>
  <c r="E20" i="27"/>
  <c r="E109" i="40" s="1"/>
  <c r="E19" i="27"/>
  <c r="E108" i="40" s="1"/>
  <c r="E18" i="27"/>
  <c r="E107" i="40" s="1"/>
  <c r="E17" i="27"/>
  <c r="E106" i="40" s="1"/>
  <c r="E16" i="27"/>
  <c r="E105" i="40" s="1"/>
  <c r="E15" i="27"/>
  <c r="E104" i="40" s="1"/>
  <c r="E14" i="27"/>
  <c r="E103" i="40" s="1"/>
  <c r="E13" i="27"/>
  <c r="E102" i="40" s="1"/>
  <c r="E12" i="27"/>
  <c r="E101" i="40" s="1"/>
  <c r="E11" i="27"/>
  <c r="E100" i="40" s="1"/>
  <c r="E10" i="27"/>
  <c r="E99" i="40" s="1"/>
  <c r="E9" i="27"/>
  <c r="E98" i="40" s="1"/>
  <c r="E8" i="27"/>
  <c r="E97" i="40" s="1"/>
  <c r="I15" i="40" l="1"/>
  <c r="E454" i="14" a="1"/>
  <c r="E454" i="14" s="1"/>
  <c r="E453" i="14" a="1"/>
  <c r="E453" i="14" s="1"/>
  <c r="E452" i="14" a="1"/>
  <c r="E452" i="14" s="1"/>
  <c r="E451" i="14" a="1"/>
  <c r="E451" i="14" s="1"/>
  <c r="E450" i="14" a="1"/>
  <c r="E450" i="14" s="1"/>
  <c r="E449" i="14" a="1"/>
  <c r="E449" i="14" s="1"/>
  <c r="E448" i="14" a="1"/>
  <c r="E448" i="14" s="1"/>
  <c r="E447" i="14" a="1"/>
  <c r="E447" i="14" s="1"/>
  <c r="E446" i="14" a="1"/>
  <c r="E446" i="14" s="1"/>
  <c r="E445" i="14" a="1"/>
  <c r="E445" i="14" s="1"/>
  <c r="E444" i="14" a="1"/>
  <c r="E444" i="14" s="1"/>
  <c r="E443" i="14" a="1"/>
  <c r="E443" i="14" s="1"/>
  <c r="E442" i="14" a="1"/>
  <c r="E442" i="14" s="1"/>
  <c r="E441" i="14" a="1"/>
  <c r="E441" i="14" s="1"/>
  <c r="E440" i="14" a="1"/>
  <c r="E440" i="14" s="1"/>
  <c r="E439" i="14" a="1"/>
  <c r="E439" i="14" s="1"/>
  <c r="E438" i="14" a="1"/>
  <c r="E438" i="14" s="1"/>
  <c r="E437" i="14" a="1"/>
  <c r="E437" i="14" s="1"/>
  <c r="E436" i="14" a="1"/>
  <c r="E436" i="14" s="1"/>
  <c r="E435" i="14" a="1"/>
  <c r="E435" i="14" s="1"/>
  <c r="E434" i="14" a="1"/>
  <c r="E434" i="14" s="1"/>
  <c r="E433" i="14" a="1"/>
  <c r="E433" i="14" s="1"/>
  <c r="E432" i="14" a="1"/>
  <c r="E432" i="14" s="1"/>
  <c r="E431" i="14" a="1"/>
  <c r="E431" i="14" s="1"/>
  <c r="E430" i="14" a="1"/>
  <c r="E430" i="14" s="1"/>
  <c r="E429" i="14" a="1"/>
  <c r="E429" i="14" s="1"/>
  <c r="E428" i="14" a="1"/>
  <c r="E428" i="14" s="1"/>
  <c r="E427" i="14" a="1"/>
  <c r="E427" i="14" s="1"/>
  <c r="E426" i="14" a="1"/>
  <c r="E426" i="14" s="1"/>
  <c r="E425" i="14" a="1"/>
  <c r="E425" i="14" s="1"/>
  <c r="E424" i="14" a="1"/>
  <c r="E424" i="14" s="1"/>
  <c r="E423" i="14" a="1"/>
  <c r="E423" i="14" s="1"/>
  <c r="E422" i="14" a="1"/>
  <c r="E422" i="14" s="1"/>
  <c r="E421" i="14" a="1"/>
  <c r="E421" i="14" s="1"/>
  <c r="E420" i="14" a="1"/>
  <c r="E420" i="14" s="1"/>
  <c r="E419" i="14" a="1"/>
  <c r="E419" i="14" s="1"/>
  <c r="E418" i="14" a="1"/>
  <c r="E418" i="14" s="1"/>
  <c r="E417" i="14" a="1"/>
  <c r="E417" i="14" s="1"/>
  <c r="E416" i="14" a="1"/>
  <c r="E416" i="14" s="1"/>
  <c r="E415" i="14" a="1"/>
  <c r="E415" i="14" s="1"/>
  <c r="E414" i="14" a="1"/>
  <c r="E414" i="14" s="1"/>
  <c r="E413" i="14" a="1"/>
  <c r="E413" i="14" s="1"/>
  <c r="E412" i="14" a="1"/>
  <c r="E412" i="14" s="1"/>
  <c r="E411" i="14" a="1"/>
  <c r="E411" i="14" s="1"/>
  <c r="E410" i="14" a="1"/>
  <c r="E410" i="14" s="1"/>
  <c r="E409" i="14" a="1"/>
  <c r="E409" i="14" s="1"/>
  <c r="E408" i="14" a="1"/>
  <c r="E408" i="14" s="1"/>
  <c r="E407" i="14" a="1"/>
  <c r="E407" i="14" s="1"/>
  <c r="E406" i="14" a="1"/>
  <c r="E406" i="14" s="1"/>
  <c r="E405" i="14" a="1"/>
  <c r="E405" i="14" s="1"/>
  <c r="E404" i="14" a="1"/>
  <c r="E404" i="14" s="1"/>
  <c r="E403" i="14" a="1"/>
  <c r="E403" i="14" s="1"/>
  <c r="E402" i="14" a="1"/>
  <c r="E402" i="14" s="1"/>
  <c r="E401" i="14" a="1"/>
  <c r="E401" i="14" s="1"/>
  <c r="E400" i="14" a="1"/>
  <c r="E400" i="14" s="1"/>
  <c r="E399" i="14" a="1"/>
  <c r="E399" i="14" s="1"/>
  <c r="E398" i="14" a="1"/>
  <c r="E398" i="14" s="1"/>
  <c r="E397" i="14" a="1"/>
  <c r="E397" i="14" s="1"/>
  <c r="E396" i="14" a="1"/>
  <c r="E396" i="14" s="1"/>
  <c r="E395" i="14" a="1"/>
  <c r="E395" i="14" s="1"/>
  <c r="E394" i="14" a="1"/>
  <c r="E394" i="14" s="1"/>
  <c r="E393" i="14" a="1"/>
  <c r="E393" i="14" s="1"/>
  <c r="E392" i="14" a="1"/>
  <c r="E392" i="14" s="1"/>
  <c r="E391" i="14" a="1"/>
  <c r="E391" i="14" s="1"/>
  <c r="E390" i="14" a="1"/>
  <c r="E390" i="14" s="1"/>
  <c r="E389" i="14" a="1"/>
  <c r="E389" i="14" s="1"/>
  <c r="E388" i="14" a="1"/>
  <c r="E388" i="14" s="1"/>
  <c r="E387" i="14" a="1"/>
  <c r="E387" i="14" s="1"/>
  <c r="E386" i="14" a="1"/>
  <c r="E386" i="14" s="1"/>
  <c r="E385" i="14" a="1"/>
  <c r="E385" i="14" s="1"/>
  <c r="E384" i="14" a="1"/>
  <c r="E384" i="14" s="1"/>
  <c r="E383" i="14" a="1"/>
  <c r="E383" i="14" s="1"/>
  <c r="E382" i="14" a="1"/>
  <c r="E382" i="14" s="1"/>
  <c r="E381" i="14" a="1"/>
  <c r="E381" i="14" s="1"/>
  <c r="E380" i="14" a="1"/>
  <c r="E380" i="14" s="1"/>
  <c r="E379" i="14" a="1"/>
  <c r="E379" i="14" s="1"/>
  <c r="E378" i="14" a="1"/>
  <c r="E378" i="14" s="1"/>
  <c r="E377" i="14" a="1"/>
  <c r="E377" i="14" s="1"/>
  <c r="E376" i="14" a="1"/>
  <c r="E376" i="14" s="1"/>
  <c r="E375" i="14" a="1"/>
  <c r="E375" i="14" s="1"/>
  <c r="E374" i="14" a="1"/>
  <c r="E374" i="14" s="1"/>
  <c r="E373" i="14" a="1"/>
  <c r="E373" i="14" s="1"/>
  <c r="E372" i="14" a="1"/>
  <c r="E372" i="14" s="1"/>
  <c r="E371" i="14" a="1"/>
  <c r="E371" i="14" s="1"/>
  <c r="E370" i="14" a="1"/>
  <c r="E370" i="14" s="1"/>
  <c r="E369" i="14" a="1"/>
  <c r="E369" i="14" s="1"/>
  <c r="E368" i="14" a="1"/>
  <c r="E368" i="14" s="1"/>
  <c r="E367" i="14" a="1"/>
  <c r="E367" i="14" s="1"/>
  <c r="E366" i="14" a="1"/>
  <c r="E366" i="14" s="1"/>
  <c r="E365" i="14" a="1"/>
  <c r="E365" i="14" s="1"/>
  <c r="E364" i="14" a="1"/>
  <c r="E364" i="14" s="1"/>
  <c r="E363" i="14" a="1"/>
  <c r="E363" i="14" s="1"/>
  <c r="E362" i="14" a="1"/>
  <c r="E362" i="14" s="1"/>
  <c r="E361" i="14" a="1"/>
  <c r="E361" i="14" s="1"/>
  <c r="E360" i="14" a="1"/>
  <c r="E360" i="14" s="1"/>
  <c r="E359" i="14" a="1"/>
  <c r="E359" i="14" s="1"/>
  <c r="E358" i="14" a="1"/>
  <c r="E358" i="14" s="1"/>
  <c r="E357" i="14" a="1"/>
  <c r="E357" i="14" s="1"/>
  <c r="E356" i="14" a="1"/>
  <c r="E356" i="14" s="1"/>
  <c r="E355" i="14" a="1"/>
  <c r="E355" i="14" s="1"/>
  <c r="E354" i="14" a="1"/>
  <c r="E354" i="14" s="1"/>
  <c r="E353" i="14" a="1"/>
  <c r="E353" i="14" s="1"/>
  <c r="E352" i="14" a="1"/>
  <c r="E352" i="14" s="1"/>
  <c r="E351" i="14" a="1"/>
  <c r="E351" i="14" s="1"/>
  <c r="E350" i="14" a="1"/>
  <c r="E350" i="14" s="1"/>
  <c r="E349" i="14" a="1"/>
  <c r="E349" i="14" s="1"/>
  <c r="E348" i="14" a="1"/>
  <c r="E348" i="14" s="1"/>
  <c r="E347" i="14" a="1"/>
  <c r="E347" i="14" s="1"/>
  <c r="E346" i="14" a="1"/>
  <c r="E346" i="14" s="1"/>
  <c r="E345" i="14" a="1"/>
  <c r="E345" i="14" s="1"/>
  <c r="E344" i="14" a="1"/>
  <c r="E344" i="14" s="1"/>
  <c r="E343" i="14" a="1"/>
  <c r="E343" i="14" s="1"/>
  <c r="E342" i="14" a="1"/>
  <c r="E342" i="14" s="1"/>
  <c r="E341" i="14" a="1"/>
  <c r="E341" i="14" s="1"/>
  <c r="E340" i="14" a="1"/>
  <c r="E340" i="14" s="1"/>
  <c r="E339" i="14" a="1"/>
  <c r="E339" i="14" s="1"/>
  <c r="E338" i="14" a="1"/>
  <c r="E338" i="14" s="1"/>
  <c r="E337" i="14" a="1"/>
  <c r="E337" i="14" s="1"/>
  <c r="E336" i="14" a="1"/>
  <c r="E336" i="14" s="1"/>
  <c r="E335" i="14" a="1"/>
  <c r="E335" i="14" s="1"/>
  <c r="E334" i="14" a="1"/>
  <c r="E334" i="14" s="1"/>
  <c r="E333" i="14" a="1"/>
  <c r="E333" i="14" s="1"/>
  <c r="E332" i="14" a="1"/>
  <c r="E332" i="14" s="1"/>
  <c r="E331" i="14" a="1"/>
  <c r="E331" i="14" s="1"/>
  <c r="E330" i="14" a="1"/>
  <c r="E330" i="14" s="1"/>
  <c r="E329" i="14" a="1"/>
  <c r="E329" i="14" s="1"/>
  <c r="E328" i="14" a="1"/>
  <c r="E328" i="14" s="1"/>
  <c r="E327" i="14" a="1"/>
  <c r="E327" i="14" s="1"/>
  <c r="E326" i="14" a="1"/>
  <c r="E326" i="14" s="1"/>
  <c r="E325" i="14" a="1"/>
  <c r="E325" i="14" s="1"/>
  <c r="E324" i="14" a="1"/>
  <c r="E324" i="14" s="1"/>
  <c r="E323" i="14" a="1"/>
  <c r="E323" i="14" s="1"/>
  <c r="E322" i="14" a="1"/>
  <c r="E322" i="14" s="1"/>
  <c r="E321" i="14" a="1"/>
  <c r="E321" i="14" s="1"/>
  <c r="E320" i="14" a="1"/>
  <c r="E320" i="14" s="1"/>
  <c r="E319" i="14" a="1"/>
  <c r="E319" i="14" s="1"/>
  <c r="E318" i="14" a="1"/>
  <c r="E318" i="14" s="1"/>
  <c r="E317" i="14" a="1"/>
  <c r="E317" i="14" s="1"/>
  <c r="E316" i="14" a="1"/>
  <c r="E316" i="14" s="1"/>
  <c r="E315" i="14" a="1"/>
  <c r="E315" i="14" s="1"/>
  <c r="E314" i="14" a="1"/>
  <c r="E314" i="14" s="1"/>
  <c r="E313" i="14" a="1"/>
  <c r="E313" i="14" s="1"/>
  <c r="E312" i="14" a="1"/>
  <c r="E312" i="14" s="1"/>
  <c r="E311" i="14" a="1"/>
  <c r="E311" i="14" s="1"/>
  <c r="E310" i="14" a="1"/>
  <c r="E310" i="14" s="1"/>
  <c r="E309" i="14" a="1"/>
  <c r="E309" i="14" s="1"/>
  <c r="E308" i="14" a="1"/>
  <c r="E308" i="14" s="1"/>
  <c r="E307" i="14" a="1"/>
  <c r="E307" i="14" s="1"/>
  <c r="E306" i="14" a="1"/>
  <c r="E306" i="14" s="1"/>
  <c r="E305" i="14" a="1"/>
  <c r="E305" i="14" s="1"/>
  <c r="E304" i="14" a="1"/>
  <c r="E304" i="14" s="1"/>
  <c r="E303" i="14" a="1"/>
  <c r="E303" i="14" s="1"/>
  <c r="E302" i="14" a="1"/>
  <c r="E302" i="14" s="1"/>
  <c r="E301" i="14" a="1"/>
  <c r="E301" i="14" s="1"/>
  <c r="E300" i="14" a="1"/>
  <c r="E300" i="14" s="1"/>
  <c r="E299" i="14" a="1"/>
  <c r="E299" i="14" s="1"/>
  <c r="E298" i="14" a="1"/>
  <c r="E298" i="14" s="1"/>
  <c r="E297" i="14" a="1"/>
  <c r="E297" i="14" s="1"/>
  <c r="E296" i="14" a="1"/>
  <c r="E296" i="14" s="1"/>
  <c r="E295" i="14" a="1"/>
  <c r="E295" i="14" s="1"/>
  <c r="E294" i="14" a="1"/>
  <c r="E294" i="14" s="1"/>
  <c r="E293" i="14" a="1"/>
  <c r="E293" i="14" s="1"/>
  <c r="E292" i="14" a="1"/>
  <c r="E292" i="14" s="1"/>
  <c r="E291" i="14" a="1"/>
  <c r="E291" i="14" s="1"/>
  <c r="E290" i="14" a="1"/>
  <c r="E290" i="14" s="1"/>
  <c r="E289" i="14" a="1"/>
  <c r="E289" i="14" s="1"/>
  <c r="E288" i="14" a="1"/>
  <c r="E288" i="14" s="1"/>
  <c r="E287" i="14" a="1"/>
  <c r="E287" i="14" s="1"/>
  <c r="E286" i="14" a="1"/>
  <c r="E286" i="14" s="1"/>
  <c r="E285" i="14" a="1"/>
  <c r="E285" i="14" s="1"/>
  <c r="E284" i="14" a="1"/>
  <c r="E284" i="14" s="1"/>
  <c r="E283" i="14" a="1"/>
  <c r="E283" i="14" s="1"/>
  <c r="E282" i="14" a="1"/>
  <c r="E282" i="14" s="1"/>
  <c r="E281" i="14" a="1"/>
  <c r="E281" i="14" s="1"/>
  <c r="E280" i="14" a="1"/>
  <c r="E280" i="14" s="1"/>
  <c r="E279" i="14" a="1"/>
  <c r="E279" i="14" s="1"/>
  <c r="E278" i="14" a="1"/>
  <c r="E278" i="14" s="1"/>
  <c r="E277" i="14" a="1"/>
  <c r="E277" i="14" s="1"/>
  <c r="E276" i="14" a="1"/>
  <c r="E276" i="14" s="1"/>
  <c r="E275" i="14" a="1"/>
  <c r="E275" i="14" s="1"/>
  <c r="E274" i="14" a="1"/>
  <c r="E274" i="14" s="1"/>
  <c r="E273" i="14" a="1"/>
  <c r="E273" i="14" s="1"/>
  <c r="E272" i="14" a="1"/>
  <c r="E272" i="14" s="1"/>
  <c r="E271" i="14" a="1"/>
  <c r="E271" i="14" s="1"/>
  <c r="E270" i="14" a="1"/>
  <c r="E270" i="14" s="1"/>
  <c r="E269" i="14" a="1"/>
  <c r="E269" i="14" s="1"/>
  <c r="E268" i="14" a="1"/>
  <c r="E268" i="14" s="1"/>
  <c r="E267" i="14" a="1"/>
  <c r="E267" i="14" s="1"/>
  <c r="E266" i="14" a="1"/>
  <c r="E266" i="14" s="1"/>
  <c r="E265" i="14" a="1"/>
  <c r="E265" i="14" s="1"/>
  <c r="E264" i="14" a="1"/>
  <c r="E264" i="14" s="1"/>
  <c r="E263" i="14" a="1"/>
  <c r="E263" i="14" s="1"/>
  <c r="E262" i="14" a="1"/>
  <c r="E262" i="14" s="1"/>
  <c r="E261" i="14" a="1"/>
  <c r="E261" i="14" s="1"/>
  <c r="E260" i="14" a="1"/>
  <c r="E260" i="14" s="1"/>
  <c r="E259" i="14" a="1"/>
  <c r="E259" i="14" s="1"/>
  <c r="E258" i="14" a="1"/>
  <c r="E258" i="14" s="1"/>
  <c r="E257" i="14" a="1"/>
  <c r="E257" i="14" s="1"/>
  <c r="E256" i="14" a="1"/>
  <c r="E256" i="14" s="1"/>
  <c r="E255" i="14" a="1"/>
  <c r="E255" i="14" s="1"/>
  <c r="E254" i="14" a="1"/>
  <c r="E254" i="14" s="1"/>
  <c r="E253" i="14" a="1"/>
  <c r="E253" i="14" s="1"/>
  <c r="E252" i="14" a="1"/>
  <c r="E252" i="14" s="1"/>
  <c r="E251" i="14" a="1"/>
  <c r="E251" i="14" s="1"/>
  <c r="E250" i="14" a="1"/>
  <c r="E250" i="14" s="1"/>
  <c r="E249" i="14" a="1"/>
  <c r="E249" i="14" s="1"/>
  <c r="E248" i="14" a="1"/>
  <c r="E248" i="14" s="1"/>
  <c r="E247" i="14" a="1"/>
  <c r="E247" i="14" s="1"/>
  <c r="E246" i="14" a="1"/>
  <c r="E246" i="14" s="1"/>
  <c r="E245" i="14" a="1"/>
  <c r="E245" i="14" s="1"/>
  <c r="E244" i="14" a="1"/>
  <c r="E244" i="14" s="1"/>
  <c r="E243" i="14" a="1"/>
  <c r="E243" i="14" s="1"/>
  <c r="E242" i="14" a="1"/>
  <c r="E242" i="14" s="1"/>
  <c r="E241" i="14" a="1"/>
  <c r="E241" i="14" s="1"/>
  <c r="E240" i="14" a="1"/>
  <c r="E240" i="14" s="1"/>
  <c r="E239" i="14" a="1"/>
  <c r="E239" i="14" s="1"/>
  <c r="E238" i="14" a="1"/>
  <c r="E238" i="14" s="1"/>
  <c r="E237" i="14" a="1"/>
  <c r="E237" i="14" s="1"/>
  <c r="E236" i="14" a="1"/>
  <c r="E236" i="14" s="1"/>
  <c r="E235" i="14" a="1"/>
  <c r="E235" i="14" s="1"/>
  <c r="E234" i="14" a="1"/>
  <c r="E234" i="14" s="1"/>
  <c r="E233" i="14" a="1"/>
  <c r="E233" i="14" s="1"/>
  <c r="E232" i="14" a="1"/>
  <c r="E232" i="14" s="1"/>
  <c r="E231" i="14" a="1"/>
  <c r="E231" i="14" s="1"/>
  <c r="E230" i="14" a="1"/>
  <c r="E230" i="14" s="1"/>
  <c r="E229" i="14" a="1"/>
  <c r="E229" i="14" s="1"/>
  <c r="E228" i="14" a="1"/>
  <c r="E228" i="14" s="1"/>
  <c r="E227" i="14" a="1"/>
  <c r="E227" i="14" s="1"/>
  <c r="E226" i="14" a="1"/>
  <c r="E226" i="14" s="1"/>
  <c r="E225" i="14" a="1"/>
  <c r="E225" i="14" s="1"/>
  <c r="E224" i="14" a="1"/>
  <c r="E224" i="14" s="1"/>
  <c r="E223" i="14" a="1"/>
  <c r="E223" i="14" s="1"/>
  <c r="E222" i="14" a="1"/>
  <c r="E222" i="14" s="1"/>
  <c r="E221" i="14" a="1"/>
  <c r="E221" i="14" s="1"/>
  <c r="E220" i="14" a="1"/>
  <c r="E220" i="14" s="1"/>
  <c r="E219" i="14" a="1"/>
  <c r="E219" i="14" s="1"/>
  <c r="E218" i="14" a="1"/>
  <c r="E218" i="14" s="1"/>
  <c r="E217" i="14" a="1"/>
  <c r="E217" i="14" s="1"/>
  <c r="E216" i="14" a="1"/>
  <c r="E216" i="14" s="1"/>
  <c r="E215" i="14" a="1"/>
  <c r="E215" i="14" s="1"/>
  <c r="E214" i="14" a="1"/>
  <c r="E214" i="14" s="1"/>
  <c r="E213" i="14" a="1"/>
  <c r="E213" i="14" s="1"/>
  <c r="E212" i="14" a="1"/>
  <c r="E212" i="14" s="1"/>
  <c r="E211" i="14" a="1"/>
  <c r="E211" i="14" s="1"/>
  <c r="E210" i="14" a="1"/>
  <c r="E210" i="14" s="1"/>
  <c r="E209" i="14" a="1"/>
  <c r="E209" i="14" s="1"/>
  <c r="E208" i="14" a="1"/>
  <c r="E208" i="14" s="1"/>
  <c r="E207" i="14" a="1"/>
  <c r="E207" i="14" s="1"/>
  <c r="E206" i="14" a="1"/>
  <c r="E206" i="14" s="1"/>
  <c r="E202" i="35"/>
  <c r="E201" i="35"/>
  <c r="E200" i="35"/>
  <c r="E199" i="35"/>
  <c r="E198" i="35"/>
  <c r="E197" i="35"/>
  <c r="E196" i="35"/>
  <c r="E195" i="35"/>
  <c r="E194" i="35"/>
  <c r="E193" i="35"/>
  <c r="E192" i="35"/>
  <c r="E191" i="35"/>
  <c r="E190" i="35"/>
  <c r="E189" i="35"/>
  <c r="E188" i="35"/>
  <c r="E187" i="35"/>
  <c r="E186" i="35"/>
  <c r="E185" i="35"/>
  <c r="E184" i="35"/>
  <c r="E183" i="35"/>
  <c r="E182" i="35"/>
  <c r="E181" i="35"/>
  <c r="E180" i="35"/>
  <c r="E179" i="35"/>
  <c r="E178" i="35"/>
  <c r="E177" i="35"/>
  <c r="E176" i="35"/>
  <c r="E175" i="35"/>
  <c r="E174" i="35"/>
  <c r="E173" i="35"/>
  <c r="E172" i="35"/>
  <c r="E171" i="35"/>
  <c r="E170" i="35"/>
  <c r="E169" i="35"/>
  <c r="E168" i="35"/>
  <c r="E167" i="35"/>
  <c r="E166" i="35"/>
  <c r="E165" i="35"/>
  <c r="E164" i="35"/>
  <c r="E163" i="35"/>
  <c r="E162" i="35"/>
  <c r="E161" i="35"/>
  <c r="E160" i="35"/>
  <c r="E159" i="35"/>
  <c r="E158" i="35"/>
  <c r="E157" i="35"/>
  <c r="E156" i="35"/>
  <c r="E155" i="35"/>
  <c r="E154" i="35"/>
  <c r="E153" i="35"/>
  <c r="E202" i="36"/>
  <c r="E201" i="36"/>
  <c r="E200" i="36"/>
  <c r="E199" i="36"/>
  <c r="E198" i="36"/>
  <c r="E197" i="36"/>
  <c r="E196" i="36"/>
  <c r="E195" i="36"/>
  <c r="E194" i="36"/>
  <c r="E193" i="36"/>
  <c r="E192" i="36"/>
  <c r="E191" i="36"/>
  <c r="E190" i="36"/>
  <c r="E189" i="36"/>
  <c r="E188" i="36"/>
  <c r="E187" i="36"/>
  <c r="E186" i="36"/>
  <c r="E185" i="36"/>
  <c r="E184" i="36"/>
  <c r="E183" i="36"/>
  <c r="E182" i="36"/>
  <c r="E181" i="36"/>
  <c r="E180" i="36"/>
  <c r="E179" i="36"/>
  <c r="E178" i="36"/>
  <c r="E177" i="36"/>
  <c r="E176" i="36"/>
  <c r="E175" i="36"/>
  <c r="E174" i="36"/>
  <c r="E173" i="36"/>
  <c r="E172" i="36"/>
  <c r="E171" i="36"/>
  <c r="E170" i="36"/>
  <c r="E169" i="36"/>
  <c r="E168" i="36"/>
  <c r="E167" i="36"/>
  <c r="E166" i="36"/>
  <c r="E165" i="36"/>
  <c r="E164" i="36"/>
  <c r="E163" i="36"/>
  <c r="E162" i="36"/>
  <c r="E161" i="36"/>
  <c r="E160" i="36"/>
  <c r="E159" i="36"/>
  <c r="E158" i="36"/>
  <c r="E157" i="36"/>
  <c r="E156" i="36"/>
  <c r="E155" i="36"/>
  <c r="E154" i="36"/>
  <c r="E153" i="36"/>
  <c r="E117" i="27" l="1"/>
  <c r="E370" i="27" s="1"/>
  <c r="E125" i="27"/>
  <c r="E378" i="27" s="1"/>
  <c r="E133" i="27"/>
  <c r="E386" i="27" s="1"/>
  <c r="E141" i="27"/>
  <c r="E394" i="27" s="1"/>
  <c r="E149" i="27"/>
  <c r="E402" i="27" s="1"/>
  <c r="E157" i="27"/>
  <c r="E410" i="27" s="1"/>
  <c r="E165" i="27"/>
  <c r="E418" i="27" s="1"/>
  <c r="E173" i="27"/>
  <c r="E426" i="27" s="1"/>
  <c r="E181" i="27"/>
  <c r="E434" i="27" s="1"/>
  <c r="E189" i="27"/>
  <c r="E442" i="27" s="1"/>
  <c r="E197" i="27"/>
  <c r="E450" i="27" s="1"/>
  <c r="E205" i="27"/>
  <c r="E458" i="27" s="1"/>
  <c r="E213" i="27"/>
  <c r="E466" i="27" s="1"/>
  <c r="E221" i="27"/>
  <c r="E474" i="27" s="1"/>
  <c r="E229" i="27"/>
  <c r="E482" i="27" s="1"/>
  <c r="E237" i="27"/>
  <c r="E490" i="27" s="1"/>
  <c r="E245" i="27"/>
  <c r="E498" i="27" s="1"/>
  <c r="E253" i="27"/>
  <c r="E506" i="27" s="1"/>
  <c r="E261" i="27"/>
  <c r="E514" i="27" s="1"/>
  <c r="E269" i="27"/>
  <c r="E522" i="27" s="1"/>
  <c r="E277" i="27"/>
  <c r="E530" i="27" s="1"/>
  <c r="E285" i="27"/>
  <c r="E538" i="27" s="1"/>
  <c r="E293" i="27"/>
  <c r="E546" i="27" s="1"/>
  <c r="E301" i="27"/>
  <c r="E554" i="27" s="1"/>
  <c r="E309" i="27"/>
  <c r="E562" i="27" s="1"/>
  <c r="E317" i="27"/>
  <c r="E570" i="27" s="1"/>
  <c r="E325" i="27"/>
  <c r="E578" i="27" s="1"/>
  <c r="E333" i="27"/>
  <c r="E586" i="27" s="1"/>
  <c r="E341" i="27"/>
  <c r="E594" i="27" s="1"/>
  <c r="E349" i="27"/>
  <c r="E602" i="27" s="1"/>
  <c r="E357" i="27"/>
  <c r="E610" i="27" s="1"/>
  <c r="E118" i="27"/>
  <c r="E371" i="27" s="1"/>
  <c r="E126" i="27"/>
  <c r="E379" i="27" s="1"/>
  <c r="E134" i="27"/>
  <c r="E387" i="27" s="1"/>
  <c r="E142" i="27"/>
  <c r="E395" i="27" s="1"/>
  <c r="E150" i="27"/>
  <c r="E403" i="27" s="1"/>
  <c r="E158" i="27"/>
  <c r="E411" i="27" s="1"/>
  <c r="E166" i="27"/>
  <c r="E419" i="27" s="1"/>
  <c r="E174" i="27"/>
  <c r="E427" i="27" s="1"/>
  <c r="E182" i="27"/>
  <c r="E435" i="27" s="1"/>
  <c r="E190" i="27"/>
  <c r="E443" i="27" s="1"/>
  <c r="E198" i="27"/>
  <c r="E451" i="27" s="1"/>
  <c r="E206" i="27"/>
  <c r="E459" i="27" s="1"/>
  <c r="E214" i="27"/>
  <c r="E467" i="27" s="1"/>
  <c r="E222" i="27"/>
  <c r="E475" i="27" s="1"/>
  <c r="E230" i="27"/>
  <c r="E483" i="27" s="1"/>
  <c r="E238" i="27"/>
  <c r="E491" i="27" s="1"/>
  <c r="E246" i="27"/>
  <c r="E499" i="27" s="1"/>
  <c r="E254" i="27"/>
  <c r="E507" i="27" s="1"/>
  <c r="E262" i="27"/>
  <c r="E515" i="27" s="1"/>
  <c r="E270" i="27"/>
  <c r="E523" i="27" s="1"/>
  <c r="E278" i="27"/>
  <c r="E531" i="27" s="1"/>
  <c r="E286" i="27"/>
  <c r="E539" i="27" s="1"/>
  <c r="E294" i="27"/>
  <c r="E547" i="27" s="1"/>
  <c r="E302" i="27"/>
  <c r="E555" i="27" s="1"/>
  <c r="E310" i="27"/>
  <c r="E563" i="27" s="1"/>
  <c r="E318" i="27"/>
  <c r="E571" i="27" s="1"/>
  <c r="E326" i="27"/>
  <c r="E579" i="27" s="1"/>
  <c r="E334" i="27"/>
  <c r="E587" i="27" s="1"/>
  <c r="E342" i="27"/>
  <c r="E595" i="27" s="1"/>
  <c r="E350" i="27"/>
  <c r="E603" i="27" s="1"/>
  <c r="E358" i="27"/>
  <c r="E611" i="27" s="1"/>
  <c r="E119" i="27"/>
  <c r="E372" i="27" s="1"/>
  <c r="E127" i="27"/>
  <c r="E380" i="27" s="1"/>
  <c r="E135" i="27"/>
  <c r="E388" i="27" s="1"/>
  <c r="E143" i="27"/>
  <c r="E396" i="27" s="1"/>
  <c r="E151" i="27"/>
  <c r="E404" i="27" s="1"/>
  <c r="E159" i="27"/>
  <c r="E412" i="27" s="1"/>
  <c r="E167" i="27"/>
  <c r="E420" i="27" s="1"/>
  <c r="E175" i="27"/>
  <c r="E428" i="27" s="1"/>
  <c r="E183" i="27"/>
  <c r="E436" i="27" s="1"/>
  <c r="E191" i="27"/>
  <c r="E444" i="27" s="1"/>
  <c r="E199" i="27"/>
  <c r="E452" i="27" s="1"/>
  <c r="E207" i="27"/>
  <c r="E460" i="27" s="1"/>
  <c r="E215" i="27"/>
  <c r="E468" i="27" s="1"/>
  <c r="E223" i="27"/>
  <c r="E476" i="27" s="1"/>
  <c r="E231" i="27"/>
  <c r="E484" i="27" s="1"/>
  <c r="E239" i="27"/>
  <c r="E492" i="27" s="1"/>
  <c r="E247" i="27"/>
  <c r="E500" i="27" s="1"/>
  <c r="E255" i="27"/>
  <c r="E508" i="27" s="1"/>
  <c r="E263" i="27"/>
  <c r="E516" i="27" s="1"/>
  <c r="E271" i="27"/>
  <c r="E524" i="27" s="1"/>
  <c r="E279" i="27"/>
  <c r="E532" i="27" s="1"/>
  <c r="E287" i="27"/>
  <c r="E540" i="27" s="1"/>
  <c r="E295" i="27"/>
  <c r="E548" i="27" s="1"/>
  <c r="E303" i="27"/>
  <c r="E556" i="27" s="1"/>
  <c r="E311" i="27"/>
  <c r="E564" i="27" s="1"/>
  <c r="E319" i="27"/>
  <c r="E572" i="27" s="1"/>
  <c r="E327" i="27"/>
  <c r="E580" i="27" s="1"/>
  <c r="E335" i="27"/>
  <c r="E588" i="27" s="1"/>
  <c r="E343" i="27"/>
  <c r="E596" i="27" s="1"/>
  <c r="E351" i="27"/>
  <c r="E604" i="27" s="1"/>
  <c r="E359" i="27"/>
  <c r="E612" i="27" s="1"/>
  <c r="E120" i="27"/>
  <c r="E373" i="27" s="1"/>
  <c r="E128" i="27"/>
  <c r="E381" i="27" s="1"/>
  <c r="E136" i="27"/>
  <c r="E389" i="27" s="1"/>
  <c r="E144" i="27"/>
  <c r="E397" i="27" s="1"/>
  <c r="E152" i="27"/>
  <c r="E405" i="27" s="1"/>
  <c r="E160" i="27"/>
  <c r="E413" i="27" s="1"/>
  <c r="E168" i="27"/>
  <c r="E421" i="27" s="1"/>
  <c r="E176" i="27"/>
  <c r="E429" i="27" s="1"/>
  <c r="E184" i="27"/>
  <c r="E437" i="27" s="1"/>
  <c r="E192" i="27"/>
  <c r="E445" i="27" s="1"/>
  <c r="E200" i="27"/>
  <c r="E453" i="27" s="1"/>
  <c r="E208" i="27"/>
  <c r="E461" i="27" s="1"/>
  <c r="E216" i="27"/>
  <c r="E469" i="27" s="1"/>
  <c r="E224" i="27"/>
  <c r="E477" i="27" s="1"/>
  <c r="E232" i="27"/>
  <c r="E485" i="27" s="1"/>
  <c r="E240" i="27"/>
  <c r="E493" i="27" s="1"/>
  <c r="E248" i="27"/>
  <c r="E501" i="27" s="1"/>
  <c r="E256" i="27"/>
  <c r="E509" i="27" s="1"/>
  <c r="E264" i="27"/>
  <c r="E517" i="27" s="1"/>
  <c r="E272" i="27"/>
  <c r="E525" i="27" s="1"/>
  <c r="E280" i="27"/>
  <c r="E533" i="27" s="1"/>
  <c r="E288" i="27"/>
  <c r="E541" i="27" s="1"/>
  <c r="E296" i="27"/>
  <c r="E549" i="27" s="1"/>
  <c r="E304" i="27"/>
  <c r="E557" i="27" s="1"/>
  <c r="E312" i="27"/>
  <c r="E565" i="27" s="1"/>
  <c r="E320" i="27"/>
  <c r="E573" i="27" s="1"/>
  <c r="E328" i="27"/>
  <c r="E581" i="27" s="1"/>
  <c r="E336" i="27"/>
  <c r="E589" i="27" s="1"/>
  <c r="E344" i="27"/>
  <c r="E597" i="27" s="1"/>
  <c r="E352" i="27"/>
  <c r="E605" i="27" s="1"/>
  <c r="E360" i="27"/>
  <c r="E613" i="27" s="1"/>
  <c r="E113" i="27"/>
  <c r="E366" i="27" s="1"/>
  <c r="E121" i="27"/>
  <c r="E374" i="27" s="1"/>
  <c r="E129" i="27"/>
  <c r="E382" i="27" s="1"/>
  <c r="E137" i="27"/>
  <c r="E390" i="27" s="1"/>
  <c r="E145" i="27"/>
  <c r="E398" i="27" s="1"/>
  <c r="E153" i="27"/>
  <c r="E406" i="27" s="1"/>
  <c r="E161" i="27"/>
  <c r="E414" i="27" s="1"/>
  <c r="E169" i="27"/>
  <c r="E422" i="27" s="1"/>
  <c r="E177" i="27"/>
  <c r="E430" i="27" s="1"/>
  <c r="E185" i="27"/>
  <c r="E438" i="27" s="1"/>
  <c r="E193" i="27"/>
  <c r="E446" i="27" s="1"/>
  <c r="E201" i="27"/>
  <c r="E454" i="27" s="1"/>
  <c r="E209" i="27"/>
  <c r="E462" i="27" s="1"/>
  <c r="E217" i="27"/>
  <c r="E470" i="27" s="1"/>
  <c r="E225" i="27"/>
  <c r="E478" i="27" s="1"/>
  <c r="E233" i="27"/>
  <c r="E486" i="27" s="1"/>
  <c r="E241" i="27"/>
  <c r="E494" i="27" s="1"/>
  <c r="E249" i="27"/>
  <c r="E502" i="27" s="1"/>
  <c r="E257" i="27"/>
  <c r="E510" i="27" s="1"/>
  <c r="E265" i="27"/>
  <c r="E518" i="27" s="1"/>
  <c r="E273" i="27"/>
  <c r="E526" i="27" s="1"/>
  <c r="E281" i="27"/>
  <c r="E534" i="27" s="1"/>
  <c r="E289" i="27"/>
  <c r="E542" i="27" s="1"/>
  <c r="E297" i="27"/>
  <c r="E550" i="27" s="1"/>
  <c r="E305" i="27"/>
  <c r="E558" i="27" s="1"/>
  <c r="E313" i="27"/>
  <c r="E566" i="27" s="1"/>
  <c r="E321" i="27"/>
  <c r="E574" i="27" s="1"/>
  <c r="E329" i="27"/>
  <c r="E582" i="27" s="1"/>
  <c r="E337" i="27"/>
  <c r="E590" i="27" s="1"/>
  <c r="E345" i="27"/>
  <c r="E598" i="27" s="1"/>
  <c r="E353" i="27"/>
  <c r="E606" i="27" s="1"/>
  <c r="E361" i="27"/>
  <c r="E614" i="27" s="1"/>
  <c r="E114" i="27"/>
  <c r="E367" i="27" s="1"/>
  <c r="E122" i="27"/>
  <c r="E375" i="27" s="1"/>
  <c r="E130" i="27"/>
  <c r="E383" i="27" s="1"/>
  <c r="E138" i="27"/>
  <c r="E391" i="27" s="1"/>
  <c r="E146" i="27"/>
  <c r="E399" i="27" s="1"/>
  <c r="E154" i="27"/>
  <c r="E407" i="27" s="1"/>
  <c r="E162" i="27"/>
  <c r="E415" i="27" s="1"/>
  <c r="E170" i="27"/>
  <c r="E423" i="27" s="1"/>
  <c r="E178" i="27"/>
  <c r="E431" i="27" s="1"/>
  <c r="E186" i="27"/>
  <c r="E439" i="27" s="1"/>
  <c r="E194" i="27"/>
  <c r="E447" i="27" s="1"/>
  <c r="E202" i="27"/>
  <c r="E455" i="27" s="1"/>
  <c r="E210" i="27"/>
  <c r="E463" i="27" s="1"/>
  <c r="E218" i="27"/>
  <c r="E471" i="27" s="1"/>
  <c r="E226" i="27"/>
  <c r="E479" i="27" s="1"/>
  <c r="E234" i="27"/>
  <c r="E487" i="27" s="1"/>
  <c r="E242" i="27"/>
  <c r="E495" i="27" s="1"/>
  <c r="E250" i="27"/>
  <c r="E503" i="27" s="1"/>
  <c r="E258" i="27"/>
  <c r="E511" i="27" s="1"/>
  <c r="E266" i="27"/>
  <c r="E519" i="27" s="1"/>
  <c r="E274" i="27"/>
  <c r="E527" i="27" s="1"/>
  <c r="E282" i="27"/>
  <c r="E535" i="27" s="1"/>
  <c r="E290" i="27"/>
  <c r="E543" i="27" s="1"/>
  <c r="E298" i="27"/>
  <c r="E551" i="27" s="1"/>
  <c r="E306" i="27"/>
  <c r="E559" i="27" s="1"/>
  <c r="E314" i="27"/>
  <c r="E567" i="27" s="1"/>
  <c r="E322" i="27"/>
  <c r="E575" i="27" s="1"/>
  <c r="E330" i="27"/>
  <c r="E583" i="27" s="1"/>
  <c r="E338" i="27"/>
  <c r="E591" i="27" s="1"/>
  <c r="E346" i="27"/>
  <c r="E599" i="27" s="1"/>
  <c r="E354" i="27"/>
  <c r="E607" i="27" s="1"/>
  <c r="E115" i="27"/>
  <c r="E368" i="27" s="1"/>
  <c r="E123" i="27"/>
  <c r="E376" i="27" s="1"/>
  <c r="E131" i="27"/>
  <c r="E384" i="27" s="1"/>
  <c r="E139" i="27"/>
  <c r="E392" i="27" s="1"/>
  <c r="E147" i="27"/>
  <c r="E400" i="27" s="1"/>
  <c r="E155" i="27"/>
  <c r="E408" i="27" s="1"/>
  <c r="E163" i="27"/>
  <c r="E416" i="27" s="1"/>
  <c r="E171" i="27"/>
  <c r="E424" i="27" s="1"/>
  <c r="E179" i="27"/>
  <c r="E432" i="27" s="1"/>
  <c r="E187" i="27"/>
  <c r="E440" i="27" s="1"/>
  <c r="E195" i="27"/>
  <c r="E448" i="27" s="1"/>
  <c r="E203" i="27"/>
  <c r="E456" i="27" s="1"/>
  <c r="E211" i="27"/>
  <c r="E464" i="27" s="1"/>
  <c r="E219" i="27"/>
  <c r="E472" i="27" s="1"/>
  <c r="E227" i="27"/>
  <c r="E480" i="27" s="1"/>
  <c r="E235" i="27"/>
  <c r="E488" i="27" s="1"/>
  <c r="E243" i="27"/>
  <c r="E496" i="27" s="1"/>
  <c r="E251" i="27"/>
  <c r="E504" i="27" s="1"/>
  <c r="E259" i="27"/>
  <c r="E512" i="27" s="1"/>
  <c r="E267" i="27"/>
  <c r="E520" i="27" s="1"/>
  <c r="E275" i="27"/>
  <c r="E528" i="27" s="1"/>
  <c r="E283" i="27"/>
  <c r="E536" i="27" s="1"/>
  <c r="E291" i="27"/>
  <c r="E544" i="27" s="1"/>
  <c r="E299" i="27"/>
  <c r="E552" i="27" s="1"/>
  <c r="E307" i="27"/>
  <c r="E560" i="27" s="1"/>
  <c r="E315" i="27"/>
  <c r="E568" i="27" s="1"/>
  <c r="E323" i="27"/>
  <c r="E576" i="27" s="1"/>
  <c r="E331" i="27"/>
  <c r="E584" i="27" s="1"/>
  <c r="E339" i="27"/>
  <c r="E592" i="27" s="1"/>
  <c r="E347" i="27"/>
  <c r="E600" i="27" s="1"/>
  <c r="E355" i="27"/>
  <c r="E608" i="27" s="1"/>
  <c r="E116" i="27"/>
  <c r="E369" i="27" s="1"/>
  <c r="E124" i="27"/>
  <c r="E377" i="27" s="1"/>
  <c r="E132" i="27"/>
  <c r="E385" i="27" s="1"/>
  <c r="E140" i="27"/>
  <c r="E393" i="27" s="1"/>
  <c r="E148" i="27"/>
  <c r="E401" i="27" s="1"/>
  <c r="E156" i="27"/>
  <c r="E409" i="27" s="1"/>
  <c r="E164" i="27"/>
  <c r="E417" i="27" s="1"/>
  <c r="E172" i="27"/>
  <c r="E425" i="27" s="1"/>
  <c r="E180" i="27"/>
  <c r="E433" i="27" s="1"/>
  <c r="E188" i="27"/>
  <c r="E441" i="27" s="1"/>
  <c r="E196" i="27"/>
  <c r="E449" i="27" s="1"/>
  <c r="E204" i="27"/>
  <c r="E457" i="27" s="1"/>
  <c r="E212" i="27"/>
  <c r="E465" i="27" s="1"/>
  <c r="E220" i="27"/>
  <c r="E473" i="27" s="1"/>
  <c r="E228" i="27"/>
  <c r="E481" i="27" s="1"/>
  <c r="E236" i="27"/>
  <c r="E489" i="27" s="1"/>
  <c r="E244" i="27"/>
  <c r="E497" i="27" s="1"/>
  <c r="E252" i="27"/>
  <c r="E505" i="27" s="1"/>
  <c r="E260" i="27"/>
  <c r="E513" i="27" s="1"/>
  <c r="E268" i="27"/>
  <c r="E521" i="27" s="1"/>
  <c r="E276" i="27"/>
  <c r="E529" i="27" s="1"/>
  <c r="E284" i="27"/>
  <c r="E537" i="27" s="1"/>
  <c r="E292" i="27"/>
  <c r="E545" i="27" s="1"/>
  <c r="E300" i="27"/>
  <c r="E553" i="27" s="1"/>
  <c r="E308" i="27"/>
  <c r="E561" i="27" s="1"/>
  <c r="E316" i="27"/>
  <c r="E569" i="27" s="1"/>
  <c r="E324" i="27"/>
  <c r="E577" i="27" s="1"/>
  <c r="E332" i="27"/>
  <c r="E585" i="27" s="1"/>
  <c r="E340" i="27"/>
  <c r="E593" i="27" s="1"/>
  <c r="E348" i="27"/>
  <c r="E601" i="27" s="1"/>
  <c r="E356" i="27"/>
  <c r="E609" i="27" s="1"/>
  <c r="AY59" i="27"/>
  <c r="AS66" i="40" l="1"/>
  <c r="AR66" i="40"/>
  <c r="AQ66" i="40"/>
  <c r="AP66" i="40"/>
  <c r="AO66" i="40"/>
  <c r="AN66" i="40"/>
  <c r="AM66" i="40"/>
  <c r="AL66" i="40"/>
  <c r="AK66" i="40"/>
  <c r="AJ66" i="40"/>
  <c r="AI66" i="40"/>
  <c r="AH66" i="40"/>
  <c r="AG66" i="40"/>
  <c r="AF66" i="40"/>
  <c r="AE66" i="40"/>
  <c r="AD66" i="40"/>
  <c r="AC66" i="40"/>
  <c r="AB66" i="40"/>
  <c r="AA66" i="40"/>
  <c r="Z66" i="40"/>
  <c r="Y66" i="40"/>
  <c r="X66" i="40"/>
  <c r="W66" i="40"/>
  <c r="V66" i="40"/>
  <c r="U66" i="40"/>
  <c r="T66" i="40"/>
  <c r="S66" i="40"/>
  <c r="R66" i="40"/>
  <c r="Q66" i="40"/>
  <c r="P66" i="40"/>
  <c r="O66" i="40"/>
  <c r="N66" i="40"/>
  <c r="M66" i="40"/>
  <c r="L66" i="40"/>
  <c r="K66" i="40"/>
  <c r="AT65" i="40"/>
  <c r="AS65" i="40"/>
  <c r="AR65" i="40"/>
  <c r="AQ65" i="40"/>
  <c r="AP65" i="40"/>
  <c r="AO65" i="40"/>
  <c r="AN65" i="40"/>
  <c r="AM65" i="40"/>
  <c r="AL65" i="40"/>
  <c r="AK65" i="40"/>
  <c r="AJ65" i="40"/>
  <c r="AI65" i="40"/>
  <c r="AH65" i="40"/>
  <c r="AG65" i="40"/>
  <c r="AF65" i="40"/>
  <c r="AE65" i="40"/>
  <c r="AD65" i="40"/>
  <c r="AC65" i="40"/>
  <c r="AB65" i="40"/>
  <c r="AA65" i="40"/>
  <c r="Z65" i="40"/>
  <c r="Y65" i="40"/>
  <c r="X65" i="40"/>
  <c r="W65" i="40"/>
  <c r="V65" i="40"/>
  <c r="U65" i="40"/>
  <c r="T65" i="40"/>
  <c r="S65" i="40"/>
  <c r="R65" i="40"/>
  <c r="Q65" i="40"/>
  <c r="P65" i="40"/>
  <c r="O65" i="40"/>
  <c r="N65" i="40"/>
  <c r="M65" i="40"/>
  <c r="L65" i="40"/>
  <c r="K65" i="40"/>
  <c r="AT64" i="40"/>
  <c r="AS64" i="40"/>
  <c r="AR64" i="40"/>
  <c r="AQ64" i="40"/>
  <c r="AP64" i="40"/>
  <c r="AO64" i="40"/>
  <c r="AN64" i="40"/>
  <c r="AM64" i="40"/>
  <c r="AL64" i="40"/>
  <c r="AK64" i="40"/>
  <c r="AJ64" i="40"/>
  <c r="AI64" i="40"/>
  <c r="AH64" i="40"/>
  <c r="AG64" i="40"/>
  <c r="AF64" i="40"/>
  <c r="AE64" i="40"/>
  <c r="AD64" i="40"/>
  <c r="AC64" i="40"/>
  <c r="AB64" i="40"/>
  <c r="AA64" i="40"/>
  <c r="Z64" i="40"/>
  <c r="Y64" i="40"/>
  <c r="X64" i="40"/>
  <c r="W64" i="40"/>
  <c r="V64" i="40"/>
  <c r="U64" i="40"/>
  <c r="T64" i="40"/>
  <c r="S64" i="40"/>
  <c r="R64" i="40"/>
  <c r="Q64" i="40"/>
  <c r="P64" i="40"/>
  <c r="O64" i="40"/>
  <c r="N64" i="40"/>
  <c r="M64" i="40"/>
  <c r="L64" i="40"/>
  <c r="K64" i="40"/>
  <c r="AT63" i="40"/>
  <c r="AS63" i="40"/>
  <c r="AR63" i="40"/>
  <c r="AQ63" i="40"/>
  <c r="AP63" i="40"/>
  <c r="AO63" i="40"/>
  <c r="AN63" i="40"/>
  <c r="AM63" i="40"/>
  <c r="AL63" i="40"/>
  <c r="AK63" i="40"/>
  <c r="AJ63" i="40"/>
  <c r="AI63" i="40"/>
  <c r="AH63" i="40"/>
  <c r="AG63" i="40"/>
  <c r="AF63" i="40"/>
  <c r="AE63" i="40"/>
  <c r="AD63" i="40"/>
  <c r="AC63" i="40"/>
  <c r="AB63" i="40"/>
  <c r="AA63" i="40"/>
  <c r="Z63" i="40"/>
  <c r="Y63" i="40"/>
  <c r="X63" i="40"/>
  <c r="W63" i="40"/>
  <c r="V63" i="40"/>
  <c r="U63" i="40"/>
  <c r="T63" i="40"/>
  <c r="S63" i="40"/>
  <c r="R63" i="40"/>
  <c r="Q63" i="40"/>
  <c r="P63" i="40"/>
  <c r="O63" i="40"/>
  <c r="N63" i="40"/>
  <c r="M63" i="40"/>
  <c r="L63" i="40"/>
  <c r="K63" i="40"/>
  <c r="AS62" i="40"/>
  <c r="AR62" i="40"/>
  <c r="AQ62" i="40"/>
  <c r="AP62" i="40"/>
  <c r="AO62" i="40"/>
  <c r="AN62" i="40"/>
  <c r="AM62" i="40"/>
  <c r="AL62" i="40"/>
  <c r="AK62" i="40"/>
  <c r="AJ62" i="40"/>
  <c r="AI62" i="40"/>
  <c r="AH62" i="40"/>
  <c r="AG62" i="40"/>
  <c r="AF62" i="40"/>
  <c r="AE62" i="40"/>
  <c r="AD62" i="40"/>
  <c r="AC62" i="40"/>
  <c r="AB62" i="40"/>
  <c r="AA62" i="40"/>
  <c r="Z62" i="40"/>
  <c r="Y62" i="40"/>
  <c r="X62" i="40"/>
  <c r="W62" i="40"/>
  <c r="V62" i="40"/>
  <c r="U62" i="40"/>
  <c r="T62" i="40"/>
  <c r="S62" i="40"/>
  <c r="R62" i="40"/>
  <c r="Q62" i="40"/>
  <c r="P62" i="40"/>
  <c r="O62" i="40"/>
  <c r="N62" i="40"/>
  <c r="M62" i="40"/>
  <c r="L62" i="40"/>
  <c r="K62" i="40"/>
  <c r="AS61" i="40"/>
  <c r="AR61" i="40"/>
  <c r="AQ61" i="40"/>
  <c r="AP61" i="40"/>
  <c r="AO61" i="40"/>
  <c r="AN61" i="40"/>
  <c r="AM61" i="40"/>
  <c r="AL61" i="40"/>
  <c r="AK61" i="40"/>
  <c r="AJ61" i="40"/>
  <c r="AI61" i="40"/>
  <c r="AH61" i="40"/>
  <c r="AG61" i="40"/>
  <c r="AF61" i="40"/>
  <c r="AE61" i="40"/>
  <c r="AD61" i="40"/>
  <c r="AC61" i="40"/>
  <c r="AB61" i="40"/>
  <c r="AA61" i="40"/>
  <c r="Z61" i="40"/>
  <c r="Y61" i="40"/>
  <c r="X61" i="40"/>
  <c r="W61" i="40"/>
  <c r="V61" i="40"/>
  <c r="U61" i="40"/>
  <c r="T61" i="40"/>
  <c r="S61" i="40"/>
  <c r="R61" i="40"/>
  <c r="Q61" i="40"/>
  <c r="P61" i="40"/>
  <c r="O61" i="40"/>
  <c r="N61" i="40"/>
  <c r="M61" i="40"/>
  <c r="L61" i="40"/>
  <c r="K61" i="40"/>
  <c r="V60" i="40"/>
  <c r="U60" i="40"/>
  <c r="T60" i="40"/>
  <c r="S60" i="40"/>
  <c r="R60" i="40"/>
  <c r="Q60" i="40"/>
  <c r="P60" i="40"/>
  <c r="O60" i="40"/>
  <c r="N60" i="40"/>
  <c r="M60" i="40"/>
  <c r="L60" i="40"/>
  <c r="K60" i="40"/>
  <c r="AC59" i="40"/>
  <c r="AB59" i="40"/>
  <c r="AA59" i="40"/>
  <c r="Z59" i="40"/>
  <c r="Y59" i="40"/>
  <c r="X59" i="40"/>
  <c r="W59" i="40"/>
  <c r="V59" i="40"/>
  <c r="U59" i="40"/>
  <c r="T59" i="40"/>
  <c r="S59" i="40"/>
  <c r="R59" i="40"/>
  <c r="Q59" i="40"/>
  <c r="P59" i="40"/>
  <c r="O59" i="40"/>
  <c r="N59" i="40"/>
  <c r="M59" i="40"/>
  <c r="L59" i="40"/>
  <c r="K59" i="40"/>
  <c r="AT58" i="40"/>
  <c r="AS58" i="40"/>
  <c r="AR58" i="40"/>
  <c r="AQ58" i="40"/>
  <c r="AP58" i="40"/>
  <c r="AO58" i="40"/>
  <c r="AN58" i="40"/>
  <c r="AM58" i="40"/>
  <c r="AL58" i="40"/>
  <c r="AK58" i="40"/>
  <c r="AJ58" i="40"/>
  <c r="AI58" i="40"/>
  <c r="AH58" i="40"/>
  <c r="AG58" i="40"/>
  <c r="AF58" i="40"/>
  <c r="AE58" i="40"/>
  <c r="AD58" i="40"/>
  <c r="AC58" i="40"/>
  <c r="AB58" i="40"/>
  <c r="AA58" i="40"/>
  <c r="Z58" i="40"/>
  <c r="Y58" i="40"/>
  <c r="X58" i="40"/>
  <c r="W58" i="40"/>
  <c r="V58" i="40"/>
  <c r="U58" i="40"/>
  <c r="T58" i="40"/>
  <c r="S58" i="40"/>
  <c r="R58" i="40"/>
  <c r="Q58" i="40"/>
  <c r="P58" i="40"/>
  <c r="O58" i="40"/>
  <c r="N58" i="40"/>
  <c r="M58" i="40"/>
  <c r="L58" i="40"/>
  <c r="K58" i="40"/>
  <c r="AT57" i="40"/>
  <c r="AS57" i="40"/>
  <c r="AR57" i="40"/>
  <c r="AQ57" i="40"/>
  <c r="AP57" i="40"/>
  <c r="AO57" i="40"/>
  <c r="AN57" i="40"/>
  <c r="AM57" i="40"/>
  <c r="AL57" i="40"/>
  <c r="AK57" i="40"/>
  <c r="AJ57" i="40"/>
  <c r="AI57" i="40"/>
  <c r="AH57" i="40"/>
  <c r="AG57" i="40"/>
  <c r="AF57" i="40"/>
  <c r="AE57" i="40"/>
  <c r="AD57" i="40"/>
  <c r="AC57" i="40"/>
  <c r="AB57" i="40"/>
  <c r="AA57" i="40"/>
  <c r="Z57" i="40"/>
  <c r="Y57" i="40"/>
  <c r="X57" i="40"/>
  <c r="W57" i="40"/>
  <c r="V57" i="40"/>
  <c r="U57" i="40"/>
  <c r="T57" i="40"/>
  <c r="S57" i="40"/>
  <c r="R57" i="40"/>
  <c r="Q57" i="40"/>
  <c r="P57" i="40"/>
  <c r="O57" i="40"/>
  <c r="N57" i="40"/>
  <c r="M57" i="40"/>
  <c r="L57" i="40"/>
  <c r="K57" i="40"/>
  <c r="U56" i="40"/>
  <c r="T56" i="40"/>
  <c r="S56" i="40"/>
  <c r="R56" i="40"/>
  <c r="Q56" i="40"/>
  <c r="P56" i="40"/>
  <c r="O56" i="40"/>
  <c r="N56" i="40"/>
  <c r="M56" i="40"/>
  <c r="L56" i="40"/>
  <c r="K56" i="40"/>
  <c r="AR55" i="40"/>
  <c r="AQ55" i="40"/>
  <c r="AP55" i="40"/>
  <c r="AO55" i="40"/>
  <c r="AN55" i="40"/>
  <c r="AM55" i="40"/>
  <c r="AL55" i="40"/>
  <c r="AK55" i="40"/>
  <c r="AJ55" i="40"/>
  <c r="AI55" i="40"/>
  <c r="AH55" i="40"/>
  <c r="AG55" i="40"/>
  <c r="AF55" i="40"/>
  <c r="AE55" i="40"/>
  <c r="AD55" i="40"/>
  <c r="AC55" i="40"/>
  <c r="AB55" i="40"/>
  <c r="AA55" i="40"/>
  <c r="Z55" i="40"/>
  <c r="Y55" i="40"/>
  <c r="X55" i="40"/>
  <c r="W55" i="40"/>
  <c r="V55" i="40"/>
  <c r="U55" i="40"/>
  <c r="T55" i="40"/>
  <c r="S55" i="40"/>
  <c r="R55" i="40"/>
  <c r="Q55" i="40"/>
  <c r="P55" i="40"/>
  <c r="O55" i="40"/>
  <c r="N55" i="40"/>
  <c r="M55" i="40"/>
  <c r="L55" i="40"/>
  <c r="K55" i="40"/>
  <c r="I65" i="40"/>
  <c r="I62" i="40"/>
  <c r="I61" i="40"/>
  <c r="I57" i="40"/>
  <c r="I55" i="40"/>
  <c r="A1" i="40" a="1"/>
  <c r="A1" i="40" s="1"/>
  <c r="BB539" i="14"/>
  <c r="BC539" i="14"/>
  <c r="BD539" i="14"/>
  <c r="G65" i="11"/>
  <c r="G64" i="11"/>
  <c r="G63" i="11"/>
  <c r="G62" i="11"/>
  <c r="BC191" i="15" l="1"/>
  <c r="BB62" i="39" l="1"/>
  <c r="BB61" i="39"/>
  <c r="BB60" i="39"/>
  <c r="BB58" i="39"/>
  <c r="BB57" i="39"/>
  <c r="BB56" i="39"/>
  <c r="BC52" i="39"/>
  <c r="BB52" i="39"/>
  <c r="BC50" i="39"/>
  <c r="BB50" i="39"/>
  <c r="BC48" i="39"/>
  <c r="BB48" i="39"/>
  <c r="BC45" i="39"/>
  <c r="BB45" i="39"/>
  <c r="BC43" i="39"/>
  <c r="BB43" i="39"/>
  <c r="BC42" i="39"/>
  <c r="BB42" i="39"/>
  <c r="BC40" i="39"/>
  <c r="BB40" i="39"/>
  <c r="BC37" i="39"/>
  <c r="BB37" i="39"/>
  <c r="BC35" i="39"/>
  <c r="BB35" i="39"/>
  <c r="BC34" i="39"/>
  <c r="BB34" i="39"/>
  <c r="BC32" i="39"/>
  <c r="BB32" i="39"/>
  <c r="BB28" i="39"/>
  <c r="BB26" i="39"/>
  <c r="BB25" i="39"/>
  <c r="BB24" i="39"/>
  <c r="BB21" i="39"/>
  <c r="BB20" i="39"/>
  <c r="A1" i="39" a="1"/>
  <c r="A1" i="39" s="1"/>
  <c r="D17" i="39" a="1"/>
  <c r="D14" i="39" a="1"/>
  <c r="D15" i="39" a="1"/>
  <c r="D12" i="39" a="1"/>
  <c r="D16" i="39" a="1"/>
  <c r="D15" i="39" l="1"/>
  <c r="D16" i="39"/>
  <c r="D14" i="39"/>
  <c r="D12" i="39"/>
  <c r="D17" i="39"/>
  <c r="BA56" i="39"/>
  <c r="BA52" i="39"/>
  <c r="BA50" i="39"/>
  <c r="BA48" i="39"/>
  <c r="BA43" i="39"/>
  <c r="BA40" i="39"/>
  <c r="BA35" i="39"/>
  <c r="BA32" i="39"/>
  <c r="BA62" i="39"/>
  <c r="BA57" i="39"/>
  <c r="BA20" i="39"/>
  <c r="BA58" i="39"/>
  <c r="BA25" i="39"/>
  <c r="BA28" i="39"/>
  <c r="BA21" i="39"/>
  <c r="BA26" i="39"/>
  <c r="BA60" i="39"/>
  <c r="BA61" i="39"/>
  <c r="BA45" i="39"/>
  <c r="BA42" i="39"/>
  <c r="BA37" i="39"/>
  <c r="BA34" i="39"/>
  <c r="BA24" i="39"/>
  <c r="G52" i="11"/>
  <c r="BC23" i="14" l="1"/>
  <c r="BB23" i="14"/>
  <c r="BB124" i="26" l="1"/>
  <c r="BB123" i="26"/>
  <c r="BB122" i="26"/>
  <c r="BB121" i="26"/>
  <c r="BB120" i="26"/>
  <c r="BC116" i="26"/>
  <c r="BB116" i="26"/>
  <c r="BC115" i="26"/>
  <c r="BB115" i="26"/>
  <c r="BC114" i="26"/>
  <c r="BB114" i="26"/>
  <c r="BC113" i="26"/>
  <c r="BB113" i="26"/>
  <c r="BC112" i="26"/>
  <c r="BB112" i="26"/>
  <c r="BC109" i="26"/>
  <c r="BB109" i="26"/>
  <c r="BC106" i="26"/>
  <c r="BB106" i="26"/>
  <c r="BC104" i="26"/>
  <c r="BB104" i="26"/>
  <c r="BC103" i="26"/>
  <c r="BB103" i="26"/>
  <c r="BC102" i="26"/>
  <c r="BB102" i="26"/>
  <c r="BC101" i="26"/>
  <c r="BB101" i="26"/>
  <c r="BC99" i="26"/>
  <c r="BB99" i="26"/>
  <c r="BC95" i="26"/>
  <c r="BB95" i="26"/>
  <c r="BC94" i="26"/>
  <c r="BB94" i="26"/>
  <c r="BC93" i="26"/>
  <c r="BB93" i="26"/>
  <c r="BC92" i="26"/>
  <c r="BB92" i="26"/>
  <c r="BC91" i="26"/>
  <c r="BB91" i="26"/>
  <c r="BC88" i="26"/>
  <c r="BB88" i="26"/>
  <c r="BC85" i="26"/>
  <c r="BB85" i="26"/>
  <c r="BC83" i="26"/>
  <c r="BB83" i="26"/>
  <c r="BC82" i="26"/>
  <c r="BB82" i="26"/>
  <c r="BC81" i="26"/>
  <c r="BB81" i="26"/>
  <c r="BC80" i="26"/>
  <c r="BB80" i="26"/>
  <c r="BC78" i="26"/>
  <c r="BB78" i="26"/>
  <c r="BC57" i="26"/>
  <c r="BB57" i="26"/>
  <c r="BC58" i="26"/>
  <c r="BB58" i="26"/>
  <c r="BC50" i="26"/>
  <c r="BB50" i="26"/>
  <c r="BC48" i="26"/>
  <c r="BB48" i="26"/>
  <c r="BC47" i="26"/>
  <c r="BB47" i="26"/>
  <c r="BB39" i="26"/>
  <c r="BB38" i="26"/>
  <c r="BB37" i="26"/>
  <c r="BC92" i="11"/>
  <c r="BB92" i="11"/>
  <c r="BC67" i="11"/>
  <c r="BB67" i="11"/>
  <c r="BC65" i="11"/>
  <c r="BB65" i="11"/>
  <c r="BC64" i="11"/>
  <c r="BB64" i="11"/>
  <c r="BC63" i="11"/>
  <c r="BB63" i="11"/>
  <c r="BC62" i="11"/>
  <c r="BB62" i="11"/>
  <c r="BC40" i="8"/>
  <c r="BB40" i="8"/>
  <c r="BC282" i="15"/>
  <c r="BB282" i="15"/>
  <c r="BC281" i="15"/>
  <c r="BB281" i="15"/>
  <c r="BC280" i="15"/>
  <c r="BB280" i="15"/>
  <c r="BC279" i="15"/>
  <c r="BB279" i="15"/>
  <c r="BC278" i="15"/>
  <c r="BB278" i="15"/>
  <c r="BC276" i="15"/>
  <c r="BB276" i="15"/>
  <c r="BC275" i="15"/>
  <c r="BB275" i="15"/>
  <c r="BC274" i="15"/>
  <c r="BB274" i="15"/>
  <c r="BC273" i="15"/>
  <c r="BB273" i="15"/>
  <c r="BC272" i="15"/>
  <c r="BB272" i="15"/>
  <c r="BC255" i="15"/>
  <c r="BB255" i="15"/>
  <c r="BC254" i="15"/>
  <c r="BB254" i="15"/>
  <c r="BC588" i="14"/>
  <c r="BB588" i="14"/>
  <c r="BC580" i="14"/>
  <c r="BB580" i="14"/>
  <c r="BC579" i="14"/>
  <c r="BB579" i="14"/>
  <c r="BC74" i="14"/>
  <c r="BB74" i="14"/>
  <c r="BC73" i="14"/>
  <c r="BB73" i="14"/>
  <c r="BC72" i="14"/>
  <c r="BB72" i="14"/>
  <c r="BC71" i="14"/>
  <c r="BB71" i="14"/>
  <c r="BC66" i="14"/>
  <c r="BB66" i="14"/>
  <c r="BC65" i="14"/>
  <c r="BB65" i="14"/>
  <c r="BC64" i="14"/>
  <c r="BB64" i="14"/>
  <c r="BC63" i="14"/>
  <c r="BB63" i="14"/>
  <c r="BD144" i="15" l="1"/>
  <c r="BC144" i="15"/>
  <c r="BB144" i="15"/>
  <c r="G66" i="14" l="1"/>
  <c r="G255" i="15" s="1"/>
  <c r="G65" i="14"/>
  <c r="G254" i="15" s="1"/>
  <c r="G74" i="14"/>
  <c r="G73" i="14"/>
  <c r="G72" i="14"/>
  <c r="G71" i="14"/>
  <c r="G282" i="15" l="1"/>
  <c r="G281" i="15"/>
  <c r="G280" i="15"/>
  <c r="G279" i="15"/>
  <c r="G278" i="15"/>
  <c r="G276" i="15"/>
  <c r="G275" i="15"/>
  <c r="G274" i="15"/>
  <c r="G273" i="15"/>
  <c r="G272" i="15"/>
  <c r="D318" i="20" l="1"/>
  <c r="D317" i="20"/>
  <c r="D316" i="20"/>
  <c r="D315" i="20"/>
  <c r="D314" i="20"/>
  <c r="D313" i="20"/>
  <c r="D312" i="20"/>
  <c r="D311" i="20"/>
  <c r="D310" i="20"/>
  <c r="D309" i="20"/>
  <c r="D308" i="20"/>
  <c r="D307" i="20"/>
  <c r="D306" i="20"/>
  <c r="D305" i="20"/>
  <c r="D304" i="20"/>
  <c r="D303" i="20"/>
  <c r="D302" i="20"/>
  <c r="D301" i="20"/>
  <c r="D300" i="20"/>
  <c r="D299" i="20"/>
  <c r="D298" i="20"/>
  <c r="D297" i="20"/>
  <c r="D296" i="20"/>
  <c r="D295" i="20"/>
  <c r="D294" i="20"/>
  <c r="D293" i="20"/>
  <c r="D292" i="20"/>
  <c r="D291" i="20"/>
  <c r="D290" i="20"/>
  <c r="D289" i="20"/>
  <c r="D288" i="20"/>
  <c r="D287" i="20"/>
  <c r="D286" i="20"/>
  <c r="D285" i="20"/>
  <c r="D284" i="20"/>
  <c r="D283" i="20"/>
  <c r="D282" i="20"/>
  <c r="D281" i="20"/>
  <c r="D280" i="20"/>
  <c r="D279" i="20"/>
  <c r="D278" i="20"/>
  <c r="D277" i="20"/>
  <c r="D276" i="20"/>
  <c r="D275" i="20"/>
  <c r="D274" i="20"/>
  <c r="D273" i="20"/>
  <c r="D272" i="20"/>
  <c r="D271" i="20"/>
  <c r="D270" i="20"/>
  <c r="D269" i="20"/>
  <c r="D268" i="20"/>
  <c r="D267" i="20"/>
  <c r="D266" i="20"/>
  <c r="D265" i="20"/>
  <c r="D264" i="20"/>
  <c r="D263" i="20"/>
  <c r="D262" i="20"/>
  <c r="D261" i="20"/>
  <c r="D260" i="20"/>
  <c r="D259" i="20"/>
  <c r="D258" i="20"/>
  <c r="D257" i="20"/>
  <c r="D256" i="20"/>
  <c r="D255" i="20"/>
  <c r="D254" i="20"/>
  <c r="D253" i="20"/>
  <c r="D252" i="20"/>
  <c r="D251" i="20"/>
  <c r="D250" i="20"/>
  <c r="D249" i="20"/>
  <c r="D248" i="20"/>
  <c r="D247" i="20"/>
  <c r="D246" i="20"/>
  <c r="D245" i="20"/>
  <c r="D244" i="20"/>
  <c r="D243" i="20"/>
  <c r="D242" i="20"/>
  <c r="D241" i="20"/>
  <c r="D240" i="20"/>
  <c r="D239" i="20"/>
  <c r="D238" i="20"/>
  <c r="D237" i="20"/>
  <c r="D236" i="20"/>
  <c r="D235" i="20"/>
  <c r="D234" i="20"/>
  <c r="D233" i="20"/>
  <c r="D232" i="20"/>
  <c r="D231" i="20"/>
  <c r="D230" i="20"/>
  <c r="D229" i="20"/>
  <c r="D228" i="20"/>
  <c r="D227" i="20"/>
  <c r="D226" i="20"/>
  <c r="D225" i="20"/>
  <c r="D224" i="20"/>
  <c r="D223" i="20"/>
  <c r="D222" i="20"/>
  <c r="D221" i="20"/>
  <c r="D220" i="20"/>
  <c r="D219" i="20"/>
  <c r="D218" i="20"/>
  <c r="D217" i="20"/>
  <c r="D216" i="20"/>
  <c r="D215" i="20"/>
  <c r="D214" i="20"/>
  <c r="D213" i="20"/>
  <c r="D212" i="20"/>
  <c r="D211" i="20"/>
  <c r="D210" i="20"/>
  <c r="D209" i="20"/>
  <c r="D208" i="20"/>
  <c r="D207" i="20"/>
  <c r="D206" i="20"/>
  <c r="D205" i="20"/>
  <c r="D204" i="20"/>
  <c r="D203" i="20"/>
  <c r="D202" i="20"/>
  <c r="D201" i="20"/>
  <c r="D200" i="20"/>
  <c r="D199" i="20"/>
  <c r="D198" i="20"/>
  <c r="D197" i="20"/>
  <c r="D196" i="20"/>
  <c r="D195" i="20"/>
  <c r="D194" i="20"/>
  <c r="D193" i="20"/>
  <c r="D192" i="20"/>
  <c r="D191" i="20"/>
  <c r="D190" i="20"/>
  <c r="D189" i="20"/>
  <c r="D188" i="20"/>
  <c r="D187" i="20"/>
  <c r="D186" i="20"/>
  <c r="D185" i="20"/>
  <c r="D184" i="20"/>
  <c r="D183" i="20"/>
  <c r="D182" i="20"/>
  <c r="D181" i="20"/>
  <c r="D180" i="20"/>
  <c r="D179" i="20"/>
  <c r="D178" i="20"/>
  <c r="D177" i="20"/>
  <c r="D176" i="20"/>
  <c r="D175" i="20"/>
  <c r="D174" i="20"/>
  <c r="D173" i="20"/>
  <c r="D172" i="20"/>
  <c r="D171" i="20"/>
  <c r="D170" i="20"/>
  <c r="D169" i="20"/>
  <c r="D168" i="20"/>
  <c r="D167" i="20"/>
  <c r="D166" i="20"/>
  <c r="D165" i="20"/>
  <c r="D164" i="20"/>
  <c r="D163" i="20"/>
  <c r="D162" i="20"/>
  <c r="D161" i="20"/>
  <c r="D160" i="20"/>
  <c r="D159" i="20"/>
  <c r="D158" i="20"/>
  <c r="D157" i="20"/>
  <c r="D156" i="20"/>
  <c r="D155" i="20"/>
  <c r="D154" i="20"/>
  <c r="D153" i="20"/>
  <c r="D152" i="20"/>
  <c r="D151" i="20"/>
  <c r="D150" i="20"/>
  <c r="D149" i="20"/>
  <c r="D148" i="20"/>
  <c r="D147" i="20"/>
  <c r="D146" i="20"/>
  <c r="D145" i="20"/>
  <c r="D144" i="20"/>
  <c r="D143" i="20"/>
  <c r="D142" i="20"/>
  <c r="D141" i="20"/>
  <c r="D140" i="20"/>
  <c r="D139" i="20"/>
  <c r="D138" i="20"/>
  <c r="D137" i="20"/>
  <c r="D136" i="20"/>
  <c r="D135" i="20"/>
  <c r="D134" i="20"/>
  <c r="D133" i="20"/>
  <c r="D132" i="20"/>
  <c r="D131" i="20"/>
  <c r="D130" i="20"/>
  <c r="D129" i="20"/>
  <c r="D128" i="20"/>
  <c r="D127" i="20"/>
  <c r="D126" i="20"/>
  <c r="D125" i="20"/>
  <c r="D124" i="20"/>
  <c r="D123" i="20"/>
  <c r="D122" i="20"/>
  <c r="D121" i="20"/>
  <c r="D120" i="20"/>
  <c r="D119" i="20"/>
  <c r="D118" i="20"/>
  <c r="D117" i="20"/>
  <c r="D116" i="20"/>
  <c r="D115" i="20"/>
  <c r="D114" i="20"/>
  <c r="D113" i="20"/>
  <c r="D112" i="20"/>
  <c r="D111" i="20"/>
  <c r="D110" i="20"/>
  <c r="D109" i="20"/>
  <c r="D108" i="20"/>
  <c r="D107" i="20"/>
  <c r="D106" i="20"/>
  <c r="D105" i="20"/>
  <c r="D104" i="20"/>
  <c r="D103" i="20"/>
  <c r="D102" i="20"/>
  <c r="D101" i="20"/>
  <c r="D100" i="20"/>
  <c r="D99" i="20"/>
  <c r="D98" i="20"/>
  <c r="D97" i="20"/>
  <c r="D96" i="20"/>
  <c r="D95" i="20"/>
  <c r="D94" i="20"/>
  <c r="D93" i="20"/>
  <c r="D92" i="20"/>
  <c r="D91" i="20"/>
  <c r="D90" i="20"/>
  <c r="D89" i="20"/>
  <c r="D88" i="20"/>
  <c r="D87" i="20"/>
  <c r="D86" i="20"/>
  <c r="D85" i="20"/>
  <c r="D84" i="20"/>
  <c r="D83" i="20"/>
  <c r="D82" i="20"/>
  <c r="D81" i="20"/>
  <c r="D80" i="20"/>
  <c r="D79" i="20"/>
  <c r="D78" i="20"/>
  <c r="D77" i="20"/>
  <c r="D76" i="20"/>
  <c r="D75" i="20"/>
  <c r="D74" i="20"/>
  <c r="D73" i="20"/>
  <c r="D72" i="20"/>
  <c r="D71" i="20"/>
  <c r="D70" i="20"/>
  <c r="D69" i="20"/>
  <c r="D68" i="20"/>
  <c r="D67" i="20"/>
  <c r="D66" i="20"/>
  <c r="D65" i="20"/>
  <c r="D64" i="20"/>
  <c r="D63" i="20"/>
  <c r="D62" i="20"/>
  <c r="D61" i="20"/>
  <c r="D60" i="20"/>
  <c r="D59" i="20"/>
  <c r="D58" i="20"/>
  <c r="D57" i="20"/>
  <c r="D56" i="20"/>
  <c r="D55" i="20"/>
  <c r="D54" i="20"/>
  <c r="D53" i="20"/>
  <c r="D52" i="20"/>
  <c r="D51" i="20"/>
  <c r="D50" i="20"/>
  <c r="D49" i="20"/>
  <c r="D48" i="20"/>
  <c r="D47" i="20"/>
  <c r="D46" i="20"/>
  <c r="D45" i="20"/>
  <c r="D44" i="20"/>
  <c r="D43" i="20"/>
  <c r="D42" i="20"/>
  <c r="D41" i="20"/>
  <c r="D40" i="20"/>
  <c r="D39" i="20"/>
  <c r="D38" i="20"/>
  <c r="D37" i="20"/>
  <c r="D36" i="20"/>
  <c r="D35" i="20"/>
  <c r="D34" i="20"/>
  <c r="D33" i="20"/>
  <c r="D32" i="20"/>
  <c r="D31" i="20"/>
  <c r="D30" i="20"/>
  <c r="D29" i="20"/>
  <c r="D28" i="20"/>
  <c r="D27" i="20"/>
  <c r="D26" i="20"/>
  <c r="D25" i="20"/>
  <c r="D24" i="20"/>
  <c r="D23" i="20"/>
  <c r="D22" i="20"/>
  <c r="D21" i="20"/>
  <c r="D20" i="20"/>
  <c r="D19" i="20"/>
  <c r="D18" i="20"/>
  <c r="D17" i="20"/>
  <c r="D16" i="20"/>
  <c r="D15" i="20"/>
  <c r="D14" i="20"/>
  <c r="D13" i="20"/>
  <c r="D12" i="20"/>
  <c r="D11" i="20"/>
  <c r="D10" i="20"/>
  <c r="D9" i="20"/>
  <c r="D8" i="20"/>
  <c r="D7" i="20"/>
  <c r="D6" i="20"/>
  <c r="D5" i="20"/>
  <c r="D4" i="20"/>
  <c r="D3" i="20"/>
  <c r="D2" i="20"/>
  <c r="G15" i="26" l="1"/>
  <c r="AV115" i="26" l="1"/>
  <c r="AU115" i="26"/>
  <c r="AV94" i="26"/>
  <c r="AU94" i="26"/>
  <c r="G116" i="26"/>
  <c r="G115" i="26"/>
  <c r="AU114" i="26"/>
  <c r="G114" i="26"/>
  <c r="G113" i="26"/>
  <c r="G112" i="26"/>
  <c r="G106" i="26"/>
  <c r="G101" i="26"/>
  <c r="G99" i="26"/>
  <c r="AU93" i="26"/>
  <c r="G95" i="26"/>
  <c r="G94" i="26"/>
  <c r="G93" i="26"/>
  <c r="G92" i="26"/>
  <c r="G91" i="26"/>
  <c r="G85" i="26"/>
  <c r="G80" i="26"/>
  <c r="G78" i="26"/>
  <c r="G60" i="14"/>
  <c r="G249" i="15" s="1"/>
  <c r="G92" i="11" l="1"/>
  <c r="AU62" i="11"/>
  <c r="G49" i="11"/>
  <c r="G48" i="11"/>
  <c r="G46" i="11"/>
  <c r="AU269" i="15" l="1" a="1"/>
  <c r="AU269" i="15" s="1"/>
  <c r="G40" i="8" l="1"/>
  <c r="G15" i="8"/>
  <c r="AT255" i="15" l="1"/>
  <c r="AT29" i="26" s="1"/>
  <c r="AT254" i="15"/>
  <c r="AT24" i="26" s="1"/>
  <c r="D24" i="26" a="1"/>
  <c r="D29" i="26" a="1"/>
  <c r="D24" i="26" l="1"/>
  <c r="D29" i="26"/>
  <c r="AT80" i="26"/>
  <c r="AT101" i="26"/>
  <c r="G64" i="14"/>
  <c r="G253" i="15" s="1"/>
  <c r="G63" i="14"/>
  <c r="G252" i="15" s="1"/>
  <c r="G34" i="9" l="1"/>
  <c r="G107" i="15"/>
  <c r="G541" i="14"/>
  <c r="G93" i="14"/>
  <c r="BD181" i="15"/>
  <c r="BC181" i="15"/>
  <c r="BB181" i="15"/>
  <c r="BD142" i="15"/>
  <c r="BC142" i="15"/>
  <c r="BB142" i="15"/>
  <c r="BD141" i="15"/>
  <c r="BC141" i="15"/>
  <c r="BB141" i="15"/>
  <c r="BB107" i="15"/>
  <c r="BB79" i="15"/>
  <c r="BC93" i="14"/>
  <c r="BB93" i="14"/>
  <c r="BC35" i="14"/>
  <c r="BB35" i="14"/>
  <c r="AU361" i="27" l="1"/>
  <c r="AW359" i="27"/>
  <c r="AV356" i="27"/>
  <c r="AX354" i="27"/>
  <c r="AU353" i="27"/>
  <c r="AW351" i="27"/>
  <c r="AY349" i="27"/>
  <c r="AV348" i="27"/>
  <c r="AX346" i="27"/>
  <c r="AU345" i="27"/>
  <c r="AW343" i="27"/>
  <c r="AY341" i="27"/>
  <c r="AV340" i="27"/>
  <c r="AX338" i="27"/>
  <c r="AW335" i="27"/>
  <c r="AY333" i="27"/>
  <c r="AX330" i="27"/>
  <c r="AU329" i="27"/>
  <c r="AY325" i="27"/>
  <c r="AV324" i="27"/>
  <c r="AU321" i="27"/>
  <c r="AW319" i="27"/>
  <c r="AV316" i="27"/>
  <c r="AX314" i="27"/>
  <c r="AU313" i="27"/>
  <c r="AW311" i="27"/>
  <c r="AY309" i="27"/>
  <c r="AV308" i="27"/>
  <c r="AX306" i="27"/>
  <c r="AU305" i="27"/>
  <c r="AW303" i="27"/>
  <c r="AY301" i="27"/>
  <c r="AV300" i="27"/>
  <c r="AX298" i="27"/>
  <c r="AW295" i="27"/>
  <c r="AY293" i="27"/>
  <c r="AX290" i="27"/>
  <c r="AU289" i="27"/>
  <c r="AY285" i="27"/>
  <c r="AV284" i="27"/>
  <c r="AU281" i="27"/>
  <c r="AW279" i="27"/>
  <c r="AV276" i="27"/>
  <c r="AY360" i="27"/>
  <c r="AV359" i="27"/>
  <c r="AU356" i="27"/>
  <c r="AW354" i="27"/>
  <c r="AV351" i="27"/>
  <c r="AX349" i="27"/>
  <c r="AU348" i="27"/>
  <c r="AW346" i="27"/>
  <c r="AY344" i="27"/>
  <c r="AV343" i="27"/>
  <c r="AX341" i="27"/>
  <c r="AU340" i="27"/>
  <c r="AW338" i="27"/>
  <c r="AY336" i="27"/>
  <c r="AV335" i="27"/>
  <c r="AX333" i="27"/>
  <c r="AW330" i="27"/>
  <c r="AY328" i="27"/>
  <c r="AX325" i="27"/>
  <c r="AU324" i="27"/>
  <c r="AY320" i="27"/>
  <c r="AV319" i="27"/>
  <c r="AU316" i="27"/>
  <c r="AW314" i="27"/>
  <c r="AV311" i="27"/>
  <c r="AX309" i="27"/>
  <c r="AU308" i="27"/>
  <c r="AW306" i="27"/>
  <c r="AY304" i="27"/>
  <c r="AV303" i="27"/>
  <c r="AX301" i="27"/>
  <c r="AU300" i="27"/>
  <c r="AW298" i="27"/>
  <c r="AY296" i="27"/>
  <c r="AV295" i="27"/>
  <c r="AX293" i="27"/>
  <c r="AW290" i="27"/>
  <c r="AX360" i="27"/>
  <c r="AU359" i="27"/>
  <c r="AY355" i="27"/>
  <c r="AV354" i="27"/>
  <c r="AU351" i="27"/>
  <c r="AW349" i="27"/>
  <c r="AV346" i="27"/>
  <c r="AX344" i="27"/>
  <c r="AU343" i="27"/>
  <c r="AW341" i="27"/>
  <c r="AY339" i="27"/>
  <c r="AV338" i="27"/>
  <c r="AX336" i="27"/>
  <c r="AU335" i="27"/>
  <c r="AW333" i="27"/>
  <c r="AY331" i="27"/>
  <c r="AV330" i="27"/>
  <c r="AX328" i="27"/>
  <c r="AW325" i="27"/>
  <c r="AY323" i="27"/>
  <c r="AX320" i="27"/>
  <c r="AU319" i="27"/>
  <c r="AY315" i="27"/>
  <c r="AV314" i="27"/>
  <c r="AU311" i="27"/>
  <c r="AW309" i="27"/>
  <c r="AV306" i="27"/>
  <c r="AX304" i="27"/>
  <c r="AU303" i="27"/>
  <c r="AW301" i="27"/>
  <c r="AY299" i="27"/>
  <c r="AV298" i="27"/>
  <c r="AX296" i="27"/>
  <c r="AU295" i="27"/>
  <c r="AW293" i="27"/>
  <c r="AY291" i="27"/>
  <c r="AV290" i="27"/>
  <c r="AW360" i="27"/>
  <c r="AY358" i="27"/>
  <c r="AX355" i="27"/>
  <c r="AU354" i="27"/>
  <c r="AY350" i="27"/>
  <c r="AV349" i="27"/>
  <c r="AU346" i="27"/>
  <c r="AW344" i="27"/>
  <c r="AV341" i="27"/>
  <c r="AX339" i="27"/>
  <c r="AU338" i="27"/>
  <c r="AW336" i="27"/>
  <c r="AY334" i="27"/>
  <c r="AV333" i="27"/>
  <c r="AX331" i="27"/>
  <c r="AU330" i="27"/>
  <c r="AW328" i="27"/>
  <c r="AY326" i="27"/>
  <c r="AV325" i="27"/>
  <c r="AX323" i="27"/>
  <c r="AW320" i="27"/>
  <c r="AY318" i="27"/>
  <c r="AX315" i="27"/>
  <c r="AU314" i="27"/>
  <c r="AY310" i="27"/>
  <c r="AV309" i="27"/>
  <c r="AU306" i="27"/>
  <c r="AW304" i="27"/>
  <c r="AV301" i="27"/>
  <c r="AX299" i="27"/>
  <c r="AU298" i="27"/>
  <c r="AW296" i="27"/>
  <c r="AY294" i="27"/>
  <c r="AV293" i="27"/>
  <c r="AX291" i="27"/>
  <c r="AU290" i="27"/>
  <c r="AW288" i="27"/>
  <c r="AY286" i="27"/>
  <c r="AV285" i="27"/>
  <c r="AX283" i="27"/>
  <c r="AW280" i="27"/>
  <c r="AY278" i="27"/>
  <c r="AX275" i="27"/>
  <c r="AY361" i="27"/>
  <c r="AV360" i="27"/>
  <c r="AX358" i="27"/>
  <c r="AW355" i="27"/>
  <c r="AY353" i="27"/>
  <c r="AX350" i="27"/>
  <c r="AU349" i="27"/>
  <c r="AY345" i="27"/>
  <c r="AV344" i="27"/>
  <c r="AU341" i="27"/>
  <c r="AW339" i="27"/>
  <c r="AV336" i="27"/>
  <c r="AX334" i="27"/>
  <c r="AU333" i="27"/>
  <c r="AW331" i="27"/>
  <c r="AY329" i="27"/>
  <c r="AV328" i="27"/>
  <c r="AX326" i="27"/>
  <c r="AU325" i="27"/>
  <c r="AW323" i="27"/>
  <c r="AY321" i="27"/>
  <c r="AV320" i="27"/>
  <c r="AX318" i="27"/>
  <c r="AW315" i="27"/>
  <c r="AY313" i="27"/>
  <c r="AX310" i="27"/>
  <c r="AU309" i="27"/>
  <c r="AY305" i="27"/>
  <c r="AV304" i="27"/>
  <c r="AU301" i="27"/>
  <c r="AW299" i="27"/>
  <c r="AV296" i="27"/>
  <c r="AX294" i="27"/>
  <c r="AU293" i="27"/>
  <c r="AW291" i="27"/>
  <c r="AY289" i="27"/>
  <c r="AV288" i="27"/>
  <c r="AX286" i="27"/>
  <c r="AU285" i="27"/>
  <c r="AX361" i="27"/>
  <c r="AU360" i="27"/>
  <c r="AW358" i="27"/>
  <c r="AY356" i="27"/>
  <c r="AV355" i="27"/>
  <c r="AX353" i="27"/>
  <c r="AW350" i="27"/>
  <c r="AY348" i="27"/>
  <c r="AX345" i="27"/>
  <c r="AU344" i="27"/>
  <c r="AY340" i="27"/>
  <c r="AV339" i="27"/>
  <c r="AU336" i="27"/>
  <c r="AW334" i="27"/>
  <c r="AV331" i="27"/>
  <c r="AX329" i="27"/>
  <c r="AU328" i="27"/>
  <c r="AW326" i="27"/>
  <c r="AY324" i="27"/>
  <c r="AV323" i="27"/>
  <c r="AX321" i="27"/>
  <c r="AU320" i="27"/>
  <c r="AW318" i="27"/>
  <c r="AY316" i="27"/>
  <c r="AV315" i="27"/>
  <c r="AX313" i="27"/>
  <c r="AW310" i="27"/>
  <c r="AY308" i="27"/>
  <c r="AX305" i="27"/>
  <c r="AU304" i="27"/>
  <c r="AW361" i="27"/>
  <c r="AY359" i="27"/>
  <c r="AV358" i="27"/>
  <c r="AX356" i="27"/>
  <c r="AU355" i="27"/>
  <c r="AW353" i="27"/>
  <c r="AY351" i="27"/>
  <c r="AV350" i="27"/>
  <c r="AX348" i="27"/>
  <c r="AW345" i="27"/>
  <c r="AY343" i="27"/>
  <c r="AX340" i="27"/>
  <c r="AU339" i="27"/>
  <c r="AY335" i="27"/>
  <c r="AV334" i="27"/>
  <c r="AU331" i="27"/>
  <c r="AW329" i="27"/>
  <c r="AV326" i="27"/>
  <c r="AX324" i="27"/>
  <c r="AU323" i="27"/>
  <c r="AW321" i="27"/>
  <c r="AY319" i="27"/>
  <c r="AV318" i="27"/>
  <c r="AX316" i="27"/>
  <c r="AU315" i="27"/>
  <c r="AW313" i="27"/>
  <c r="AY311" i="27"/>
  <c r="AV310" i="27"/>
  <c r="AX308" i="27"/>
  <c r="AW305" i="27"/>
  <c r="AY303" i="27"/>
  <c r="AY354" i="27"/>
  <c r="AV329" i="27"/>
  <c r="AW316" i="27"/>
  <c r="AX303" i="27"/>
  <c r="AU299" i="27"/>
  <c r="AW294" i="27"/>
  <c r="AY290" i="27"/>
  <c r="AY284" i="27"/>
  <c r="AX280" i="27"/>
  <c r="AW278" i="27"/>
  <c r="AW276" i="27"/>
  <c r="AW274" i="27"/>
  <c r="AV271" i="27"/>
  <c r="AX269" i="27"/>
  <c r="AU268" i="27"/>
  <c r="AW266" i="27"/>
  <c r="AY264" i="27"/>
  <c r="AV263" i="27"/>
  <c r="AX261" i="27"/>
  <c r="AU260" i="27"/>
  <c r="AW258" i="27"/>
  <c r="AY256" i="27"/>
  <c r="AV255" i="27"/>
  <c r="AX253" i="27"/>
  <c r="AW250" i="27"/>
  <c r="AY248" i="27"/>
  <c r="AX245" i="27"/>
  <c r="AU244" i="27"/>
  <c r="AY240" i="27"/>
  <c r="AV239" i="27"/>
  <c r="AU236" i="27"/>
  <c r="AW234" i="27"/>
  <c r="AV231" i="27"/>
  <c r="AX229" i="27"/>
  <c r="AU228" i="27"/>
  <c r="AW226" i="27"/>
  <c r="AY224" i="27"/>
  <c r="AV223" i="27"/>
  <c r="AX221" i="27"/>
  <c r="AU220" i="27"/>
  <c r="AW218" i="27"/>
  <c r="AY216" i="27"/>
  <c r="AV215" i="27"/>
  <c r="AX213" i="27"/>
  <c r="AW210" i="27"/>
  <c r="AY208" i="27"/>
  <c r="AX205" i="27"/>
  <c r="AU204" i="27"/>
  <c r="AY200" i="27"/>
  <c r="AV199" i="27"/>
  <c r="AU196" i="27"/>
  <c r="AW194" i="27"/>
  <c r="AV191" i="27"/>
  <c r="AX189" i="27"/>
  <c r="AU188" i="27"/>
  <c r="AW186" i="27"/>
  <c r="AY184" i="27"/>
  <c r="AV183" i="27"/>
  <c r="AX181" i="27"/>
  <c r="AU180" i="27"/>
  <c r="AW178" i="27"/>
  <c r="AY176" i="27"/>
  <c r="AV175" i="27"/>
  <c r="AX173" i="27"/>
  <c r="AW170" i="27"/>
  <c r="AY168" i="27"/>
  <c r="AX165" i="27"/>
  <c r="AU164" i="27"/>
  <c r="AY160" i="27"/>
  <c r="AV159" i="27"/>
  <c r="AU156" i="27"/>
  <c r="AW154" i="27"/>
  <c r="AV151" i="27"/>
  <c r="AX149" i="27"/>
  <c r="AU148" i="27"/>
  <c r="AW146" i="27"/>
  <c r="AY144" i="27"/>
  <c r="AV143" i="27"/>
  <c r="AX141" i="27"/>
  <c r="AU140" i="27"/>
  <c r="AW138" i="27"/>
  <c r="AY136" i="27"/>
  <c r="AV135" i="27"/>
  <c r="AX133" i="27"/>
  <c r="AW130" i="27"/>
  <c r="AY128" i="27"/>
  <c r="AX125" i="27"/>
  <c r="AU124" i="27"/>
  <c r="AY120" i="27"/>
  <c r="AV119" i="27"/>
  <c r="AV353" i="27"/>
  <c r="AW340" i="27"/>
  <c r="AY314" i="27"/>
  <c r="AY298" i="27"/>
  <c r="AV294" i="27"/>
  <c r="AX289" i="27"/>
  <c r="AX284" i="27"/>
  <c r="AV280" i="27"/>
  <c r="AV278" i="27"/>
  <c r="AU276" i="27"/>
  <c r="AV274" i="27"/>
  <c r="AU271" i="27"/>
  <c r="AW269" i="27"/>
  <c r="AV266" i="27"/>
  <c r="AX264" i="27"/>
  <c r="AU263" i="27"/>
  <c r="AW261" i="27"/>
  <c r="AY259" i="27"/>
  <c r="AV258" i="27"/>
  <c r="AX256" i="27"/>
  <c r="AU255" i="27"/>
  <c r="AW253" i="27"/>
  <c r="AY251" i="27"/>
  <c r="AV250" i="27"/>
  <c r="AX248" i="27"/>
  <c r="AW245" i="27"/>
  <c r="AY243" i="27"/>
  <c r="AX240" i="27"/>
  <c r="AU239" i="27"/>
  <c r="AY235" i="27"/>
  <c r="AV234" i="27"/>
  <c r="AU231" i="27"/>
  <c r="AW229" i="27"/>
  <c r="AV226" i="27"/>
  <c r="AX224" i="27"/>
  <c r="AU223" i="27"/>
  <c r="AW221" i="27"/>
  <c r="AY219" i="27"/>
  <c r="AV218" i="27"/>
  <c r="AX216" i="27"/>
  <c r="AU215" i="27"/>
  <c r="AW213" i="27"/>
  <c r="AY211" i="27"/>
  <c r="AV210" i="27"/>
  <c r="AX208" i="27"/>
  <c r="AW205" i="27"/>
  <c r="AY203" i="27"/>
  <c r="AX200" i="27"/>
  <c r="AU199" i="27"/>
  <c r="AY195" i="27"/>
  <c r="AV194" i="27"/>
  <c r="AU191" i="27"/>
  <c r="AW189" i="27"/>
  <c r="AV186" i="27"/>
  <c r="AX184" i="27"/>
  <c r="AU183" i="27"/>
  <c r="AW181" i="27"/>
  <c r="AY179" i="27"/>
  <c r="AV178" i="27"/>
  <c r="AX176" i="27"/>
  <c r="AU175" i="27"/>
  <c r="AW173" i="27"/>
  <c r="AY171" i="27"/>
  <c r="AV170" i="27"/>
  <c r="AX168" i="27"/>
  <c r="AW165" i="27"/>
  <c r="AY163" i="27"/>
  <c r="AX160" i="27"/>
  <c r="AU159" i="27"/>
  <c r="AY155" i="27"/>
  <c r="AV154" i="27"/>
  <c r="AU151" i="27"/>
  <c r="AW149" i="27"/>
  <c r="AV146" i="27"/>
  <c r="AX144" i="27"/>
  <c r="AU143" i="27"/>
  <c r="AW141" i="27"/>
  <c r="AY139" i="27"/>
  <c r="AV138" i="27"/>
  <c r="AX136" i="27"/>
  <c r="AU135" i="27"/>
  <c r="AW133" i="27"/>
  <c r="AY131" i="27"/>
  <c r="AV130" i="27"/>
  <c r="AX128" i="27"/>
  <c r="AW125" i="27"/>
  <c r="AY123" i="27"/>
  <c r="AX120" i="27"/>
  <c r="AU119" i="27"/>
  <c r="AX351" i="27"/>
  <c r="AY338" i="27"/>
  <c r="AU326" i="27"/>
  <c r="AV313" i="27"/>
  <c r="AU294" i="27"/>
  <c r="AW289" i="27"/>
  <c r="AW284" i="27"/>
  <c r="AU280" i="27"/>
  <c r="AU278" i="27"/>
  <c r="AY275" i="27"/>
  <c r="AU274" i="27"/>
  <c r="AY270" i="27"/>
  <c r="AV269" i="27"/>
  <c r="AU266" i="27"/>
  <c r="AW264" i="27"/>
  <c r="AV261" i="27"/>
  <c r="AX259" i="27"/>
  <c r="AU258" i="27"/>
  <c r="AW256" i="27"/>
  <c r="AY254" i="27"/>
  <c r="AV253" i="27"/>
  <c r="AX251" i="27"/>
  <c r="AU250" i="27"/>
  <c r="AW248" i="27"/>
  <c r="AY246" i="27"/>
  <c r="AV245" i="27"/>
  <c r="AX243" i="27"/>
  <c r="AW240" i="27"/>
  <c r="AY238" i="27"/>
  <c r="AX235" i="27"/>
  <c r="AU234" i="27"/>
  <c r="AY230" i="27"/>
  <c r="AV229" i="27"/>
  <c r="AU226" i="27"/>
  <c r="AW224" i="27"/>
  <c r="AV221" i="27"/>
  <c r="AX219" i="27"/>
  <c r="AU218" i="27"/>
  <c r="AW216" i="27"/>
  <c r="AY214" i="27"/>
  <c r="AV213" i="27"/>
  <c r="AX211" i="27"/>
  <c r="AU210" i="27"/>
  <c r="AW208" i="27"/>
  <c r="AY206" i="27"/>
  <c r="AV205" i="27"/>
  <c r="AX203" i="27"/>
  <c r="AW200" i="27"/>
  <c r="AY198" i="27"/>
  <c r="AX195" i="27"/>
  <c r="AU194" i="27"/>
  <c r="AY190" i="27"/>
  <c r="AV189" i="27"/>
  <c r="AU186" i="27"/>
  <c r="AW184" i="27"/>
  <c r="AV181" i="27"/>
  <c r="AX179" i="27"/>
  <c r="AU178" i="27"/>
  <c r="AW176" i="27"/>
  <c r="AY174" i="27"/>
  <c r="AV173" i="27"/>
  <c r="AX171" i="27"/>
  <c r="AU170" i="27"/>
  <c r="AW168" i="27"/>
  <c r="AY166" i="27"/>
  <c r="AV165" i="27"/>
  <c r="AX163" i="27"/>
  <c r="AW160" i="27"/>
  <c r="AY158" i="27"/>
  <c r="AX155" i="27"/>
  <c r="AU154" i="27"/>
  <c r="AY150" i="27"/>
  <c r="AV149" i="27"/>
  <c r="AU146" i="27"/>
  <c r="AW144" i="27"/>
  <c r="AV141" i="27"/>
  <c r="AX139" i="27"/>
  <c r="AU138" i="27"/>
  <c r="AW136" i="27"/>
  <c r="AY134" i="27"/>
  <c r="AV133" i="27"/>
  <c r="AX131" i="27"/>
  <c r="AU130" i="27"/>
  <c r="AW128" i="27"/>
  <c r="AY126" i="27"/>
  <c r="AV125" i="27"/>
  <c r="AX123" i="27"/>
  <c r="AW120" i="27"/>
  <c r="AY118" i="27"/>
  <c r="AU350" i="27"/>
  <c r="AW324" i="27"/>
  <c r="AX311" i="27"/>
  <c r="AV289" i="27"/>
  <c r="AW286" i="27"/>
  <c r="AU284" i="27"/>
  <c r="AY281" i="27"/>
  <c r="AY279" i="27"/>
  <c r="AW275" i="27"/>
  <c r="AY273" i="27"/>
  <c r="AX270" i="27"/>
  <c r="AU269" i="27"/>
  <c r="AY265" i="27"/>
  <c r="AV264" i="27"/>
  <c r="AU261" i="27"/>
  <c r="AW259" i="27"/>
  <c r="AV256" i="27"/>
  <c r="AX254" i="27"/>
  <c r="AU253" i="27"/>
  <c r="AW251" i="27"/>
  <c r="AY249" i="27"/>
  <c r="AV248" i="27"/>
  <c r="AX246" i="27"/>
  <c r="AU245" i="27"/>
  <c r="AW243" i="27"/>
  <c r="AY241" i="27"/>
  <c r="AV240" i="27"/>
  <c r="AX238" i="27"/>
  <c r="AW235" i="27"/>
  <c r="AY233" i="27"/>
  <c r="AX230" i="27"/>
  <c r="AU229" i="27"/>
  <c r="AY225" i="27"/>
  <c r="AV224" i="27"/>
  <c r="AU221" i="27"/>
  <c r="AW219" i="27"/>
  <c r="AV216" i="27"/>
  <c r="AX214" i="27"/>
  <c r="AU213" i="27"/>
  <c r="AW211" i="27"/>
  <c r="AY209" i="27"/>
  <c r="AV208" i="27"/>
  <c r="AX206" i="27"/>
  <c r="AU205" i="27"/>
  <c r="AW203" i="27"/>
  <c r="AY201" i="27"/>
  <c r="AV200" i="27"/>
  <c r="AX198" i="27"/>
  <c r="AW195" i="27"/>
  <c r="AY193" i="27"/>
  <c r="AX190" i="27"/>
  <c r="AU189" i="27"/>
  <c r="AY185" i="27"/>
  <c r="AV184" i="27"/>
  <c r="AU181" i="27"/>
  <c r="AW179" i="27"/>
  <c r="AV176" i="27"/>
  <c r="AX174" i="27"/>
  <c r="AU173" i="27"/>
  <c r="AW171" i="27"/>
  <c r="AY169" i="27"/>
  <c r="AV168" i="27"/>
  <c r="AX166" i="27"/>
  <c r="AU165" i="27"/>
  <c r="AW163" i="27"/>
  <c r="AY161" i="27"/>
  <c r="AV160" i="27"/>
  <c r="AX158" i="27"/>
  <c r="AW155" i="27"/>
  <c r="AY153" i="27"/>
  <c r="AX150" i="27"/>
  <c r="AU149" i="27"/>
  <c r="AY145" i="27"/>
  <c r="AV144" i="27"/>
  <c r="AU141" i="27"/>
  <c r="AW139" i="27"/>
  <c r="AV136" i="27"/>
  <c r="AX134" i="27"/>
  <c r="AU133" i="27"/>
  <c r="AW131" i="27"/>
  <c r="AY129" i="27"/>
  <c r="AV128" i="27"/>
  <c r="AX126" i="27"/>
  <c r="AU125" i="27"/>
  <c r="AW123" i="27"/>
  <c r="AY121" i="27"/>
  <c r="AV120" i="27"/>
  <c r="AX118" i="27"/>
  <c r="AV361" i="27"/>
  <c r="AW348" i="27"/>
  <c r="AX335" i="27"/>
  <c r="AU310" i="27"/>
  <c r="AY300" i="27"/>
  <c r="AY288" i="27"/>
  <c r="AV286" i="27"/>
  <c r="AY283" i="27"/>
  <c r="AX281" i="27"/>
  <c r="AX279" i="27"/>
  <c r="AV275" i="27"/>
  <c r="AX273" i="27"/>
  <c r="AW270" i="27"/>
  <c r="AY268" i="27"/>
  <c r="AX265" i="27"/>
  <c r="AU264" i="27"/>
  <c r="AY260" i="27"/>
  <c r="AV259" i="27"/>
  <c r="AU256" i="27"/>
  <c r="AW254" i="27"/>
  <c r="AV251" i="27"/>
  <c r="AX249" i="27"/>
  <c r="AU248" i="27"/>
  <c r="AW246" i="27"/>
  <c r="AY244" i="27"/>
  <c r="AV243" i="27"/>
  <c r="AX241" i="27"/>
  <c r="AU240" i="27"/>
  <c r="AW238" i="27"/>
  <c r="AY236" i="27"/>
  <c r="AV235" i="27"/>
  <c r="AX233" i="27"/>
  <c r="AW230" i="27"/>
  <c r="AY228" i="27"/>
  <c r="AX225" i="27"/>
  <c r="AU224" i="27"/>
  <c r="AY220" i="27"/>
  <c r="AV219" i="27"/>
  <c r="AU216" i="27"/>
  <c r="AW214" i="27"/>
  <c r="AV211" i="27"/>
  <c r="AX209" i="27"/>
  <c r="AU208" i="27"/>
  <c r="AW206" i="27"/>
  <c r="AY204" i="27"/>
  <c r="AV203" i="27"/>
  <c r="AX201" i="27"/>
  <c r="AU200" i="27"/>
  <c r="AW198" i="27"/>
  <c r="AY196" i="27"/>
  <c r="AV195" i="27"/>
  <c r="AX193" i="27"/>
  <c r="AW190" i="27"/>
  <c r="AY188" i="27"/>
  <c r="AX185" i="27"/>
  <c r="AU184" i="27"/>
  <c r="AY180" i="27"/>
  <c r="AV179" i="27"/>
  <c r="AU176" i="27"/>
  <c r="AW174" i="27"/>
  <c r="AV171" i="27"/>
  <c r="AX169" i="27"/>
  <c r="AU168" i="27"/>
  <c r="AW166" i="27"/>
  <c r="AY164" i="27"/>
  <c r="AV163" i="27"/>
  <c r="AX161" i="27"/>
  <c r="AU160" i="27"/>
  <c r="AW158" i="27"/>
  <c r="AY156" i="27"/>
  <c r="AV155" i="27"/>
  <c r="AX153" i="27"/>
  <c r="AW150" i="27"/>
  <c r="AY148" i="27"/>
  <c r="AX145" i="27"/>
  <c r="AU144" i="27"/>
  <c r="AY140" i="27"/>
  <c r="AV139" i="27"/>
  <c r="AU136" i="27"/>
  <c r="AW134" i="27"/>
  <c r="AV131" i="27"/>
  <c r="AX129" i="27"/>
  <c r="AU128" i="27"/>
  <c r="AW126" i="27"/>
  <c r="AY124" i="27"/>
  <c r="AV123" i="27"/>
  <c r="AX121" i="27"/>
  <c r="AU120" i="27"/>
  <c r="AW118" i="27"/>
  <c r="AX359" i="27"/>
  <c r="AY346" i="27"/>
  <c r="AU334" i="27"/>
  <c r="AV321" i="27"/>
  <c r="AW308" i="27"/>
  <c r="AX300" i="27"/>
  <c r="AU296" i="27"/>
  <c r="AX288" i="27"/>
  <c r="AU286" i="27"/>
  <c r="AW283" i="27"/>
  <c r="AW281" i="27"/>
  <c r="AV279" i="27"/>
  <c r="AU275" i="27"/>
  <c r="AW273" i="27"/>
  <c r="AY271" i="27"/>
  <c r="AV270" i="27"/>
  <c r="AX268" i="27"/>
  <c r="AW265" i="27"/>
  <c r="AY263" i="27"/>
  <c r="AX260" i="27"/>
  <c r="AU259" i="27"/>
  <c r="AY255" i="27"/>
  <c r="AV254" i="27"/>
  <c r="AU251" i="27"/>
  <c r="AW249" i="27"/>
  <c r="AV246" i="27"/>
  <c r="AX244" i="27"/>
  <c r="AU243" i="27"/>
  <c r="AW241" i="27"/>
  <c r="AY239" i="27"/>
  <c r="AV238" i="27"/>
  <c r="AX236" i="27"/>
  <c r="AU235" i="27"/>
  <c r="AW233" i="27"/>
  <c r="AY231" i="27"/>
  <c r="AV230" i="27"/>
  <c r="AX228" i="27"/>
  <c r="AW225" i="27"/>
  <c r="AY223" i="27"/>
  <c r="AX220" i="27"/>
  <c r="AU219" i="27"/>
  <c r="AY215" i="27"/>
  <c r="AV214" i="27"/>
  <c r="AU211" i="27"/>
  <c r="AW209" i="27"/>
  <c r="AV206" i="27"/>
  <c r="AX204" i="27"/>
  <c r="AU203" i="27"/>
  <c r="AW201" i="27"/>
  <c r="AY199" i="27"/>
  <c r="AV198" i="27"/>
  <c r="AX196" i="27"/>
  <c r="AU195" i="27"/>
  <c r="AW193" i="27"/>
  <c r="AY191" i="27"/>
  <c r="AV190" i="27"/>
  <c r="AX188" i="27"/>
  <c r="AW185" i="27"/>
  <c r="AY183" i="27"/>
  <c r="AX180" i="27"/>
  <c r="AU179" i="27"/>
  <c r="AY175" i="27"/>
  <c r="AV174" i="27"/>
  <c r="AU171" i="27"/>
  <c r="AW169" i="27"/>
  <c r="AV166" i="27"/>
  <c r="AX164" i="27"/>
  <c r="AU163" i="27"/>
  <c r="AW161" i="27"/>
  <c r="AY159" i="27"/>
  <c r="AV158" i="27"/>
  <c r="AX156" i="27"/>
  <c r="AU155" i="27"/>
  <c r="AW153" i="27"/>
  <c r="AY151" i="27"/>
  <c r="AV150" i="27"/>
  <c r="AX148" i="27"/>
  <c r="AW145" i="27"/>
  <c r="AY143" i="27"/>
  <c r="AX140" i="27"/>
  <c r="AU139" i="27"/>
  <c r="AY135" i="27"/>
  <c r="AV134" i="27"/>
  <c r="AU131" i="27"/>
  <c r="AW129" i="27"/>
  <c r="AV126" i="27"/>
  <c r="AX124" i="27"/>
  <c r="AU123" i="27"/>
  <c r="AW121" i="27"/>
  <c r="AY119" i="27"/>
  <c r="AV118" i="27"/>
  <c r="AU358" i="27"/>
  <c r="AV345" i="27"/>
  <c r="AX319" i="27"/>
  <c r="AY306" i="27"/>
  <c r="AW300" i="27"/>
  <c r="AY295" i="27"/>
  <c r="AV291" i="27"/>
  <c r="AU288" i="27"/>
  <c r="AX285" i="27"/>
  <c r="AV283" i="27"/>
  <c r="AV281" i="27"/>
  <c r="AU279" i="27"/>
  <c r="AY276" i="27"/>
  <c r="AY274" i="27"/>
  <c r="AV273" i="27"/>
  <c r="AX271" i="27"/>
  <c r="AU270" i="27"/>
  <c r="AW268" i="27"/>
  <c r="AY266" i="27"/>
  <c r="AV265" i="27"/>
  <c r="AX263" i="27"/>
  <c r="AW260" i="27"/>
  <c r="AY258" i="27"/>
  <c r="AX255" i="27"/>
  <c r="AU254" i="27"/>
  <c r="AY250" i="27"/>
  <c r="AV249" i="27"/>
  <c r="AU246" i="27"/>
  <c r="AW244" i="27"/>
  <c r="AV241" i="27"/>
  <c r="AX239" i="27"/>
  <c r="AU238" i="27"/>
  <c r="AW236" i="27"/>
  <c r="AY234" i="27"/>
  <c r="AV233" i="27"/>
  <c r="AX231" i="27"/>
  <c r="AU230" i="27"/>
  <c r="AW228" i="27"/>
  <c r="AY226" i="27"/>
  <c r="AV225" i="27"/>
  <c r="AX223" i="27"/>
  <c r="AW220" i="27"/>
  <c r="AY218" i="27"/>
  <c r="AX215" i="27"/>
  <c r="AU214" i="27"/>
  <c r="AY210" i="27"/>
  <c r="AV209" i="27"/>
  <c r="AU206" i="27"/>
  <c r="AW204" i="27"/>
  <c r="AV201" i="27"/>
  <c r="AX199" i="27"/>
  <c r="AU198" i="27"/>
  <c r="AW196" i="27"/>
  <c r="AY194" i="27"/>
  <c r="AV193" i="27"/>
  <c r="AX191" i="27"/>
  <c r="AU190" i="27"/>
  <c r="AW188" i="27"/>
  <c r="AY186" i="27"/>
  <c r="AV185" i="27"/>
  <c r="AX183" i="27"/>
  <c r="AW180" i="27"/>
  <c r="AY178" i="27"/>
  <c r="AX175" i="27"/>
  <c r="AU174" i="27"/>
  <c r="AY170" i="27"/>
  <c r="AV169" i="27"/>
  <c r="AU166" i="27"/>
  <c r="AW164" i="27"/>
  <c r="AV161" i="27"/>
  <c r="AX159" i="27"/>
  <c r="AU158" i="27"/>
  <c r="AW156" i="27"/>
  <c r="AY154" i="27"/>
  <c r="AV153" i="27"/>
  <c r="AX151" i="27"/>
  <c r="AU150" i="27"/>
  <c r="AW148" i="27"/>
  <c r="AY146" i="27"/>
  <c r="AV145" i="27"/>
  <c r="AX143" i="27"/>
  <c r="AW140" i="27"/>
  <c r="AY138" i="27"/>
  <c r="AX135" i="27"/>
  <c r="AU134" i="27"/>
  <c r="AY130" i="27"/>
  <c r="AV129" i="27"/>
  <c r="AU126" i="27"/>
  <c r="AW124" i="27"/>
  <c r="AV121" i="27"/>
  <c r="AX119" i="27"/>
  <c r="AU118" i="27"/>
  <c r="AU291" i="27"/>
  <c r="AU273" i="27"/>
  <c r="AV260" i="27"/>
  <c r="AX234" i="27"/>
  <c r="AY221" i="27"/>
  <c r="AU209" i="27"/>
  <c r="AV196" i="27"/>
  <c r="AW183" i="27"/>
  <c r="AX170" i="27"/>
  <c r="AU145" i="27"/>
  <c r="AW119" i="27"/>
  <c r="AW356" i="27"/>
  <c r="AW271" i="27"/>
  <c r="AX258" i="27"/>
  <c r="AY245" i="27"/>
  <c r="AU233" i="27"/>
  <c r="AV220" i="27"/>
  <c r="AX194" i="27"/>
  <c r="AY181" i="27"/>
  <c r="AU169" i="27"/>
  <c r="AV156" i="27"/>
  <c r="AW143" i="27"/>
  <c r="AX130" i="27"/>
  <c r="AX343" i="27"/>
  <c r="AW285" i="27"/>
  <c r="AY269" i="27"/>
  <c r="AV244" i="27"/>
  <c r="AW231" i="27"/>
  <c r="AX218" i="27"/>
  <c r="AY205" i="27"/>
  <c r="AU193" i="27"/>
  <c r="AV180" i="27"/>
  <c r="AX154" i="27"/>
  <c r="AY141" i="27"/>
  <c r="AU129" i="27"/>
  <c r="AY330" i="27"/>
  <c r="AU283" i="27"/>
  <c r="AV268" i="27"/>
  <c r="AW255" i="27"/>
  <c r="AY229" i="27"/>
  <c r="AV204" i="27"/>
  <c r="AW191" i="27"/>
  <c r="AX178" i="27"/>
  <c r="AY165" i="27"/>
  <c r="AU153" i="27"/>
  <c r="AV140" i="27"/>
  <c r="AU318" i="27"/>
  <c r="AY280" i="27"/>
  <c r="AX266" i="27"/>
  <c r="AY253" i="27"/>
  <c r="AU241" i="27"/>
  <c r="AV228" i="27"/>
  <c r="AW215" i="27"/>
  <c r="AY189" i="27"/>
  <c r="AV164" i="27"/>
  <c r="AW151" i="27"/>
  <c r="AX138" i="27"/>
  <c r="AY125" i="27"/>
  <c r="AV305" i="27"/>
  <c r="AX278" i="27"/>
  <c r="AU265" i="27"/>
  <c r="AW239" i="27"/>
  <c r="AX226" i="27"/>
  <c r="AY213" i="27"/>
  <c r="AU201" i="27"/>
  <c r="AV188" i="27"/>
  <c r="AW175" i="27"/>
  <c r="AY149" i="27"/>
  <c r="AV124" i="27"/>
  <c r="AV299" i="27"/>
  <c r="AX276" i="27"/>
  <c r="AW263" i="27"/>
  <c r="AX250" i="27"/>
  <c r="AU225" i="27"/>
  <c r="AW199" i="27"/>
  <c r="AX186" i="27"/>
  <c r="AY173" i="27"/>
  <c r="AU161" i="27"/>
  <c r="AV148" i="27"/>
  <c r="AW135" i="27"/>
  <c r="AX295" i="27"/>
  <c r="AX274" i="27"/>
  <c r="AY261" i="27"/>
  <c r="AU249" i="27"/>
  <c r="AV236" i="27"/>
  <c r="AW223" i="27"/>
  <c r="AX210" i="27"/>
  <c r="AU185" i="27"/>
  <c r="AW159" i="27"/>
  <c r="AX146" i="27"/>
  <c r="AY133" i="27"/>
  <c r="AU121" i="27"/>
  <c r="AV57" i="27"/>
  <c r="AX55" i="27"/>
  <c r="AU54" i="27"/>
  <c r="AW52" i="27"/>
  <c r="AY50" i="27"/>
  <c r="AV49" i="27"/>
  <c r="AX47" i="27"/>
  <c r="AU46" i="27"/>
  <c r="AW44" i="27"/>
  <c r="AY42" i="27"/>
  <c r="AV41" i="27"/>
  <c r="AX39" i="27"/>
  <c r="AU38" i="27"/>
  <c r="AW36" i="27"/>
  <c r="AY34" i="27"/>
  <c r="AV33" i="27"/>
  <c r="AX31" i="27"/>
  <c r="AU30" i="27"/>
  <c r="AW28" i="27"/>
  <c r="AY26" i="27"/>
  <c r="AV25" i="27"/>
  <c r="AX23" i="27"/>
  <c r="AU22" i="27"/>
  <c r="AW20" i="27"/>
  <c r="AY18" i="27"/>
  <c r="AV17" i="27"/>
  <c r="AX15" i="27"/>
  <c r="AU14" i="27"/>
  <c r="AW12" i="27"/>
  <c r="AY10" i="27"/>
  <c r="AV9" i="27"/>
  <c r="AU57" i="27"/>
  <c r="AW55" i="27"/>
  <c r="AY53" i="27"/>
  <c r="AV52" i="27"/>
  <c r="AX50" i="27"/>
  <c r="AU49" i="27"/>
  <c r="AW47" i="27"/>
  <c r="AY45" i="27"/>
  <c r="AV44" i="27"/>
  <c r="AX42" i="27"/>
  <c r="AU41" i="27"/>
  <c r="AW39" i="27"/>
  <c r="AY37" i="27"/>
  <c r="AV36" i="27"/>
  <c r="AX34" i="27"/>
  <c r="AU33" i="27"/>
  <c r="AW31" i="27"/>
  <c r="AY29" i="27"/>
  <c r="AV28" i="27"/>
  <c r="AX26" i="27"/>
  <c r="AU25" i="27"/>
  <c r="AW23" i="27"/>
  <c r="AY21" i="27"/>
  <c r="AV20" i="27"/>
  <c r="AX18" i="27"/>
  <c r="AU17" i="27"/>
  <c r="AW15" i="27"/>
  <c r="AY13" i="27"/>
  <c r="AV12" i="27"/>
  <c r="AX10" i="27"/>
  <c r="AU9" i="27"/>
  <c r="AY56" i="27"/>
  <c r="AV55" i="27"/>
  <c r="AX53" i="27"/>
  <c r="AU52" i="27"/>
  <c r="AW50" i="27"/>
  <c r="AY48" i="27"/>
  <c r="AV47" i="27"/>
  <c r="AX45" i="27"/>
  <c r="AU44" i="27"/>
  <c r="AW42" i="27"/>
  <c r="AY40" i="27"/>
  <c r="AV39" i="27"/>
  <c r="AX37" i="27"/>
  <c r="AU36" i="27"/>
  <c r="AW34" i="27"/>
  <c r="AY32" i="27"/>
  <c r="AV31" i="27"/>
  <c r="AX29" i="27"/>
  <c r="AU28" i="27"/>
  <c r="AW26" i="27"/>
  <c r="AY24" i="27"/>
  <c r="AV23" i="27"/>
  <c r="AX21" i="27"/>
  <c r="AU20" i="27"/>
  <c r="AW18" i="27"/>
  <c r="AY16" i="27"/>
  <c r="AV15" i="27"/>
  <c r="AX13" i="27"/>
  <c r="AU12" i="27"/>
  <c r="AW10" i="27"/>
  <c r="AY8" i="27"/>
  <c r="AX56" i="27"/>
  <c r="AU55" i="27"/>
  <c r="AW53" i="27"/>
  <c r="AY51" i="27"/>
  <c r="AV50" i="27"/>
  <c r="AX48" i="27"/>
  <c r="AU47" i="27"/>
  <c r="AW45" i="27"/>
  <c r="AY43" i="27"/>
  <c r="AV42" i="27"/>
  <c r="AX40" i="27"/>
  <c r="AU39" i="27"/>
  <c r="AW37" i="27"/>
  <c r="AY35" i="27"/>
  <c r="AV34" i="27"/>
  <c r="AX32" i="27"/>
  <c r="AU31" i="27"/>
  <c r="AW29" i="27"/>
  <c r="AY27" i="27"/>
  <c r="AV26" i="27"/>
  <c r="AX24" i="27"/>
  <c r="AU23" i="27"/>
  <c r="AW21" i="27"/>
  <c r="AY19" i="27"/>
  <c r="AV18" i="27"/>
  <c r="AX16" i="27"/>
  <c r="AU15" i="27"/>
  <c r="AW13" i="27"/>
  <c r="AY11" i="27"/>
  <c r="AV10" i="27"/>
  <c r="AX8" i="27"/>
  <c r="AW56" i="27"/>
  <c r="AY54" i="27"/>
  <c r="AV53" i="27"/>
  <c r="AX51" i="27"/>
  <c r="AU50" i="27"/>
  <c r="AW48" i="27"/>
  <c r="AY46" i="27"/>
  <c r="AV45" i="27"/>
  <c r="AX43" i="27"/>
  <c r="AU42" i="27"/>
  <c r="AW40" i="27"/>
  <c r="AY38" i="27"/>
  <c r="AV37" i="27"/>
  <c r="AX35" i="27"/>
  <c r="AU34" i="27"/>
  <c r="AW32" i="27"/>
  <c r="AY30" i="27"/>
  <c r="AV29" i="27"/>
  <c r="AX27" i="27"/>
  <c r="AU26" i="27"/>
  <c r="AW24" i="27"/>
  <c r="AY22" i="27"/>
  <c r="AV21" i="27"/>
  <c r="AX19" i="27"/>
  <c r="AU18" i="27"/>
  <c r="AW16" i="27"/>
  <c r="AY14" i="27"/>
  <c r="AV13" i="27"/>
  <c r="AX11" i="27"/>
  <c r="AU10" i="27"/>
  <c r="AW8" i="27"/>
  <c r="AY57" i="27"/>
  <c r="AV56" i="27"/>
  <c r="AX54" i="27"/>
  <c r="AU53" i="27"/>
  <c r="AW51" i="27"/>
  <c r="AY49" i="27"/>
  <c r="AV48" i="27"/>
  <c r="AX46" i="27"/>
  <c r="AU45" i="27"/>
  <c r="AW43" i="27"/>
  <c r="AY41" i="27"/>
  <c r="AV40" i="27"/>
  <c r="AX38" i="27"/>
  <c r="AU37" i="27"/>
  <c r="AW35" i="27"/>
  <c r="AY33" i="27"/>
  <c r="AV32" i="27"/>
  <c r="AX30" i="27"/>
  <c r="AU29" i="27"/>
  <c r="AW27" i="27"/>
  <c r="AY25" i="27"/>
  <c r="AV24" i="27"/>
  <c r="AX22" i="27"/>
  <c r="AU21" i="27"/>
  <c r="AW19" i="27"/>
  <c r="AY17" i="27"/>
  <c r="AV16" i="27"/>
  <c r="AX14" i="27"/>
  <c r="AU13" i="27"/>
  <c r="AW11" i="27"/>
  <c r="AY9" i="27"/>
  <c r="AV8" i="27"/>
  <c r="AW57" i="27"/>
  <c r="AY55" i="27"/>
  <c r="AV54" i="27"/>
  <c r="AX52" i="27"/>
  <c r="AU51" i="27"/>
  <c r="AW49" i="27"/>
  <c r="AY47" i="27"/>
  <c r="AV46" i="27"/>
  <c r="AX44" i="27"/>
  <c r="AU43" i="27"/>
  <c r="AW41" i="27"/>
  <c r="AY39" i="27"/>
  <c r="AV38" i="27"/>
  <c r="AX36" i="27"/>
  <c r="AU35" i="27"/>
  <c r="AW33" i="27"/>
  <c r="AY31" i="27"/>
  <c r="AV30" i="27"/>
  <c r="AX28" i="27"/>
  <c r="AU27" i="27"/>
  <c r="AW25" i="27"/>
  <c r="AY23" i="27"/>
  <c r="AV22" i="27"/>
  <c r="AX20" i="27"/>
  <c r="AU19" i="27"/>
  <c r="AW17" i="27"/>
  <c r="AY15" i="27"/>
  <c r="AV14" i="27"/>
  <c r="AX12" i="27"/>
  <c r="AU11" i="27"/>
  <c r="AW9" i="27"/>
  <c r="AW54" i="27"/>
  <c r="AX41" i="27"/>
  <c r="AY28" i="27"/>
  <c r="AU16" i="27"/>
  <c r="AV27" i="27"/>
  <c r="AY36" i="27"/>
  <c r="AY52" i="27"/>
  <c r="AU40" i="27"/>
  <c r="AW14" i="27"/>
  <c r="AU24" i="27"/>
  <c r="AV51" i="27"/>
  <c r="AW38" i="27"/>
  <c r="AX25" i="27"/>
  <c r="AY12" i="27"/>
  <c r="AV11" i="27"/>
  <c r="AX49" i="27"/>
  <c r="AU48" i="27"/>
  <c r="AV35" i="27"/>
  <c r="AW22" i="27"/>
  <c r="AX9" i="27"/>
  <c r="AX33" i="27"/>
  <c r="AU8" i="27"/>
  <c r="AW46" i="27"/>
  <c r="AY20" i="27"/>
  <c r="AV43" i="27"/>
  <c r="AX17" i="27"/>
  <c r="AX57" i="27"/>
  <c r="AY44" i="27"/>
  <c r="AU32" i="27"/>
  <c r="AV19" i="27"/>
  <c r="AW30" i="27"/>
  <c r="AU56" i="27"/>
  <c r="Y65" i="15"/>
  <c r="AN65" i="15"/>
  <c r="AF65" i="15"/>
  <c r="X65" i="15"/>
  <c r="AT65" i="15"/>
  <c r="AS65" i="15"/>
  <c r="AM65" i="15"/>
  <c r="AE65" i="15"/>
  <c r="AD65" i="15"/>
  <c r="AK65" i="15"/>
  <c r="AL65" i="15"/>
  <c r="AC65" i="15"/>
  <c r="AO65" i="15"/>
  <c r="AR65" i="15"/>
  <c r="AJ65" i="15"/>
  <c r="AB65" i="15"/>
  <c r="AQ65" i="15"/>
  <c r="AI65" i="15"/>
  <c r="AA65" i="15"/>
  <c r="AG65" i="15"/>
  <c r="AP65" i="15"/>
  <c r="AH65" i="15"/>
  <c r="Z65" i="15"/>
  <c r="E169" i="14"/>
  <c r="E154" i="14"/>
  <c r="E179" i="14"/>
  <c r="E196" i="14"/>
  <c r="E167" i="14"/>
  <c r="E165" i="14"/>
  <c r="E190" i="14"/>
  <c r="E183" i="14"/>
  <c r="E177" i="14"/>
  <c r="E162" i="14"/>
  <c r="E187" i="14"/>
  <c r="E163" i="14"/>
  <c r="E173" i="14"/>
  <c r="E195" i="14"/>
  <c r="E197" i="14"/>
  <c r="E185" i="14"/>
  <c r="E170" i="14"/>
  <c r="E198" i="14"/>
  <c r="E191" i="14"/>
  <c r="E178" i="14"/>
  <c r="E171" i="14"/>
  <c r="E186" i="14"/>
  <c r="E156" i="14"/>
  <c r="E158" i="14"/>
  <c r="E160" i="14"/>
  <c r="E194" i="14"/>
  <c r="E164" i="14"/>
  <c r="E166" i="14"/>
  <c r="E159" i="14"/>
  <c r="E168" i="14"/>
  <c r="E153" i="14"/>
  <c r="E172" i="14"/>
  <c r="E188" i="14"/>
  <c r="E174" i="14"/>
  <c r="E175" i="14"/>
  <c r="E161" i="14"/>
  <c r="E155" i="14"/>
  <c r="E180" i="14"/>
  <c r="E157" i="14"/>
  <c r="E182" i="14"/>
  <c r="E181" i="14"/>
  <c r="AE64" i="15"/>
  <c r="E189" i="14"/>
  <c r="E199" i="14"/>
  <c r="AD64" i="15"/>
  <c r="AC64" i="15"/>
  <c r="Y64" i="15"/>
  <c r="Z64" i="15"/>
  <c r="AB64" i="15"/>
  <c r="AA64" i="15"/>
  <c r="E176" i="14"/>
  <c r="E193" i="14"/>
  <c r="E202" i="14"/>
  <c r="AG64" i="15"/>
  <c r="E184" i="14"/>
  <c r="E201" i="14"/>
  <c r="E192" i="14"/>
  <c r="E200" i="14"/>
  <c r="AF64" i="15"/>
  <c r="X64" i="15"/>
  <c r="I227" i="15"/>
  <c r="I15" i="39" s="1"/>
  <c r="I229" i="15"/>
  <c r="I17" i="39" s="1"/>
  <c r="I228" i="15"/>
  <c r="I16" i="39" s="1"/>
  <c r="G23" i="12"/>
  <c r="I265" i="15"/>
  <c r="AZ511" i="14"/>
  <c r="W38" i="40" a="1"/>
  <c r="W38" i="40" s="1"/>
  <c r="AZ510" i="14"/>
  <c r="I39" i="15"/>
  <c r="AV25" i="15"/>
  <c r="I267" i="15"/>
  <c r="AU25" i="15"/>
  <c r="AU104" i="27"/>
  <c r="AU96" i="27"/>
  <c r="AU88" i="27"/>
  <c r="AU80" i="27"/>
  <c r="AU72" i="27"/>
  <c r="AU109" i="27"/>
  <c r="AU101" i="27"/>
  <c r="AU93" i="27"/>
  <c r="AU85" i="27"/>
  <c r="AU77" i="27"/>
  <c r="AU106" i="27"/>
  <c r="AU98" i="27"/>
  <c r="AU90" i="27"/>
  <c r="AU82" i="27"/>
  <c r="AU103" i="27"/>
  <c r="AU95" i="27"/>
  <c r="AU87" i="27"/>
  <c r="AU108" i="27"/>
  <c r="AU100" i="27"/>
  <c r="AU92" i="27"/>
  <c r="AU84" i="27"/>
  <c r="AU105" i="27"/>
  <c r="AU107" i="27"/>
  <c r="AU99" i="27"/>
  <c r="AU91" i="27"/>
  <c r="AU83" i="27"/>
  <c r="AU86" i="27"/>
  <c r="AU76" i="27"/>
  <c r="AU64" i="27"/>
  <c r="AU280" i="15"/>
  <c r="AW255" i="15"/>
  <c r="AW29" i="26" s="1"/>
  <c r="AW101" i="26" s="1"/>
  <c r="AV249" i="15"/>
  <c r="AV17" i="26" s="1"/>
  <c r="AV57" i="26" s="1"/>
  <c r="AU79" i="27"/>
  <c r="AU69" i="27"/>
  <c r="AU61" i="27"/>
  <c r="AU278" i="15"/>
  <c r="AV255" i="15"/>
  <c r="AV29" i="26" s="1"/>
  <c r="AV101" i="26" s="1"/>
  <c r="AU249" i="15"/>
  <c r="AU17" i="26" s="1"/>
  <c r="AU94" i="27"/>
  <c r="AU66" i="27"/>
  <c r="AU274" i="15"/>
  <c r="AU255" i="15"/>
  <c r="AU29" i="26" s="1"/>
  <c r="AU101" i="26" s="1"/>
  <c r="AT253" i="15"/>
  <c r="AT28" i="26" s="1"/>
  <c r="AT99" i="26" s="1"/>
  <c r="AU75" i="27"/>
  <c r="AU71" i="27"/>
  <c r="AU63" i="27"/>
  <c r="AU272" i="15"/>
  <c r="AY254" i="15"/>
  <c r="AY24" i="26" s="1"/>
  <c r="AY80" i="26" s="1"/>
  <c r="AT252" i="15"/>
  <c r="AT23" i="26" s="1"/>
  <c r="AU102" i="27"/>
  <c r="AU78" i="27"/>
  <c r="AU74" i="27"/>
  <c r="AU68" i="27"/>
  <c r="AU60" i="27"/>
  <c r="AU266" i="15"/>
  <c r="AX254" i="15"/>
  <c r="AX24" i="26" s="1"/>
  <c r="AX80" i="26" s="1"/>
  <c r="AU89" i="27"/>
  <c r="AU81" i="27"/>
  <c r="AU65" i="27"/>
  <c r="AU264" i="15"/>
  <c r="AW254" i="15"/>
  <c r="AW24" i="26" s="1"/>
  <c r="AW80" i="26" s="1"/>
  <c r="AY249" i="15"/>
  <c r="AY17" i="26" s="1"/>
  <c r="AY57" i="26" s="1"/>
  <c r="AT250" i="15"/>
  <c r="AT12" i="26" s="1"/>
  <c r="AT47" i="26" s="1"/>
  <c r="AU70" i="27"/>
  <c r="AU62" i="27"/>
  <c r="AY255" i="15"/>
  <c r="AY29" i="26" s="1"/>
  <c r="AY101" i="26" s="1"/>
  <c r="AV254" i="15"/>
  <c r="AV24" i="26" s="1"/>
  <c r="AV80" i="26" s="1"/>
  <c r="AU97" i="27"/>
  <c r="AU73" i="27"/>
  <c r="AU67" i="27"/>
  <c r="AX255" i="15"/>
  <c r="AX29" i="26" s="1"/>
  <c r="AX101" i="26" s="1"/>
  <c r="AU254" i="15"/>
  <c r="AU24" i="26" s="1"/>
  <c r="AU80" i="26" s="1"/>
  <c r="AX249" i="15"/>
  <c r="AX17" i="26" s="1"/>
  <c r="AX57" i="26" s="1"/>
  <c r="AW249" i="15"/>
  <c r="AW17" i="26" s="1"/>
  <c r="AW57" i="26" s="1"/>
  <c r="H202" i="36"/>
  <c r="F202" i="36"/>
  <c r="H201" i="36"/>
  <c r="F201" i="36"/>
  <c r="H200" i="36"/>
  <c r="F200" i="36"/>
  <c r="H199" i="36"/>
  <c r="F199" i="36"/>
  <c r="H198" i="36"/>
  <c r="F198" i="36"/>
  <c r="H197" i="36"/>
  <c r="F197" i="36"/>
  <c r="H196" i="36"/>
  <c r="F196" i="36"/>
  <c r="H195" i="36"/>
  <c r="F195" i="36"/>
  <c r="H194" i="36"/>
  <c r="F194" i="36"/>
  <c r="H193" i="36"/>
  <c r="F193" i="36"/>
  <c r="H192" i="36"/>
  <c r="F192" i="36"/>
  <c r="H191" i="36"/>
  <c r="F191" i="36"/>
  <c r="H190" i="36"/>
  <c r="F190" i="36"/>
  <c r="H189" i="36"/>
  <c r="F189" i="36"/>
  <c r="H188" i="36"/>
  <c r="F188" i="36"/>
  <c r="H187" i="36"/>
  <c r="F187" i="36"/>
  <c r="H186" i="36"/>
  <c r="F186" i="36"/>
  <c r="H185" i="36"/>
  <c r="F185" i="36"/>
  <c r="H184" i="36"/>
  <c r="F184" i="36"/>
  <c r="H183" i="36"/>
  <c r="F183" i="36"/>
  <c r="H182" i="36"/>
  <c r="F182" i="36"/>
  <c r="H181" i="36"/>
  <c r="F181" i="36"/>
  <c r="H180" i="36"/>
  <c r="F180" i="36"/>
  <c r="H179" i="36"/>
  <c r="F179" i="36"/>
  <c r="H178" i="36"/>
  <c r="F178" i="36"/>
  <c r="H177" i="36"/>
  <c r="F177" i="36"/>
  <c r="H176" i="36"/>
  <c r="F176" i="36"/>
  <c r="H175" i="36"/>
  <c r="F175" i="36"/>
  <c r="H174" i="36"/>
  <c r="F174" i="36"/>
  <c r="H173" i="36"/>
  <c r="F173" i="36"/>
  <c r="H172" i="36"/>
  <c r="F172" i="36"/>
  <c r="H171" i="36"/>
  <c r="F171" i="36"/>
  <c r="H170" i="36"/>
  <c r="F170" i="36"/>
  <c r="H169" i="36"/>
  <c r="F169" i="36"/>
  <c r="H168" i="36"/>
  <c r="F168" i="36"/>
  <c r="H167" i="36"/>
  <c r="F167" i="36"/>
  <c r="H166" i="36"/>
  <c r="F166" i="36"/>
  <c r="H165" i="36"/>
  <c r="F165" i="36"/>
  <c r="H164" i="36"/>
  <c r="F164" i="36"/>
  <c r="H163" i="36"/>
  <c r="F163" i="36"/>
  <c r="H162" i="36"/>
  <c r="F162" i="36"/>
  <c r="H161" i="36"/>
  <c r="F161" i="36"/>
  <c r="H160" i="36"/>
  <c r="F160" i="36"/>
  <c r="H159" i="36"/>
  <c r="F159" i="36"/>
  <c r="H158" i="36"/>
  <c r="F158" i="36"/>
  <c r="H157" i="36"/>
  <c r="F157" i="36"/>
  <c r="H156" i="36"/>
  <c r="F156" i="36"/>
  <c r="H155" i="36"/>
  <c r="F155" i="36"/>
  <c r="H154" i="36"/>
  <c r="F154" i="36"/>
  <c r="H153" i="36"/>
  <c r="F153" i="36"/>
  <c r="A1" i="36" a="1"/>
  <c r="A1" i="36" s="1"/>
  <c r="H202" i="35"/>
  <c r="F202" i="35"/>
  <c r="H201" i="35"/>
  <c r="F201" i="35"/>
  <c r="H200" i="35"/>
  <c r="F200" i="35"/>
  <c r="H199" i="35"/>
  <c r="F199" i="35"/>
  <c r="H198" i="35"/>
  <c r="F198" i="35"/>
  <c r="H197" i="35"/>
  <c r="F197" i="35"/>
  <c r="H196" i="35"/>
  <c r="F196" i="35"/>
  <c r="H195" i="35"/>
  <c r="F195" i="35"/>
  <c r="H194" i="35"/>
  <c r="F194" i="35"/>
  <c r="H193" i="35"/>
  <c r="F193" i="35"/>
  <c r="H192" i="35"/>
  <c r="F192" i="35"/>
  <c r="H191" i="35"/>
  <c r="F191" i="35"/>
  <c r="H190" i="35"/>
  <c r="F190" i="35"/>
  <c r="H189" i="35"/>
  <c r="F189" i="35"/>
  <c r="H188" i="35"/>
  <c r="F188" i="35"/>
  <c r="H187" i="35"/>
  <c r="F187" i="35"/>
  <c r="H186" i="35"/>
  <c r="F186" i="35"/>
  <c r="H185" i="35"/>
  <c r="F185" i="35"/>
  <c r="H184" i="35"/>
  <c r="F184" i="35"/>
  <c r="H183" i="35"/>
  <c r="F183" i="35"/>
  <c r="H182" i="35"/>
  <c r="F182" i="35"/>
  <c r="H181" i="35"/>
  <c r="F181" i="35"/>
  <c r="H180" i="35"/>
  <c r="F180" i="35"/>
  <c r="H179" i="35"/>
  <c r="F179" i="35"/>
  <c r="H178" i="35"/>
  <c r="F178" i="35"/>
  <c r="H177" i="35"/>
  <c r="F177" i="35"/>
  <c r="H176" i="35"/>
  <c r="F176" i="35"/>
  <c r="H175" i="35"/>
  <c r="F175" i="35"/>
  <c r="H174" i="35"/>
  <c r="F174" i="35"/>
  <c r="H173" i="35"/>
  <c r="F173" i="35"/>
  <c r="H172" i="35"/>
  <c r="F172" i="35"/>
  <c r="H171" i="35"/>
  <c r="F171" i="35"/>
  <c r="H170" i="35"/>
  <c r="F170" i="35"/>
  <c r="H169" i="35"/>
  <c r="F169" i="35"/>
  <c r="H168" i="35"/>
  <c r="F168" i="35"/>
  <c r="H167" i="35"/>
  <c r="F167" i="35"/>
  <c r="H166" i="35"/>
  <c r="F166" i="35"/>
  <c r="H165" i="35"/>
  <c r="F165" i="35"/>
  <c r="H164" i="35"/>
  <c r="F164" i="35"/>
  <c r="H163" i="35"/>
  <c r="F163" i="35"/>
  <c r="H162" i="35"/>
  <c r="F162" i="35"/>
  <c r="H161" i="35"/>
  <c r="F161" i="35"/>
  <c r="H160" i="35"/>
  <c r="F160" i="35"/>
  <c r="H159" i="35"/>
  <c r="F159" i="35"/>
  <c r="H158" i="35"/>
  <c r="F158" i="35"/>
  <c r="H157" i="35"/>
  <c r="F157" i="35"/>
  <c r="H156" i="35"/>
  <c r="F156" i="35"/>
  <c r="H155" i="35"/>
  <c r="F155" i="35"/>
  <c r="H154" i="35"/>
  <c r="F154" i="35"/>
  <c r="H153" i="35"/>
  <c r="F153" i="35"/>
  <c r="A1" i="35" a="1"/>
  <c r="A1" i="35" s="1"/>
  <c r="D28" i="26" a="1"/>
  <c r="D23" i="26" a="1"/>
  <c r="D17" i="26" a="1"/>
  <c r="BA44" i="35" l="1"/>
  <c r="BA208" i="35"/>
  <c r="BA212" i="35"/>
  <c r="BA216" i="35"/>
  <c r="BA220" i="35"/>
  <c r="BA224" i="35"/>
  <c r="BA228" i="35"/>
  <c r="BA232" i="35"/>
  <c r="BA236" i="35"/>
  <c r="BA240" i="35"/>
  <c r="BA244" i="35"/>
  <c r="BA248" i="35"/>
  <c r="BA252" i="35"/>
  <c r="BA256" i="35"/>
  <c r="BA260" i="35"/>
  <c r="BA264" i="35"/>
  <c r="BA268" i="35"/>
  <c r="BA272" i="35"/>
  <c r="BA207" i="35"/>
  <c r="BA211" i="35"/>
  <c r="BA215" i="35"/>
  <c r="BA219" i="35"/>
  <c r="BA223" i="35"/>
  <c r="BA227" i="35"/>
  <c r="BA231" i="35"/>
  <c r="BA235" i="35"/>
  <c r="BA239" i="35"/>
  <c r="BA243" i="35"/>
  <c r="BA247" i="35"/>
  <c r="BA251" i="35"/>
  <c r="BA255" i="35"/>
  <c r="BA259" i="35"/>
  <c r="BA263" i="35"/>
  <c r="BA267" i="35"/>
  <c r="BA271" i="35"/>
  <c r="BA275" i="35"/>
  <c r="BA206" i="35"/>
  <c r="BA210" i="35"/>
  <c r="BA214" i="35"/>
  <c r="BA218" i="35"/>
  <c r="BA222" i="35"/>
  <c r="BA226" i="35"/>
  <c r="BA230" i="35"/>
  <c r="BA234" i="35"/>
  <c r="BA238" i="35"/>
  <c r="BA242" i="35"/>
  <c r="BA246" i="35"/>
  <c r="BA250" i="35"/>
  <c r="BA254" i="35"/>
  <c r="BA258" i="35"/>
  <c r="BA262" i="35"/>
  <c r="BA266" i="35"/>
  <c r="BA270" i="35"/>
  <c r="BA274" i="35"/>
  <c r="BA278" i="35"/>
  <c r="BA281" i="35"/>
  <c r="BA304" i="35"/>
  <c r="BA307" i="35"/>
  <c r="BA310" i="35"/>
  <c r="BA313" i="35"/>
  <c r="BA336" i="35"/>
  <c r="BA339" i="35"/>
  <c r="BA342" i="35"/>
  <c r="BA345" i="35"/>
  <c r="BA368" i="35"/>
  <c r="BA371" i="35"/>
  <c r="BA374" i="35"/>
  <c r="BA377" i="35"/>
  <c r="BA401" i="35"/>
  <c r="BA404" i="35"/>
  <c r="BA209" i="35"/>
  <c r="BA225" i="35"/>
  <c r="BA241" i="35"/>
  <c r="BA257" i="35"/>
  <c r="BA273" i="35"/>
  <c r="BA292" i="35"/>
  <c r="BA295" i="35"/>
  <c r="BA298" i="35"/>
  <c r="BA301" i="35"/>
  <c r="BA324" i="35"/>
  <c r="BA327" i="35"/>
  <c r="BA330" i="35"/>
  <c r="BA333" i="35"/>
  <c r="BA356" i="35"/>
  <c r="BA359" i="35"/>
  <c r="BA362" i="35"/>
  <c r="BA365" i="35"/>
  <c r="BA388" i="35"/>
  <c r="BA391" i="35"/>
  <c r="BA394" i="35"/>
  <c r="BA407" i="35"/>
  <c r="BA411" i="35"/>
  <c r="BA415" i="35"/>
  <c r="BA419" i="35"/>
  <c r="BA423" i="35"/>
  <c r="BA427" i="35"/>
  <c r="BA431" i="35"/>
  <c r="BA435" i="35"/>
  <c r="BA439" i="35"/>
  <c r="BA443" i="35"/>
  <c r="BA447" i="35"/>
  <c r="BA451" i="35"/>
  <c r="BA280" i="35"/>
  <c r="BA283" i="35"/>
  <c r="BA286" i="35"/>
  <c r="BA289" i="35"/>
  <c r="BA312" i="35"/>
  <c r="BA315" i="35"/>
  <c r="BA318" i="35"/>
  <c r="BA321" i="35"/>
  <c r="BA344" i="35"/>
  <c r="BA347" i="35"/>
  <c r="BA350" i="35"/>
  <c r="BA353" i="35"/>
  <c r="BA376" i="35"/>
  <c r="BA379" i="35"/>
  <c r="BA382" i="35"/>
  <c r="BA385" i="35"/>
  <c r="BA397" i="35"/>
  <c r="BA400" i="35"/>
  <c r="BA213" i="35"/>
  <c r="BA229" i="35"/>
  <c r="BA245" i="35"/>
  <c r="BA261" i="35"/>
  <c r="BA300" i="35"/>
  <c r="BA303" i="35"/>
  <c r="BA306" i="35"/>
  <c r="BA309" i="35"/>
  <c r="BA332" i="35"/>
  <c r="BA335" i="35"/>
  <c r="BA338" i="35"/>
  <c r="BA341" i="35"/>
  <c r="BA364" i="35"/>
  <c r="BA367" i="35"/>
  <c r="BA370" i="35"/>
  <c r="BA373" i="35"/>
  <c r="BA403" i="35"/>
  <c r="BA406" i="35"/>
  <c r="BA410" i="35"/>
  <c r="BA414" i="35"/>
  <c r="BA418" i="35"/>
  <c r="BA422" i="35"/>
  <c r="BA426" i="35"/>
  <c r="BA430" i="35"/>
  <c r="BA434" i="35"/>
  <c r="BA438" i="35"/>
  <c r="BA442" i="35"/>
  <c r="BA446" i="35"/>
  <c r="BA450" i="35"/>
  <c r="BA454" i="35"/>
  <c r="BA277" i="35"/>
  <c r="BA288" i="35"/>
  <c r="BA291" i="35"/>
  <c r="BA294" i="35"/>
  <c r="BA297" i="35"/>
  <c r="BA320" i="35"/>
  <c r="BA323" i="35"/>
  <c r="BA326" i="35"/>
  <c r="BA329" i="35"/>
  <c r="BA352" i="35"/>
  <c r="BA355" i="35"/>
  <c r="BA358" i="35"/>
  <c r="BA361" i="35"/>
  <c r="BA384" i="35"/>
  <c r="BA387" i="35"/>
  <c r="BA390" i="35"/>
  <c r="BA393" i="35"/>
  <c r="BA396" i="35"/>
  <c r="BA205" i="35"/>
  <c r="BA221" i="35"/>
  <c r="BA237" i="35"/>
  <c r="BA253" i="35"/>
  <c r="BA269" i="35"/>
  <c r="BA284" i="35"/>
  <c r="BA287" i="35"/>
  <c r="BA290" i="35"/>
  <c r="BA293" i="35"/>
  <c r="BA316" i="35"/>
  <c r="BA319" i="35"/>
  <c r="BA322" i="35"/>
  <c r="BA325" i="35"/>
  <c r="BA348" i="35"/>
  <c r="BA351" i="35"/>
  <c r="BA354" i="35"/>
  <c r="BA357" i="35"/>
  <c r="BA380" i="35"/>
  <c r="BA383" i="35"/>
  <c r="BA386" i="35"/>
  <c r="BA389" i="35"/>
  <c r="BA395" i="35"/>
  <c r="BA398" i="35"/>
  <c r="BA408" i="35"/>
  <c r="BA412" i="35"/>
  <c r="BA416" i="35"/>
  <c r="BA420" i="35"/>
  <c r="BA424" i="35"/>
  <c r="BA428" i="35"/>
  <c r="BA432" i="35"/>
  <c r="BA436" i="35"/>
  <c r="BA440" i="35"/>
  <c r="BA444" i="35"/>
  <c r="BA448" i="35"/>
  <c r="BA452" i="35"/>
  <c r="BA308" i="35"/>
  <c r="BA317" i="35"/>
  <c r="BA372" i="35"/>
  <c r="BA381" i="35"/>
  <c r="BA417" i="35"/>
  <c r="BA449" i="35"/>
  <c r="BA279" i="35"/>
  <c r="BA334" i="35"/>
  <c r="BA402" i="35"/>
  <c r="BA429" i="35"/>
  <c r="BA233" i="35"/>
  <c r="BA296" i="35"/>
  <c r="BA343" i="35"/>
  <c r="BA360" i="35"/>
  <c r="BA409" i="35"/>
  <c r="BA441" i="35"/>
  <c r="BA276" i="35"/>
  <c r="BA305" i="35"/>
  <c r="BA314" i="35"/>
  <c r="BA331" i="35"/>
  <c r="BA369" i="35"/>
  <c r="BA378" i="35"/>
  <c r="BA421" i="35"/>
  <c r="BA453" i="35"/>
  <c r="BA265" i="35"/>
  <c r="BA285" i="35"/>
  <c r="BA340" i="35"/>
  <c r="BA349" i="35"/>
  <c r="BA399" i="35"/>
  <c r="BA433" i="35"/>
  <c r="BA217" i="35"/>
  <c r="BA302" i="35"/>
  <c r="BA366" i="35"/>
  <c r="BA413" i="35"/>
  <c r="BA445" i="35"/>
  <c r="BA282" i="35"/>
  <c r="BA328" i="35"/>
  <c r="BA437" i="35"/>
  <c r="BA311" i="35"/>
  <c r="BA363" i="35"/>
  <c r="BA405" i="35"/>
  <c r="BA425" i="35"/>
  <c r="BA249" i="35"/>
  <c r="BA392" i="35"/>
  <c r="BA337" i="35"/>
  <c r="BA299" i="35"/>
  <c r="BA346" i="35"/>
  <c r="BA375" i="35"/>
  <c r="BA44" i="36"/>
  <c r="BA205" i="36"/>
  <c r="BA209" i="36"/>
  <c r="BA213" i="36"/>
  <c r="BA217" i="36"/>
  <c r="BA221" i="36"/>
  <c r="BA225" i="36"/>
  <c r="BA229" i="36"/>
  <c r="BA233" i="36"/>
  <c r="BA237" i="36"/>
  <c r="BA241" i="36"/>
  <c r="BA245" i="36"/>
  <c r="BA249" i="36"/>
  <c r="BA253" i="36"/>
  <c r="BA257" i="36"/>
  <c r="BA261" i="36"/>
  <c r="BA265" i="36"/>
  <c r="BA269" i="36"/>
  <c r="BA273" i="36"/>
  <c r="BA277" i="36"/>
  <c r="BA281" i="36"/>
  <c r="BA285" i="36"/>
  <c r="BA289" i="36"/>
  <c r="BA293" i="36"/>
  <c r="BA297" i="36"/>
  <c r="BA301" i="36"/>
  <c r="BA305" i="36"/>
  <c r="BA309" i="36"/>
  <c r="BA313" i="36"/>
  <c r="BA317" i="36"/>
  <c r="BA321" i="36"/>
  <c r="BA208" i="36"/>
  <c r="BA212" i="36"/>
  <c r="BA216" i="36"/>
  <c r="BA220" i="36"/>
  <c r="BA224" i="36"/>
  <c r="BA228" i="36"/>
  <c r="BA232" i="36"/>
  <c r="BA236" i="36"/>
  <c r="BA240" i="36"/>
  <c r="BA244" i="36"/>
  <c r="BA248" i="36"/>
  <c r="BA252" i="36"/>
  <c r="BA256" i="36"/>
  <c r="BA260" i="36"/>
  <c r="BA264" i="36"/>
  <c r="BA268" i="36"/>
  <c r="BA272" i="36"/>
  <c r="BA276" i="36"/>
  <c r="BA280" i="36"/>
  <c r="BA284" i="36"/>
  <c r="BA288" i="36"/>
  <c r="BA292" i="36"/>
  <c r="BA296" i="36"/>
  <c r="BA300" i="36"/>
  <c r="BA304" i="36"/>
  <c r="BA308" i="36"/>
  <c r="BA312" i="36"/>
  <c r="BA316" i="36"/>
  <c r="BA320" i="36"/>
  <c r="BA324" i="36"/>
  <c r="BA328" i="36"/>
  <c r="BA206" i="36"/>
  <c r="BA210" i="36"/>
  <c r="BA214" i="36"/>
  <c r="BA218" i="36"/>
  <c r="BA222" i="36"/>
  <c r="BA226" i="36"/>
  <c r="BA230" i="36"/>
  <c r="BA234" i="36"/>
  <c r="BA238" i="36"/>
  <c r="BA242" i="36"/>
  <c r="BA246" i="36"/>
  <c r="BA250" i="36"/>
  <c r="BA254" i="36"/>
  <c r="BA258" i="36"/>
  <c r="BA262" i="36"/>
  <c r="BA266" i="36"/>
  <c r="BA270" i="36"/>
  <c r="BA274" i="36"/>
  <c r="BA278" i="36"/>
  <c r="BA282" i="36"/>
  <c r="BA286" i="36"/>
  <c r="BA290" i="36"/>
  <c r="BA294" i="36"/>
  <c r="BA298" i="36"/>
  <c r="BA302" i="36"/>
  <c r="BA306" i="36"/>
  <c r="BA310" i="36"/>
  <c r="BA314" i="36"/>
  <c r="BA318" i="36"/>
  <c r="BA322" i="36"/>
  <c r="BA326" i="36"/>
  <c r="BA330" i="36"/>
  <c r="BA344" i="36"/>
  <c r="BA347" i="36"/>
  <c r="BA358" i="36"/>
  <c r="BA365" i="36"/>
  <c r="BA372" i="36"/>
  <c r="BA379" i="36"/>
  <c r="BA390" i="36"/>
  <c r="BA397" i="36"/>
  <c r="BA404" i="36"/>
  <c r="BA411" i="36"/>
  <c r="BA422" i="36"/>
  <c r="BA429" i="36"/>
  <c r="BA436" i="36"/>
  <c r="BA443" i="36"/>
  <c r="BA211" i="36"/>
  <c r="BA219" i="36"/>
  <c r="BA227" i="36"/>
  <c r="BA235" i="36"/>
  <c r="BA243" i="36"/>
  <c r="BA251" i="36"/>
  <c r="BA259" i="36"/>
  <c r="BA267" i="36"/>
  <c r="BA275" i="36"/>
  <c r="BA283" i="36"/>
  <c r="BA291" i="36"/>
  <c r="BA299" i="36"/>
  <c r="BA307" i="36"/>
  <c r="BA319" i="36"/>
  <c r="BA331" i="36"/>
  <c r="BA334" i="36"/>
  <c r="BA337" i="36"/>
  <c r="BA354" i="36"/>
  <c r="BA361" i="36"/>
  <c r="BA368" i="36"/>
  <c r="BA375" i="36"/>
  <c r="BA386" i="36"/>
  <c r="BA393" i="36"/>
  <c r="BA400" i="36"/>
  <c r="BA407" i="36"/>
  <c r="BA418" i="36"/>
  <c r="BA425" i="36"/>
  <c r="BA432" i="36"/>
  <c r="BA439" i="36"/>
  <c r="BA450" i="36"/>
  <c r="BA454" i="36"/>
  <c r="BA340" i="36"/>
  <c r="BA343" i="36"/>
  <c r="BA350" i="36"/>
  <c r="BA357" i="36"/>
  <c r="BA364" i="36"/>
  <c r="BA371" i="36"/>
  <c r="BA382" i="36"/>
  <c r="BA389" i="36"/>
  <c r="BA396" i="36"/>
  <c r="BA403" i="36"/>
  <c r="BA414" i="36"/>
  <c r="BA421" i="36"/>
  <c r="BA428" i="36"/>
  <c r="BA435" i="36"/>
  <c r="BA446" i="36"/>
  <c r="BA323" i="36"/>
  <c r="BA333" i="36"/>
  <c r="BA346" i="36"/>
  <c r="BA353" i="36"/>
  <c r="BA360" i="36"/>
  <c r="BA367" i="36"/>
  <c r="BA378" i="36"/>
  <c r="BA385" i="36"/>
  <c r="BA392" i="36"/>
  <c r="BA399" i="36"/>
  <c r="BA410" i="36"/>
  <c r="BA417" i="36"/>
  <c r="BA424" i="36"/>
  <c r="BA431" i="36"/>
  <c r="BA442" i="36"/>
  <c r="BA449" i="36"/>
  <c r="BA453" i="36"/>
  <c r="BA207" i="36"/>
  <c r="BA311" i="36"/>
  <c r="BA325" i="36"/>
  <c r="BA336" i="36"/>
  <c r="BA339" i="36"/>
  <c r="BA349" i="36"/>
  <c r="BA356" i="36"/>
  <c r="BA363" i="36"/>
  <c r="BA374" i="36"/>
  <c r="BA381" i="36"/>
  <c r="BA388" i="36"/>
  <c r="BA395" i="36"/>
  <c r="BA406" i="36"/>
  <c r="BA413" i="36"/>
  <c r="BA420" i="36"/>
  <c r="BA427" i="36"/>
  <c r="BA438" i="36"/>
  <c r="BA445" i="36"/>
  <c r="BA215" i="36"/>
  <c r="BA223" i="36"/>
  <c r="BA231" i="36"/>
  <c r="BA239" i="36"/>
  <c r="BA247" i="36"/>
  <c r="BA255" i="36"/>
  <c r="BA263" i="36"/>
  <c r="BA271" i="36"/>
  <c r="BA279" i="36"/>
  <c r="BA287" i="36"/>
  <c r="BA295" i="36"/>
  <c r="BA303" i="36"/>
  <c r="BA342" i="36"/>
  <c r="BA345" i="36"/>
  <c r="BA352" i="36"/>
  <c r="BA359" i="36"/>
  <c r="BA370" i="36"/>
  <c r="BA377" i="36"/>
  <c r="BA384" i="36"/>
  <c r="BA391" i="36"/>
  <c r="BA402" i="36"/>
  <c r="BA409" i="36"/>
  <c r="BA416" i="36"/>
  <c r="BA423" i="36"/>
  <c r="BA434" i="36"/>
  <c r="BA441" i="36"/>
  <c r="BA448" i="36"/>
  <c r="BA452" i="36"/>
  <c r="BA338" i="36"/>
  <c r="BA369" i="36"/>
  <c r="BA430" i="36"/>
  <c r="BA440" i="36"/>
  <c r="BA335" i="36"/>
  <c r="BA398" i="36"/>
  <c r="BA408" i="36"/>
  <c r="BA437" i="36"/>
  <c r="BA447" i="36"/>
  <c r="BA366" i="36"/>
  <c r="BA376" i="36"/>
  <c r="BA405" i="36"/>
  <c r="BA415" i="36"/>
  <c r="BA444" i="36"/>
  <c r="BA315" i="36"/>
  <c r="BA373" i="36"/>
  <c r="BA383" i="36"/>
  <c r="BA412" i="36"/>
  <c r="BA419" i="36"/>
  <c r="BA451" i="36"/>
  <c r="BA332" i="36"/>
  <c r="BA351" i="36"/>
  <c r="BA380" i="36"/>
  <c r="BA387" i="36"/>
  <c r="BA426" i="36"/>
  <c r="BA329" i="36"/>
  <c r="BA401" i="36"/>
  <c r="BA327" i="36"/>
  <c r="BA433" i="36"/>
  <c r="BA355" i="36"/>
  <c r="BA394" i="36"/>
  <c r="BA348" i="36"/>
  <c r="BA362" i="36"/>
  <c r="BA341" i="36"/>
  <c r="I72" i="40"/>
  <c r="I74" i="40"/>
  <c r="F279" i="15"/>
  <c r="H279" i="15"/>
  <c r="BA590" i="35"/>
  <c r="BA591" i="35"/>
  <c r="BA590" i="36"/>
  <c r="BA591" i="36"/>
  <c r="BA55" i="35"/>
  <c r="BA60" i="35"/>
  <c r="BA55" i="36"/>
  <c r="BA60" i="36"/>
  <c r="G241" i="15"/>
  <c r="G240" i="15"/>
  <c r="G239" i="15"/>
  <c r="G238" i="15"/>
  <c r="G237" i="15"/>
  <c r="G243" i="15"/>
  <c r="G234" i="15"/>
  <c r="G55" i="35"/>
  <c r="G55" i="36"/>
  <c r="G55" i="14"/>
  <c r="E78" i="27"/>
  <c r="E108" i="27"/>
  <c r="E89" i="27"/>
  <c r="E82" i="27"/>
  <c r="E75" i="27"/>
  <c r="E69" i="27"/>
  <c r="E74" i="27"/>
  <c r="E81" i="27"/>
  <c r="E91" i="27"/>
  <c r="E66" i="27"/>
  <c r="E93" i="27"/>
  <c r="E104" i="27"/>
  <c r="E84" i="27"/>
  <c r="E103" i="27"/>
  <c r="E64" i="27"/>
  <c r="E95" i="27"/>
  <c r="E73" i="27"/>
  <c r="E67" i="27"/>
  <c r="E85" i="27"/>
  <c r="E102" i="27"/>
  <c r="E109" i="27"/>
  <c r="E87" i="27"/>
  <c r="E86" i="27"/>
  <c r="E100" i="27"/>
  <c r="E106" i="27"/>
  <c r="E79" i="27"/>
  <c r="E65" i="27"/>
  <c r="E80" i="27"/>
  <c r="E90" i="27"/>
  <c r="E61" i="27"/>
  <c r="E83" i="27"/>
  <c r="E96" i="27"/>
  <c r="E62" i="27"/>
  <c r="E71" i="27"/>
  <c r="E77" i="27"/>
  <c r="E70" i="27"/>
  <c r="E97" i="27"/>
  <c r="E76" i="27"/>
  <c r="E107" i="27"/>
  <c r="E92" i="27"/>
  <c r="E98" i="27"/>
  <c r="E99" i="27"/>
  <c r="E88" i="27"/>
  <c r="E68" i="27"/>
  <c r="E60" i="27"/>
  <c r="E101" i="27"/>
  <c r="E63" i="27"/>
  <c r="E105" i="27"/>
  <c r="E94" i="27"/>
  <c r="E72" i="27"/>
  <c r="G484" i="35"/>
  <c r="G461" i="35"/>
  <c r="G144" i="35"/>
  <c r="G136" i="35"/>
  <c r="G128" i="35"/>
  <c r="G120" i="35"/>
  <c r="G112" i="35"/>
  <c r="G104" i="35"/>
  <c r="G50" i="35"/>
  <c r="G40" i="35"/>
  <c r="G483" i="35"/>
  <c r="G460" i="35"/>
  <c r="G143" i="35"/>
  <c r="G135" i="35"/>
  <c r="G127" i="35"/>
  <c r="G119" i="35"/>
  <c r="G111" i="35"/>
  <c r="G103" i="35"/>
  <c r="G62" i="35"/>
  <c r="G49" i="35"/>
  <c r="G39" i="35"/>
  <c r="G478" i="35"/>
  <c r="G459" i="35"/>
  <c r="G142" i="35"/>
  <c r="G134" i="35"/>
  <c r="G126" i="35"/>
  <c r="G118" i="35"/>
  <c r="G110" i="35"/>
  <c r="G102" i="35"/>
  <c r="G48" i="35"/>
  <c r="G474" i="35"/>
  <c r="G458" i="35"/>
  <c r="G141" i="35"/>
  <c r="G133" i="35"/>
  <c r="G125" i="35"/>
  <c r="G117" i="35"/>
  <c r="G109" i="35"/>
  <c r="G101" i="35"/>
  <c r="G80" i="35"/>
  <c r="G47" i="35"/>
  <c r="G498" i="35"/>
  <c r="G472" i="35"/>
  <c r="G148" i="35"/>
  <c r="G140" i="35"/>
  <c r="G132" i="35"/>
  <c r="G124" i="35"/>
  <c r="G116" i="35"/>
  <c r="G108" i="35"/>
  <c r="G100" i="35"/>
  <c r="G79" i="35"/>
  <c r="G43" i="35"/>
  <c r="G495" i="35"/>
  <c r="G468" i="35"/>
  <c r="G147" i="35"/>
  <c r="G139" i="35"/>
  <c r="G131" i="35"/>
  <c r="G123" i="35"/>
  <c r="G115" i="35"/>
  <c r="G107" i="35"/>
  <c r="G99" i="35"/>
  <c r="G78" i="35"/>
  <c r="G137" i="35"/>
  <c r="G105" i="35"/>
  <c r="G77" i="35"/>
  <c r="G51" i="35"/>
  <c r="G20" i="35"/>
  <c r="G10" i="35"/>
  <c r="G483" i="36"/>
  <c r="G460" i="36"/>
  <c r="G143" i="36"/>
  <c r="G135" i="36"/>
  <c r="G127" i="36"/>
  <c r="G119" i="36"/>
  <c r="G111" i="36"/>
  <c r="G103" i="36"/>
  <c r="G62" i="36"/>
  <c r="G49" i="36"/>
  <c r="G39" i="36"/>
  <c r="G18" i="36"/>
  <c r="G50" i="39"/>
  <c r="G28" i="39"/>
  <c r="G11" i="39"/>
  <c r="G250" i="15"/>
  <c r="G31" i="27"/>
  <c r="G145" i="14"/>
  <c r="G137" i="14"/>
  <c r="G129" i="14"/>
  <c r="G121" i="14"/>
  <c r="G493" i="35"/>
  <c r="G129" i="35"/>
  <c r="G41" i="35"/>
  <c r="G18" i="35"/>
  <c r="G474" i="36"/>
  <c r="G458" i="36"/>
  <c r="G141" i="36"/>
  <c r="G133" i="36"/>
  <c r="G125" i="36"/>
  <c r="G117" i="36"/>
  <c r="G109" i="36"/>
  <c r="G101" i="36"/>
  <c r="G80" i="36"/>
  <c r="G47" i="36"/>
  <c r="G16" i="36"/>
  <c r="G61" i="39"/>
  <c r="G45" i="39"/>
  <c r="G25" i="39"/>
  <c r="G9" i="39"/>
  <c r="G37" i="27"/>
  <c r="G29" i="27"/>
  <c r="G143" i="14"/>
  <c r="G135" i="14"/>
  <c r="G146" i="35"/>
  <c r="G114" i="35"/>
  <c r="G13" i="35"/>
  <c r="G494" i="36"/>
  <c r="G465" i="36"/>
  <c r="G146" i="36"/>
  <c r="G138" i="36"/>
  <c r="G130" i="36"/>
  <c r="G122" i="36"/>
  <c r="G114" i="36"/>
  <c r="G106" i="36"/>
  <c r="G77" i="36"/>
  <c r="G52" i="36"/>
  <c r="G42" i="36"/>
  <c r="G23" i="36"/>
  <c r="G11" i="36"/>
  <c r="G57" i="39"/>
  <c r="G37" i="39"/>
  <c r="G20" i="39"/>
  <c r="G34" i="27"/>
  <c r="G148" i="14"/>
  <c r="G140" i="14"/>
  <c r="G132" i="14"/>
  <c r="G124" i="14"/>
  <c r="G116" i="14"/>
  <c r="G145" i="35"/>
  <c r="G113" i="35"/>
  <c r="G12" i="35"/>
  <c r="G493" i="36"/>
  <c r="G462" i="36"/>
  <c r="G145" i="36"/>
  <c r="G137" i="36"/>
  <c r="G129" i="36"/>
  <c r="G121" i="36"/>
  <c r="G113" i="36"/>
  <c r="G105" i="36"/>
  <c r="G86" i="36"/>
  <c r="G51" i="36"/>
  <c r="G41" i="36"/>
  <c r="G20" i="36"/>
  <c r="G10" i="36"/>
  <c r="G56" i="39"/>
  <c r="G35" i="39"/>
  <c r="G13" i="39"/>
  <c r="G33" i="27"/>
  <c r="G147" i="14"/>
  <c r="G139" i="14"/>
  <c r="G131" i="14"/>
  <c r="G122" i="35"/>
  <c r="G498" i="36"/>
  <c r="G148" i="36"/>
  <c r="G132" i="36"/>
  <c r="G116" i="36"/>
  <c r="G100" i="36"/>
  <c r="G42" i="39"/>
  <c r="G49" i="8"/>
  <c r="G30" i="27"/>
  <c r="G136" i="14"/>
  <c r="G123" i="14"/>
  <c r="G113" i="14"/>
  <c r="G105" i="14"/>
  <c r="G121" i="35"/>
  <c r="G23" i="35"/>
  <c r="G495" i="36"/>
  <c r="G131" i="36"/>
  <c r="G115" i="36"/>
  <c r="G99" i="36"/>
  <c r="G34" i="39"/>
  <c r="G134" i="14"/>
  <c r="G112" i="14"/>
  <c r="G104" i="14"/>
  <c r="G465" i="35"/>
  <c r="G42" i="35"/>
  <c r="G16" i="35"/>
  <c r="G140" i="36"/>
  <c r="G108" i="36"/>
  <c r="G43" i="36"/>
  <c r="G86" i="35"/>
  <c r="G147" i="36"/>
  <c r="G28" i="27"/>
  <c r="G122" i="14"/>
  <c r="G106" i="35"/>
  <c r="G19" i="35"/>
  <c r="G484" i="36"/>
  <c r="G144" i="36"/>
  <c r="G128" i="36"/>
  <c r="G112" i="36"/>
  <c r="G79" i="36"/>
  <c r="G50" i="36"/>
  <c r="G62" i="39"/>
  <c r="G26" i="39"/>
  <c r="G27" i="27"/>
  <c r="G133" i="14"/>
  <c r="G120" i="14"/>
  <c r="G111" i="14"/>
  <c r="G103" i="14"/>
  <c r="G494" i="35"/>
  <c r="G52" i="35"/>
  <c r="G17" i="35"/>
  <c r="G478" i="36"/>
  <c r="G142" i="36"/>
  <c r="G126" i="36"/>
  <c r="G110" i="36"/>
  <c r="G78" i="36"/>
  <c r="G48" i="36"/>
  <c r="G19" i="36"/>
  <c r="G60" i="39"/>
  <c r="G24" i="39"/>
  <c r="G146" i="14"/>
  <c r="G130" i="14"/>
  <c r="G119" i="14"/>
  <c r="G110" i="14"/>
  <c r="G102" i="14"/>
  <c r="G472" i="36"/>
  <c r="G124" i="36"/>
  <c r="G17" i="36"/>
  <c r="G462" i="35"/>
  <c r="G11" i="35"/>
  <c r="G468" i="36"/>
  <c r="G139" i="36"/>
  <c r="G123" i="36"/>
  <c r="G107" i="36"/>
  <c r="G13" i="36"/>
  <c r="G52" i="39"/>
  <c r="G12" i="39"/>
  <c r="G36" i="27"/>
  <c r="G142" i="14"/>
  <c r="G127" i="14"/>
  <c r="G117" i="14"/>
  <c r="G108" i="14"/>
  <c r="G100" i="14"/>
  <c r="G138" i="35"/>
  <c r="G9" i="35"/>
  <c r="G104" i="36"/>
  <c r="G40" i="36"/>
  <c r="G138" i="14"/>
  <c r="G107" i="14"/>
  <c r="G130" i="35"/>
  <c r="G102" i="36"/>
  <c r="G128" i="14"/>
  <c r="G106" i="14"/>
  <c r="G101" i="14"/>
  <c r="G459" i="36"/>
  <c r="G48" i="39"/>
  <c r="G99" i="14"/>
  <c r="G144" i="14"/>
  <c r="G141" i="14"/>
  <c r="G461" i="36"/>
  <c r="G58" i="39"/>
  <c r="G126" i="14"/>
  <c r="G38" i="27"/>
  <c r="G10" i="39"/>
  <c r="G118" i="36"/>
  <c r="G8" i="39"/>
  <c r="G125" i="14"/>
  <c r="G136" i="36"/>
  <c r="G12" i="36"/>
  <c r="G43" i="39"/>
  <c r="G35" i="27"/>
  <c r="G118" i="14"/>
  <c r="G134" i="36"/>
  <c r="G9" i="36"/>
  <c r="G21" i="39"/>
  <c r="G32" i="27"/>
  <c r="G115" i="14"/>
  <c r="G120" i="36"/>
  <c r="G114" i="14"/>
  <c r="G109" i="14"/>
  <c r="BA587" i="35"/>
  <c r="BA577" i="35"/>
  <c r="BA593" i="35"/>
  <c r="BA586" i="35"/>
  <c r="BA512" i="35"/>
  <c r="BA502" i="35"/>
  <c r="BA559" i="35"/>
  <c r="BA583" i="35"/>
  <c r="BA519" i="35"/>
  <c r="BA498" i="35"/>
  <c r="BA494" i="35"/>
  <c r="BA492" i="35"/>
  <c r="BA488" i="35"/>
  <c r="BA486" i="35"/>
  <c r="BA483" i="35"/>
  <c r="BA481" i="35"/>
  <c r="BA478" i="35"/>
  <c r="BA474" i="35"/>
  <c r="BA472" i="35"/>
  <c r="BA572" i="35"/>
  <c r="BA570" i="35"/>
  <c r="BA568" i="35"/>
  <c r="BA553" i="35"/>
  <c r="BA462" i="35"/>
  <c r="BA460" i="35"/>
  <c r="BA458" i="35"/>
  <c r="BA578" i="35"/>
  <c r="BA531" i="35"/>
  <c r="BA516" i="35"/>
  <c r="BA588" i="35"/>
  <c r="BA585" i="35"/>
  <c r="BA556" i="35"/>
  <c r="BA541" i="35"/>
  <c r="BA539" i="35"/>
  <c r="BA537" i="35"/>
  <c r="BA536" i="35"/>
  <c r="BA546" i="35"/>
  <c r="BA511" i="35"/>
  <c r="BA507" i="35"/>
  <c r="BA558" i="35"/>
  <c r="BA595" i="35"/>
  <c r="BA530" i="35"/>
  <c r="BA515" i="35"/>
  <c r="BA495" i="35"/>
  <c r="BA493" i="35"/>
  <c r="BA491" i="35"/>
  <c r="BA487" i="35"/>
  <c r="BA484" i="35"/>
  <c r="BA482" i="35"/>
  <c r="BA480" i="35"/>
  <c r="BA475" i="35"/>
  <c r="BA473" i="35"/>
  <c r="BA573" i="35"/>
  <c r="BA571" i="35"/>
  <c r="BA569" i="35"/>
  <c r="BA562" i="35"/>
  <c r="BA465" i="35"/>
  <c r="BA461" i="35"/>
  <c r="BA459" i="35"/>
  <c r="BA584" i="35"/>
  <c r="BA579" i="35"/>
  <c r="BA552" i="35"/>
  <c r="BA527" i="35"/>
  <c r="BA90" i="35"/>
  <c r="BA91" i="35"/>
  <c r="BA77" i="35"/>
  <c r="BA65" i="35"/>
  <c r="BA51" i="35"/>
  <c r="BA41" i="35"/>
  <c r="BA35" i="35"/>
  <c r="BA28" i="35"/>
  <c r="BA545" i="35"/>
  <c r="BA518" i="35"/>
  <c r="BA202" i="35"/>
  <c r="BA200" i="35"/>
  <c r="BA198" i="35"/>
  <c r="BA196" i="35"/>
  <c r="BA194" i="35"/>
  <c r="BA192" i="35"/>
  <c r="BA190" i="35"/>
  <c r="BA188" i="35"/>
  <c r="BA186" i="35"/>
  <c r="BA184" i="35"/>
  <c r="BA182" i="35"/>
  <c r="BA180" i="35"/>
  <c r="BA178" i="35"/>
  <c r="BA176" i="35"/>
  <c r="BA174" i="35"/>
  <c r="BA172" i="35"/>
  <c r="BA170" i="35"/>
  <c r="BA168" i="35"/>
  <c r="BA166" i="35"/>
  <c r="BA164" i="35"/>
  <c r="BA162" i="35"/>
  <c r="BA160" i="35"/>
  <c r="BA158" i="35"/>
  <c r="BA156" i="35"/>
  <c r="BA154" i="35"/>
  <c r="BA148" i="35"/>
  <c r="BA146" i="35"/>
  <c r="BA144" i="35"/>
  <c r="BA142" i="35"/>
  <c r="BA140" i="35"/>
  <c r="BA138" i="35"/>
  <c r="BA136" i="35"/>
  <c r="BA134" i="35"/>
  <c r="BA132" i="35"/>
  <c r="BA130" i="35"/>
  <c r="BA128" i="35"/>
  <c r="BA126" i="35"/>
  <c r="BA124" i="35"/>
  <c r="BA122" i="35"/>
  <c r="BA120" i="35"/>
  <c r="BA118" i="35"/>
  <c r="BA116" i="35"/>
  <c r="BA114" i="35"/>
  <c r="BA112" i="35"/>
  <c r="BA110" i="35"/>
  <c r="BA108" i="35"/>
  <c r="BA106" i="35"/>
  <c r="BA104" i="35"/>
  <c r="BA102" i="35"/>
  <c r="BA100" i="35"/>
  <c r="BA524" i="35"/>
  <c r="BA521" i="35"/>
  <c r="BA84" i="35"/>
  <c r="BA72" i="35"/>
  <c r="BA62" i="35"/>
  <c r="BA48" i="35"/>
  <c r="BA32" i="35"/>
  <c r="BA23" i="35"/>
  <c r="BA19" i="35"/>
  <c r="BA17" i="35"/>
  <c r="BA13" i="35"/>
  <c r="BA11" i="35"/>
  <c r="BA9" i="35"/>
  <c r="BA547" i="35"/>
  <c r="BA563" i="35"/>
  <c r="BA95" i="35"/>
  <c r="BA87" i="35"/>
  <c r="BA79" i="35"/>
  <c r="BA69" i="35"/>
  <c r="BA58" i="35"/>
  <c r="BA548" i="35"/>
  <c r="BA557" i="35"/>
  <c r="BA468" i="35"/>
  <c r="BA526" i="35"/>
  <c r="BA93" i="35"/>
  <c r="BA86" i="35"/>
  <c r="BA74" i="35"/>
  <c r="BA64" i="35"/>
  <c r="BA50" i="35"/>
  <c r="BA40" i="35"/>
  <c r="BA34" i="35"/>
  <c r="BA27" i="35"/>
  <c r="BA580" i="35"/>
  <c r="BA540" i="35"/>
  <c r="BA201" i="35"/>
  <c r="BA199" i="35"/>
  <c r="BA197" i="35"/>
  <c r="BA195" i="35"/>
  <c r="BA193" i="35"/>
  <c r="BA191" i="35"/>
  <c r="BA189" i="35"/>
  <c r="BA187" i="35"/>
  <c r="BA185" i="35"/>
  <c r="BA183" i="35"/>
  <c r="BA181" i="35"/>
  <c r="BA179" i="35"/>
  <c r="BA177" i="35"/>
  <c r="BA175" i="35"/>
  <c r="BA173" i="35"/>
  <c r="BA171" i="35"/>
  <c r="BA169" i="35"/>
  <c r="BA167" i="35"/>
  <c r="BA165" i="35"/>
  <c r="BA163" i="35"/>
  <c r="BA161" i="35"/>
  <c r="BA159" i="35"/>
  <c r="BA157" i="35"/>
  <c r="BA155" i="35"/>
  <c r="BA153" i="35"/>
  <c r="BA147" i="35"/>
  <c r="BA145" i="35"/>
  <c r="BA143" i="35"/>
  <c r="BA141" i="35"/>
  <c r="BA139" i="35"/>
  <c r="BA137" i="35"/>
  <c r="BA135" i="35"/>
  <c r="BA133" i="35"/>
  <c r="BA131" i="35"/>
  <c r="BA129" i="35"/>
  <c r="BA127" i="35"/>
  <c r="BA125" i="35"/>
  <c r="BA123" i="35"/>
  <c r="BA121" i="35"/>
  <c r="BA119" i="35"/>
  <c r="BA117" i="35"/>
  <c r="BA115" i="35"/>
  <c r="BA113" i="35"/>
  <c r="BA111" i="35"/>
  <c r="BA109" i="35"/>
  <c r="BA107" i="35"/>
  <c r="BA105" i="35"/>
  <c r="BA103" i="35"/>
  <c r="BA101" i="35"/>
  <c r="BA99" i="35"/>
  <c r="BA94" i="35"/>
  <c r="BA92" i="35"/>
  <c r="BA78" i="35"/>
  <c r="BA66" i="35"/>
  <c r="BA52" i="35"/>
  <c r="BA42" i="35"/>
  <c r="BA36" i="35"/>
  <c r="BA29" i="35"/>
  <c r="BA20" i="35"/>
  <c r="BA18" i="35"/>
  <c r="BA16" i="35"/>
  <c r="BA12" i="35"/>
  <c r="BA10" i="35"/>
  <c r="BA538" i="35"/>
  <c r="BA89" i="35"/>
  <c r="BA88" i="35"/>
  <c r="BA83" i="35"/>
  <c r="BA31" i="35"/>
  <c r="BA565" i="35"/>
  <c r="BA49" i="35"/>
  <c r="BA63" i="35"/>
  <c r="BA59" i="35"/>
  <c r="BA47" i="35"/>
  <c r="BA43" i="35"/>
  <c r="BA551" i="35"/>
  <c r="BA523" i="35"/>
  <c r="BA517" i="35"/>
  <c r="BA542" i="35"/>
  <c r="BA85" i="35"/>
  <c r="BA80" i="35"/>
  <c r="BA71" i="35"/>
  <c r="BA33" i="35"/>
  <c r="BA30" i="35"/>
  <c r="BA576" i="35"/>
  <c r="BA510" i="35"/>
  <c r="BA525" i="35"/>
  <c r="BA522" i="35"/>
  <c r="BA520" i="35"/>
  <c r="BA73" i="35"/>
  <c r="BA70" i="35"/>
  <c r="BA61" i="35"/>
  <c r="BA26" i="35"/>
  <c r="BA39" i="35"/>
  <c r="BA564" i="35"/>
  <c r="BA506" i="35"/>
  <c r="BA586" i="36"/>
  <c r="BA576" i="36"/>
  <c r="BA542" i="36"/>
  <c r="BA540" i="36"/>
  <c r="BA538" i="36"/>
  <c r="BA548" i="36"/>
  <c r="BA547" i="36"/>
  <c r="BA545" i="36"/>
  <c r="BA517" i="36"/>
  <c r="BA564" i="36"/>
  <c r="BA468" i="36"/>
  <c r="BA526" i="36"/>
  <c r="BA93" i="36"/>
  <c r="BA86" i="36"/>
  <c r="BA74" i="36"/>
  <c r="BA64" i="36"/>
  <c r="BA50" i="36"/>
  <c r="BA40" i="36"/>
  <c r="BA34" i="36"/>
  <c r="BA27" i="36"/>
  <c r="BA583" i="36"/>
  <c r="BA512" i="36"/>
  <c r="BA502" i="36"/>
  <c r="BA559" i="36"/>
  <c r="BA523" i="36"/>
  <c r="BA520" i="36"/>
  <c r="BA83" i="36"/>
  <c r="BA71" i="36"/>
  <c r="BA61" i="36"/>
  <c r="BA47" i="36"/>
  <c r="BA31" i="36"/>
  <c r="BA588" i="36"/>
  <c r="BA578" i="36"/>
  <c r="BA519" i="36"/>
  <c r="BA498" i="36"/>
  <c r="BA494" i="36"/>
  <c r="BA492" i="36"/>
  <c r="BA488" i="36"/>
  <c r="BA486" i="36"/>
  <c r="BA483" i="36"/>
  <c r="BA481" i="36"/>
  <c r="BA478" i="36"/>
  <c r="BA474" i="36"/>
  <c r="BA472" i="36"/>
  <c r="BA572" i="36"/>
  <c r="BA570" i="36"/>
  <c r="BA568" i="36"/>
  <c r="BA553" i="36"/>
  <c r="BA462" i="36"/>
  <c r="BA460" i="36"/>
  <c r="BA458" i="36"/>
  <c r="BA201" i="36"/>
  <c r="BA199" i="36"/>
  <c r="BA197" i="36"/>
  <c r="BA195" i="36"/>
  <c r="BA193" i="36"/>
  <c r="BA191" i="36"/>
  <c r="BA189" i="36"/>
  <c r="BA187" i="36"/>
  <c r="BA185" i="36"/>
  <c r="BA183" i="36"/>
  <c r="BA181" i="36"/>
  <c r="BA179" i="36"/>
  <c r="BA177" i="36"/>
  <c r="BA175" i="36"/>
  <c r="BA173" i="36"/>
  <c r="BA171" i="36"/>
  <c r="BA169" i="36"/>
  <c r="BA167" i="36"/>
  <c r="BA165" i="36"/>
  <c r="BA163" i="36"/>
  <c r="BA161" i="36"/>
  <c r="BA159" i="36"/>
  <c r="BA157" i="36"/>
  <c r="BA155" i="36"/>
  <c r="BA153" i="36"/>
  <c r="BA147" i="36"/>
  <c r="BA145" i="36"/>
  <c r="BA143" i="36"/>
  <c r="BA141" i="36"/>
  <c r="BA139" i="36"/>
  <c r="BA137" i="36"/>
  <c r="BA135" i="36"/>
  <c r="BA133" i="36"/>
  <c r="BA131" i="36"/>
  <c r="BA129" i="36"/>
  <c r="BA127" i="36"/>
  <c r="BA125" i="36"/>
  <c r="BA123" i="36"/>
  <c r="BA121" i="36"/>
  <c r="BA119" i="36"/>
  <c r="BA117" i="36"/>
  <c r="BA115" i="36"/>
  <c r="BA113" i="36"/>
  <c r="BA111" i="36"/>
  <c r="BA109" i="36"/>
  <c r="BA107" i="36"/>
  <c r="BA105" i="36"/>
  <c r="BA103" i="36"/>
  <c r="BA101" i="36"/>
  <c r="BA99" i="36"/>
  <c r="BA94" i="36"/>
  <c r="BA92" i="36"/>
  <c r="BA78" i="36"/>
  <c r="BA66" i="36"/>
  <c r="BA52" i="36"/>
  <c r="BA42" i="36"/>
  <c r="BA36" i="36"/>
  <c r="BA29" i="36"/>
  <c r="BA20" i="36"/>
  <c r="BA18" i="36"/>
  <c r="BA16" i="36"/>
  <c r="BA12" i="36"/>
  <c r="BA10" i="36"/>
  <c r="BA585" i="36"/>
  <c r="BA531" i="36"/>
  <c r="BA516" i="36"/>
  <c r="BA563" i="36"/>
  <c r="BA551" i="36"/>
  <c r="BA525" i="36"/>
  <c r="BA89" i="36"/>
  <c r="BA85" i="36"/>
  <c r="BA73" i="36"/>
  <c r="BA63" i="36"/>
  <c r="BA49" i="36"/>
  <c r="BA39" i="36"/>
  <c r="BA33" i="36"/>
  <c r="BA26" i="36"/>
  <c r="BA587" i="36"/>
  <c r="BA577" i="36"/>
  <c r="BA518" i="36"/>
  <c r="BA565" i="36"/>
  <c r="BA552" i="36"/>
  <c r="BA527" i="36"/>
  <c r="BA90" i="36"/>
  <c r="BA91" i="36"/>
  <c r="BA77" i="36"/>
  <c r="BA65" i="36"/>
  <c r="BA51" i="36"/>
  <c r="BA41" i="36"/>
  <c r="BA35" i="36"/>
  <c r="BA28" i="36"/>
  <c r="BA541" i="36"/>
  <c r="BA482" i="36"/>
  <c r="BA461" i="36"/>
  <c r="BA192" i="36"/>
  <c r="BA176" i="36"/>
  <c r="BA160" i="36"/>
  <c r="BA148" i="36"/>
  <c r="BA132" i="36"/>
  <c r="BA116" i="36"/>
  <c r="BA100" i="36"/>
  <c r="BA524" i="36"/>
  <c r="BA95" i="36"/>
  <c r="BA88" i="36"/>
  <c r="BA19" i="36"/>
  <c r="BA580" i="36"/>
  <c r="BA546" i="36"/>
  <c r="BA510" i="36"/>
  <c r="BA493" i="36"/>
  <c r="BA573" i="36"/>
  <c r="BA140" i="36"/>
  <c r="BA595" i="36"/>
  <c r="BA556" i="36"/>
  <c r="BA511" i="36"/>
  <c r="BA484" i="36"/>
  <c r="BA465" i="36"/>
  <c r="BA194" i="36"/>
  <c r="BA178" i="36"/>
  <c r="BA162" i="36"/>
  <c r="BA134" i="36"/>
  <c r="BA118" i="36"/>
  <c r="BA102" i="36"/>
  <c r="BA72" i="36"/>
  <c r="BA69" i="36"/>
  <c r="BA59" i="36"/>
  <c r="BA23" i="36"/>
  <c r="BA530" i="36"/>
  <c r="BA200" i="36"/>
  <c r="BA168" i="36"/>
  <c r="BA58" i="36"/>
  <c r="BA9" i="36"/>
  <c r="BA487" i="36"/>
  <c r="BA569" i="36"/>
  <c r="BA196" i="36"/>
  <c r="BA180" i="36"/>
  <c r="BA164" i="36"/>
  <c r="BA136" i="36"/>
  <c r="BA120" i="36"/>
  <c r="BA104" i="36"/>
  <c r="BA507" i="36"/>
  <c r="BA43" i="36"/>
  <c r="BA491" i="36"/>
  <c r="BA571" i="36"/>
  <c r="BA558" i="36"/>
  <c r="BA198" i="36"/>
  <c r="BA182" i="36"/>
  <c r="BA166" i="36"/>
  <c r="BA138" i="36"/>
  <c r="BA122" i="36"/>
  <c r="BA106" i="36"/>
  <c r="BA521" i="36"/>
  <c r="BA87" i="36"/>
  <c r="BA80" i="36"/>
  <c r="BA30" i="36"/>
  <c r="BA593" i="36"/>
  <c r="BA184" i="36"/>
  <c r="BA124" i="36"/>
  <c r="BA108" i="36"/>
  <c r="BA62" i="36"/>
  <c r="BA536" i="36"/>
  <c r="BA495" i="36"/>
  <c r="BA473" i="36"/>
  <c r="BA202" i="36"/>
  <c r="BA186" i="36"/>
  <c r="BA170" i="36"/>
  <c r="BA154" i="36"/>
  <c r="BA142" i="36"/>
  <c r="BA126" i="36"/>
  <c r="BA110" i="36"/>
  <c r="BA522" i="36"/>
  <c r="BA11" i="36"/>
  <c r="BA537" i="36"/>
  <c r="BA475" i="36"/>
  <c r="BA562" i="36"/>
  <c r="BA557" i="36"/>
  <c r="BA188" i="36"/>
  <c r="BA172" i="36"/>
  <c r="BA156" i="36"/>
  <c r="BA144" i="36"/>
  <c r="BA128" i="36"/>
  <c r="BA112" i="36"/>
  <c r="BA84" i="36"/>
  <c r="BA79" i="36"/>
  <c r="BA70" i="36"/>
  <c r="BA32" i="36"/>
  <c r="BA13" i="36"/>
  <c r="BA506" i="36"/>
  <c r="BA459" i="36"/>
  <c r="BA579" i="36"/>
  <c r="BA515" i="36"/>
  <c r="BA584" i="36"/>
  <c r="BA480" i="36"/>
  <c r="BA146" i="36"/>
  <c r="BA130" i="36"/>
  <c r="BA158" i="36"/>
  <c r="BA114" i="36"/>
  <c r="BA174" i="36"/>
  <c r="BA539" i="36"/>
  <c r="BA190" i="36"/>
  <c r="BA48" i="36"/>
  <c r="BA17" i="36"/>
  <c r="G50" i="26"/>
  <c r="G48" i="26"/>
  <c r="G47" i="26"/>
  <c r="Z38" i="40" a="1"/>
  <c r="Z38" i="40" s="1"/>
  <c r="AA38" i="40" a="1"/>
  <c r="AA38" i="40" s="1"/>
  <c r="AR38" i="40" a="1"/>
  <c r="AR38" i="40" s="1"/>
  <c r="Y38" i="40" a="1"/>
  <c r="Y38" i="40" s="1"/>
  <c r="AX162" i="27"/>
  <c r="AV187" i="27"/>
  <c r="AW237" i="27"/>
  <c r="AW122" i="27"/>
  <c r="AU212" i="27"/>
  <c r="AV317" i="27"/>
  <c r="AY342" i="27"/>
  <c r="AV322" i="27"/>
  <c r="AY347" i="27"/>
  <c r="AV327" i="27"/>
  <c r="AY352" i="27"/>
  <c r="AV292" i="27"/>
  <c r="AU177" i="27"/>
  <c r="AW207" i="27"/>
  <c r="AX127" i="27"/>
  <c r="AV217" i="27"/>
  <c r="AY242" i="27"/>
  <c r="AW332" i="27"/>
  <c r="AW177" i="27"/>
  <c r="AU267" i="27"/>
  <c r="AX137" i="27"/>
  <c r="AV227" i="27"/>
  <c r="AY252" i="27"/>
  <c r="AW187" i="27"/>
  <c r="AX277" i="27"/>
  <c r="AU302" i="27"/>
  <c r="AU162" i="27"/>
  <c r="AX187" i="27"/>
  <c r="AV302" i="27"/>
  <c r="AV162" i="27"/>
  <c r="AY187" i="27"/>
  <c r="AW302" i="27"/>
  <c r="AW162" i="27"/>
  <c r="AU252" i="27"/>
  <c r="AU317" i="27"/>
  <c r="AX342" i="27"/>
  <c r="AV357" i="27"/>
  <c r="AV332" i="27"/>
  <c r="AY357" i="27"/>
  <c r="AY202" i="27"/>
  <c r="AW277" i="27"/>
  <c r="AW147" i="27"/>
  <c r="AY147" i="27"/>
  <c r="AY117" i="27"/>
  <c r="AV132" i="27"/>
  <c r="AU142" i="27"/>
  <c r="AX167" i="27"/>
  <c r="AV257" i="27"/>
  <c r="AY127" i="27"/>
  <c r="AW217" i="27"/>
  <c r="AU152" i="27"/>
  <c r="AX177" i="27"/>
  <c r="AV267" i="27"/>
  <c r="AY322" i="27"/>
  <c r="AY137" i="27"/>
  <c r="AW227" i="27"/>
  <c r="AU202" i="27"/>
  <c r="AX227" i="27"/>
  <c r="AV202" i="27"/>
  <c r="AY227" i="27"/>
  <c r="AW202" i="27"/>
  <c r="AY327" i="27"/>
  <c r="AV307" i="27"/>
  <c r="AY332" i="27"/>
  <c r="AU357" i="27"/>
  <c r="AU282" i="27"/>
  <c r="AX307" i="27"/>
  <c r="AX312" i="27"/>
  <c r="AU292" i="27"/>
  <c r="AX317" i="27"/>
  <c r="AX282" i="27"/>
  <c r="AX297" i="27"/>
  <c r="AW337" i="27"/>
  <c r="AW342" i="27"/>
  <c r="AB38" i="40" a="1"/>
  <c r="AB38" i="40" s="1"/>
  <c r="AC38" i="40" a="1"/>
  <c r="AC38" i="40" s="1"/>
  <c r="X38" i="40" a="1"/>
  <c r="X38" i="40" s="1"/>
  <c r="AV172" i="27"/>
  <c r="AX202" i="27"/>
  <c r="AW247" i="27"/>
  <c r="AU182" i="27"/>
  <c r="AX207" i="27"/>
  <c r="AV142" i="27"/>
  <c r="AY167" i="27"/>
  <c r="AW257" i="27"/>
  <c r="AU192" i="27"/>
  <c r="AX217" i="27"/>
  <c r="AV152" i="27"/>
  <c r="AY177" i="27"/>
  <c r="AW267" i="27"/>
  <c r="AW152" i="27"/>
  <c r="AU242" i="27"/>
  <c r="AX267" i="27"/>
  <c r="AV282" i="27"/>
  <c r="AU127" i="27"/>
  <c r="AX152" i="27"/>
  <c r="AV242" i="27"/>
  <c r="AY267" i="27"/>
  <c r="AW282" i="27"/>
  <c r="AX327" i="27"/>
  <c r="AV127" i="27"/>
  <c r="AY152" i="27"/>
  <c r="AW242" i="27"/>
  <c r="AY282" i="27"/>
  <c r="AV342" i="27"/>
  <c r="AV347" i="27"/>
  <c r="AW307" i="27"/>
  <c r="AU322" i="27"/>
  <c r="AX347" i="27"/>
  <c r="AU327" i="27"/>
  <c r="AX352" i="27"/>
  <c r="AU332" i="27"/>
  <c r="AX357" i="27"/>
  <c r="AU297" i="27"/>
  <c r="AX322" i="27"/>
  <c r="AU237" i="27"/>
  <c r="AX262" i="27"/>
  <c r="AW297" i="27"/>
  <c r="AU122" i="27"/>
  <c r="AX147" i="27"/>
  <c r="AY262" i="27"/>
  <c r="AV122" i="27"/>
  <c r="AQ38" i="40" a="1"/>
  <c r="AQ38" i="40" s="1"/>
  <c r="AU217" i="27"/>
  <c r="AY157" i="27"/>
  <c r="AW132" i="27"/>
  <c r="AU222" i="27"/>
  <c r="AX247" i="27"/>
  <c r="AV182" i="27"/>
  <c r="AY207" i="27"/>
  <c r="AW142" i="27"/>
  <c r="AU232" i="27"/>
  <c r="AX257" i="27"/>
  <c r="AV192" i="27"/>
  <c r="AY217" i="27"/>
  <c r="AV337" i="27"/>
  <c r="AW192" i="27"/>
  <c r="AU167" i="27"/>
  <c r="AX192" i="27"/>
  <c r="AV167" i="27"/>
  <c r="AY192" i="27"/>
  <c r="AU342" i="27"/>
  <c r="AW347" i="27"/>
  <c r="AU337" i="27"/>
  <c r="AV177" i="27"/>
  <c r="AX252" i="27"/>
  <c r="AV237" i="27"/>
  <c r="AX237" i="27"/>
  <c r="AX302" i="27"/>
  <c r="AD38" i="40" a="1"/>
  <c r="AD38" i="40" s="1"/>
  <c r="AY197" i="27"/>
  <c r="AV212" i="27"/>
  <c r="AW127" i="27"/>
  <c r="AW172" i="27"/>
  <c r="AU262" i="27"/>
  <c r="AX132" i="27"/>
  <c r="AV222" i="27"/>
  <c r="AY247" i="27"/>
  <c r="AW292" i="27"/>
  <c r="AW182" i="27"/>
  <c r="AU272" i="27"/>
  <c r="AU117" i="27"/>
  <c r="AX142" i="27"/>
  <c r="AV232" i="27"/>
  <c r="AY257" i="27"/>
  <c r="AV117" i="27"/>
  <c r="AY142" i="27"/>
  <c r="AW232" i="27"/>
  <c r="AU287" i="27"/>
  <c r="AW117" i="27"/>
  <c r="AU207" i="27"/>
  <c r="AX232" i="27"/>
  <c r="AV287" i="27"/>
  <c r="AX117" i="27"/>
  <c r="AV207" i="27"/>
  <c r="AY232" i="27"/>
  <c r="AX287" i="27"/>
  <c r="AU307" i="27"/>
  <c r="AX332" i="27"/>
  <c r="AU312" i="27"/>
  <c r="AX337" i="27"/>
  <c r="AY297" i="27"/>
  <c r="AW312" i="27"/>
  <c r="AW317" i="27"/>
  <c r="AW322" i="27"/>
  <c r="AW287" i="27"/>
  <c r="AW137" i="27"/>
  <c r="AH38" i="40" a="1"/>
  <c r="AH38" i="40" s="1"/>
  <c r="AX122" i="27"/>
  <c r="AU137" i="27"/>
  <c r="AX242" i="27"/>
  <c r="AU257" i="27"/>
  <c r="AY122" i="27"/>
  <c r="AW212" i="27"/>
  <c r="AU147" i="27"/>
  <c r="AX172" i="27"/>
  <c r="AV262" i="27"/>
  <c r="AY132" i="27"/>
  <c r="AW222" i="27"/>
  <c r="AX292" i="27"/>
  <c r="AU157" i="27"/>
  <c r="AX182" i="27"/>
  <c r="AV272" i="27"/>
  <c r="AV157" i="27"/>
  <c r="AY182" i="27"/>
  <c r="AW272" i="27"/>
  <c r="AW157" i="27"/>
  <c r="AU247" i="27"/>
  <c r="AX272" i="27"/>
  <c r="AU132" i="27"/>
  <c r="AX157" i="27"/>
  <c r="AV247" i="27"/>
  <c r="AY272" i="27"/>
  <c r="AU347" i="27"/>
  <c r="AU352" i="27"/>
  <c r="AV312" i="27"/>
  <c r="AY337" i="27"/>
  <c r="AW352" i="27"/>
  <c r="AW357" i="27"/>
  <c r="AW327" i="27"/>
  <c r="AU227" i="27"/>
  <c r="AY212" i="27"/>
  <c r="AY317" i="27"/>
  <c r="AY237" i="27"/>
  <c r="AV252" i="27"/>
  <c r="AW167" i="27"/>
  <c r="AY287" i="27"/>
  <c r="AV137" i="27"/>
  <c r="AY162" i="27"/>
  <c r="AW252" i="27"/>
  <c r="AU187" i="27"/>
  <c r="AX212" i="27"/>
  <c r="AU277" i="27"/>
  <c r="AV147" i="27"/>
  <c r="AY172" i="27"/>
  <c r="AW262" i="27"/>
  <c r="AV297" i="27"/>
  <c r="AU197" i="27"/>
  <c r="AX222" i="27"/>
  <c r="AY292" i="27"/>
  <c r="AV197" i="27"/>
  <c r="AY222" i="27"/>
  <c r="AW197" i="27"/>
  <c r="AU172" i="27"/>
  <c r="AX197" i="27"/>
  <c r="AV352" i="27"/>
  <c r="AV277" i="27"/>
  <c r="AY302" i="27"/>
  <c r="AY307" i="27"/>
  <c r="AY312" i="27"/>
  <c r="AY277" i="27"/>
  <c r="AY38" i="40" a="1"/>
  <c r="AY38" i="40" s="1"/>
  <c r="AW69" i="27"/>
  <c r="AW64" i="27"/>
  <c r="AW77" i="27"/>
  <c r="AT38" i="40" a="1"/>
  <c r="AT38" i="40" s="1"/>
  <c r="AW81" i="27"/>
  <c r="AV63" i="27"/>
  <c r="AV107" i="27"/>
  <c r="AV72" i="27"/>
  <c r="AW102" i="27"/>
  <c r="AW84" i="27"/>
  <c r="AV106" i="27"/>
  <c r="AV109" i="27"/>
  <c r="AW38" i="40" a="1"/>
  <c r="AW38" i="40" s="1"/>
  <c r="AV67" i="27"/>
  <c r="AV60" i="27"/>
  <c r="AW91" i="27"/>
  <c r="AW75" i="27"/>
  <c r="AV61" i="27"/>
  <c r="AW96" i="27"/>
  <c r="AW101" i="27"/>
  <c r="AV105" i="27"/>
  <c r="AW97" i="27"/>
  <c r="AV87" i="27"/>
  <c r="AW108" i="27"/>
  <c r="AW87" i="27"/>
  <c r="AW90" i="27"/>
  <c r="AN38" i="40" a="1"/>
  <c r="AN38" i="40" s="1"/>
  <c r="AP38" i="40" a="1"/>
  <c r="AP38" i="40" s="1"/>
  <c r="AV64" i="27"/>
  <c r="AU38" i="40" a="1"/>
  <c r="AU38" i="40" s="1"/>
  <c r="AX38" i="40" a="1"/>
  <c r="AX38" i="40" s="1"/>
  <c r="AV38" i="40" a="1"/>
  <c r="AV38" i="40" s="1"/>
  <c r="AV76" i="27"/>
  <c r="AV81" i="27"/>
  <c r="AW104" i="27"/>
  <c r="AW68" i="27"/>
  <c r="AV104" i="27"/>
  <c r="AW86" i="27"/>
  <c r="AV100" i="27"/>
  <c r="AV90" i="27"/>
  <c r="AV93" i="27"/>
  <c r="AI38" i="40" a="1"/>
  <c r="AI38" i="40" s="1"/>
  <c r="G612" i="27"/>
  <c r="G610" i="27"/>
  <c r="G606" i="27"/>
  <c r="G582" i="27"/>
  <c r="G578" i="27"/>
  <c r="G575" i="27"/>
  <c r="G555" i="27"/>
  <c r="G552" i="27"/>
  <c r="G549" i="27"/>
  <c r="G548" i="27"/>
  <c r="G545" i="27"/>
  <c r="G541" i="27"/>
  <c r="G540" i="27"/>
  <c r="G530" i="27"/>
  <c r="G527" i="27"/>
  <c r="G523" i="27"/>
  <c r="G516" i="27"/>
  <c r="G512" i="27"/>
  <c r="G505" i="27"/>
  <c r="G502" i="27"/>
  <c r="G498" i="27"/>
  <c r="G495" i="27"/>
  <c r="G483" i="27"/>
  <c r="G471" i="27"/>
  <c r="G467" i="27"/>
  <c r="G443" i="27"/>
  <c r="G427" i="27"/>
  <c r="G423" i="27"/>
  <c r="G419" i="27"/>
  <c r="G415" i="27"/>
  <c r="G600" i="27"/>
  <c r="G596" i="27"/>
  <c r="G583" i="27"/>
  <c r="G579" i="27"/>
  <c r="G562" i="27"/>
  <c r="G559" i="27"/>
  <c r="G537" i="27"/>
  <c r="G534" i="27"/>
  <c r="G531" i="27"/>
  <c r="G524" i="27"/>
  <c r="G503" i="27"/>
  <c r="G499" i="27"/>
  <c r="G489" i="27"/>
  <c r="G485" i="27"/>
  <c r="G484" i="27"/>
  <c r="G480" i="27"/>
  <c r="G468" i="27"/>
  <c r="G464" i="27"/>
  <c r="G461" i="27"/>
  <c r="G458" i="27"/>
  <c r="G455" i="27"/>
  <c r="G428" i="27"/>
  <c r="G424" i="27"/>
  <c r="G420" i="27"/>
  <c r="G416" i="27"/>
  <c r="G608" i="27"/>
  <c r="G604" i="27"/>
  <c r="G588" i="27"/>
  <c r="G609" i="27"/>
  <c r="G605" i="27"/>
  <c r="G589" i="27"/>
  <c r="G584" i="27"/>
  <c r="G613" i="27"/>
  <c r="G611" i="27"/>
  <c r="G601" i="27"/>
  <c r="G591" i="27"/>
  <c r="G585" i="27"/>
  <c r="G580" i="27"/>
  <c r="G563" i="27"/>
  <c r="G547" i="27"/>
  <c r="G544" i="27"/>
  <c r="G515" i="27"/>
  <c r="G509" i="27"/>
  <c r="G492" i="27"/>
  <c r="G482" i="27"/>
  <c r="G466" i="27"/>
  <c r="G447" i="27"/>
  <c r="G444" i="27"/>
  <c r="G413" i="27"/>
  <c r="G392" i="27"/>
  <c r="G388" i="27"/>
  <c r="G384" i="27"/>
  <c r="G380" i="27"/>
  <c r="G376" i="27"/>
  <c r="G372" i="27"/>
  <c r="G598" i="27"/>
  <c r="G594" i="27"/>
  <c r="G569" i="27"/>
  <c r="G566" i="27"/>
  <c r="G561" i="27"/>
  <c r="G550" i="27"/>
  <c r="G535" i="27"/>
  <c r="G532" i="27"/>
  <c r="G501" i="27"/>
  <c r="G486" i="27"/>
  <c r="G472" i="27"/>
  <c r="G469" i="27"/>
  <c r="G453" i="27"/>
  <c r="G450" i="27"/>
  <c r="G438" i="27"/>
  <c r="G434" i="27"/>
  <c r="G430" i="27"/>
  <c r="G409" i="27"/>
  <c r="G405" i="27"/>
  <c r="G401" i="27"/>
  <c r="G397" i="27"/>
  <c r="G614" i="27"/>
  <c r="G599" i="27"/>
  <c r="G595" i="27"/>
  <c r="G572" i="27"/>
  <c r="G558" i="27"/>
  <c r="G553" i="27"/>
  <c r="G522" i="27"/>
  <c r="G519" i="27"/>
  <c r="G513" i="27"/>
  <c r="G506" i="27"/>
  <c r="G493" i="27"/>
  <c r="G476" i="27"/>
  <c r="G442" i="27"/>
  <c r="G422" i="27"/>
  <c r="G393" i="27"/>
  <c r="G389" i="27"/>
  <c r="G385" i="27"/>
  <c r="G381" i="27"/>
  <c r="G377" i="27"/>
  <c r="G373" i="27"/>
  <c r="G607" i="27"/>
  <c r="G602" i="27"/>
  <c r="G592" i="27"/>
  <c r="G586" i="27"/>
  <c r="G581" i="27"/>
  <c r="G564" i="27"/>
  <c r="G551" i="27"/>
  <c r="G538" i="27"/>
  <c r="G533" i="27"/>
  <c r="G525" i="27"/>
  <c r="G510" i="27"/>
  <c r="G504" i="27"/>
  <c r="G496" i="27"/>
  <c r="G490" i="27"/>
  <c r="G487" i="27"/>
  <c r="G459" i="27"/>
  <c r="G456" i="27"/>
  <c r="G451" i="27"/>
  <c r="G448" i="27"/>
  <c r="G445" i="27"/>
  <c r="G439" i="27"/>
  <c r="G435" i="27"/>
  <c r="G431" i="27"/>
  <c r="G425" i="27"/>
  <c r="G417" i="27"/>
  <c r="G414" i="27"/>
  <c r="G410" i="27"/>
  <c r="G406" i="27"/>
  <c r="G402" i="27"/>
  <c r="G398" i="27"/>
  <c r="G587" i="27"/>
  <c r="G590" i="27"/>
  <c r="G573" i="27"/>
  <c r="G554" i="27"/>
  <c r="G543" i="27"/>
  <c r="G539" i="27"/>
  <c r="G528" i="27"/>
  <c r="G520" i="27"/>
  <c r="G514" i="27"/>
  <c r="G511" i="27"/>
  <c r="G497" i="27"/>
  <c r="G488" i="27"/>
  <c r="G481" i="27"/>
  <c r="G465" i="27"/>
  <c r="G462" i="27"/>
  <c r="G457" i="27"/>
  <c r="G440" i="27"/>
  <c r="G436" i="27"/>
  <c r="G432" i="27"/>
  <c r="G411" i="27"/>
  <c r="G407" i="27"/>
  <c r="G403" i="27"/>
  <c r="G399" i="27"/>
  <c r="G395" i="27"/>
  <c r="G574" i="27"/>
  <c r="G567" i="27"/>
  <c r="G556" i="27"/>
  <c r="G500" i="27"/>
  <c r="G478" i="27"/>
  <c r="G470" i="27"/>
  <c r="G454" i="27"/>
  <c r="G437" i="27"/>
  <c r="G577" i="27"/>
  <c r="G565" i="27"/>
  <c r="G546" i="27"/>
  <c r="G521" i="27"/>
  <c r="G491" i="27"/>
  <c r="G479" i="27"/>
  <c r="G452" i="27"/>
  <c r="G421" i="27"/>
  <c r="G412" i="27"/>
  <c r="G396" i="27"/>
  <c r="G570" i="27"/>
  <c r="G507" i="27"/>
  <c r="G494" i="27"/>
  <c r="G473" i="27"/>
  <c r="G391" i="27"/>
  <c r="G383" i="27"/>
  <c r="G375" i="27"/>
  <c r="G568" i="27"/>
  <c r="G557" i="27"/>
  <c r="G526" i="27"/>
  <c r="G517" i="27"/>
  <c r="G441" i="27"/>
  <c r="G408" i="27"/>
  <c r="G394" i="27"/>
  <c r="G386" i="27"/>
  <c r="G378" i="27"/>
  <c r="G370" i="27"/>
  <c r="G603" i="27"/>
  <c r="G542" i="27"/>
  <c r="G433" i="27"/>
  <c r="G426" i="27"/>
  <c r="G597" i="27"/>
  <c r="G571" i="27"/>
  <c r="G508" i="27"/>
  <c r="G477" i="27"/>
  <c r="G474" i="27"/>
  <c r="G460" i="27"/>
  <c r="G446" i="27"/>
  <c r="G404" i="27"/>
  <c r="G576" i="27"/>
  <c r="G560" i="27"/>
  <c r="G529" i="27"/>
  <c r="G518" i="27"/>
  <c r="G475" i="27"/>
  <c r="G429" i="27"/>
  <c r="G387" i="27"/>
  <c r="G379" i="27"/>
  <c r="G371" i="27"/>
  <c r="G593" i="27"/>
  <c r="G536" i="27"/>
  <c r="G463" i="27"/>
  <c r="G449" i="27"/>
  <c r="G418" i="27"/>
  <c r="G400" i="27"/>
  <c r="G390" i="27"/>
  <c r="G382" i="27"/>
  <c r="G374" i="27"/>
  <c r="AV80" i="27"/>
  <c r="AV73" i="27"/>
  <c r="AV62" i="27"/>
  <c r="AW99" i="27"/>
  <c r="AV91" i="27"/>
  <c r="AW65" i="27"/>
  <c r="AV71" i="27"/>
  <c r="AW83" i="27"/>
  <c r="AW66" i="27"/>
  <c r="AW85" i="27"/>
  <c r="AV89" i="27"/>
  <c r="AW92" i="27"/>
  <c r="AW71" i="27"/>
  <c r="AW74" i="27"/>
  <c r="AV86" i="27"/>
  <c r="AW76" i="27"/>
  <c r="AW62" i="27"/>
  <c r="AV68" i="27"/>
  <c r="AV75" i="27"/>
  <c r="AV94" i="27"/>
  <c r="AV69" i="27"/>
  <c r="AV88" i="27"/>
  <c r="AW109" i="27"/>
  <c r="AV84" i="27"/>
  <c r="AW105" i="27"/>
  <c r="AV95" i="27"/>
  <c r="AV74" i="27"/>
  <c r="AW95" i="27"/>
  <c r="AV77" i="27"/>
  <c r="AW98" i="27"/>
  <c r="AJ38" i="40" a="1"/>
  <c r="AJ38" i="40" s="1"/>
  <c r="AF38" i="40" a="1"/>
  <c r="AF38" i="40" s="1"/>
  <c r="I38" i="40" a="1"/>
  <c r="I38" i="40" s="1"/>
  <c r="AW61" i="27"/>
  <c r="AW80" i="27"/>
  <c r="AW67" i="27"/>
  <c r="AV65" i="27"/>
  <c r="AW78" i="27"/>
  <c r="AW63" i="27"/>
  <c r="AW72" i="27"/>
  <c r="AV102" i="27"/>
  <c r="AW94" i="27"/>
  <c r="AV108" i="27"/>
  <c r="AV98" i="27"/>
  <c r="AV101" i="27"/>
  <c r="AK38" i="40" a="1"/>
  <c r="AK38" i="40" s="1"/>
  <c r="AL38" i="40" a="1"/>
  <c r="AL38" i="40" s="1"/>
  <c r="AO38" i="40" a="1"/>
  <c r="AO38" i="40" s="1"/>
  <c r="AW88" i="27"/>
  <c r="AV70" i="27"/>
  <c r="AV83" i="27"/>
  <c r="AV66" i="27"/>
  <c r="AW93" i="27"/>
  <c r="AV97" i="27"/>
  <c r="AW89" i="27"/>
  <c r="AW100" i="27"/>
  <c r="AW79" i="27"/>
  <c r="AW82" i="27"/>
  <c r="AV99" i="27"/>
  <c r="AW73" i="27"/>
  <c r="AW70" i="27"/>
  <c r="AV78" i="27"/>
  <c r="AW60" i="27"/>
  <c r="AV79" i="27"/>
  <c r="AV96" i="27"/>
  <c r="AW107" i="27"/>
  <c r="AV92" i="27"/>
  <c r="AV103" i="27"/>
  <c r="AV82" i="27"/>
  <c r="AW103" i="27"/>
  <c r="AV85" i="27"/>
  <c r="AW106" i="27"/>
  <c r="AS38" i="40" a="1"/>
  <c r="AS38" i="40" s="1"/>
  <c r="AM38" i="40" a="1"/>
  <c r="AM38" i="40" s="1"/>
  <c r="AE38" i="40" a="1"/>
  <c r="AE38" i="40" s="1"/>
  <c r="AG38" i="40" a="1"/>
  <c r="AG38" i="40" s="1"/>
  <c r="I71" i="40"/>
  <c r="AC54" i="40"/>
  <c r="Z54" i="40"/>
  <c r="AS54" i="40"/>
  <c r="AM54" i="40"/>
  <c r="AI54" i="40"/>
  <c r="AL54" i="40"/>
  <c r="X54" i="40"/>
  <c r="AU54" i="40"/>
  <c r="M54" i="40"/>
  <c r="Q54" i="40"/>
  <c r="W54" i="40"/>
  <c r="AF54" i="40"/>
  <c r="Y54" i="40"/>
  <c r="AY54" i="40"/>
  <c r="AQ54" i="40"/>
  <c r="U54" i="40"/>
  <c r="AA54" i="40"/>
  <c r="P54" i="40"/>
  <c r="AE54" i="40"/>
  <c r="AO54" i="40"/>
  <c r="AG54" i="40"/>
  <c r="I226" i="15"/>
  <c r="I14" i="39" s="1"/>
  <c r="I54" i="40"/>
  <c r="AR54" i="40"/>
  <c r="AH54" i="40"/>
  <c r="AW54" i="40"/>
  <c r="AB54" i="40"/>
  <c r="R54" i="40"/>
  <c r="T54" i="40"/>
  <c r="AX54" i="40"/>
  <c r="AV54" i="40"/>
  <c r="AJ54" i="40"/>
  <c r="N54" i="40"/>
  <c r="AN54" i="40"/>
  <c r="K54" i="40"/>
  <c r="AP54" i="40"/>
  <c r="AT54" i="40"/>
  <c r="V54" i="40"/>
  <c r="AK54" i="40"/>
  <c r="O54" i="40"/>
  <c r="AD54" i="40"/>
  <c r="S54" i="40"/>
  <c r="L54" i="40"/>
  <c r="I12" i="39"/>
  <c r="I40" i="15"/>
  <c r="G242" i="25"/>
  <c r="G203" i="25"/>
  <c r="G31" i="25"/>
  <c r="G201" i="25"/>
  <c r="G169" i="25"/>
  <c r="G168" i="25"/>
  <c r="G238" i="25"/>
  <c r="G202" i="25"/>
  <c r="G30" i="25"/>
  <c r="G234" i="25"/>
  <c r="G237" i="25"/>
  <c r="G205" i="25"/>
  <c r="G236" i="25"/>
  <c r="G171" i="25"/>
  <c r="G235" i="25"/>
  <c r="G170" i="25"/>
  <c r="G204" i="25"/>
  <c r="G167" i="25"/>
  <c r="AY267" i="15"/>
  <c r="AX267" i="15"/>
  <c r="AW267" i="15"/>
  <c r="AV267" i="15"/>
  <c r="AU267" i="15"/>
  <c r="AV265" i="15"/>
  <c r="AU265" i="15"/>
  <c r="AX265" i="15"/>
  <c r="AY265" i="15"/>
  <c r="AW265" i="15"/>
  <c r="D28" i="26"/>
  <c r="D23" i="26"/>
  <c r="D17" i="26"/>
  <c r="AT78" i="26"/>
  <c r="AU57" i="26"/>
  <c r="AU273" i="15"/>
  <c r="AV273" i="15"/>
  <c r="AW273" i="15"/>
  <c r="AX273" i="15"/>
  <c r="AY273" i="15"/>
  <c r="AX279" i="15"/>
  <c r="AY279" i="15"/>
  <c r="AW279" i="15"/>
  <c r="AV279" i="15"/>
  <c r="AV281" i="15"/>
  <c r="AY281" i="15"/>
  <c r="AW281" i="15"/>
  <c r="AX281" i="15"/>
  <c r="AU275" i="15"/>
  <c r="AV275" i="15"/>
  <c r="AX275" i="15"/>
  <c r="AY275" i="15"/>
  <c r="AW275" i="15"/>
  <c r="D385" i="20"/>
  <c r="D377" i="20"/>
  <c r="D369" i="20"/>
  <c r="D361" i="20"/>
  <c r="D353" i="20"/>
  <c r="D345" i="20"/>
  <c r="D337" i="20"/>
  <c r="D329" i="20"/>
  <c r="D321" i="20"/>
  <c r="D355" i="20"/>
  <c r="D384" i="20"/>
  <c r="D376" i="20"/>
  <c r="D368" i="20"/>
  <c r="D360" i="20"/>
  <c r="D352" i="20"/>
  <c r="D344" i="20"/>
  <c r="D336" i="20"/>
  <c r="D328" i="20"/>
  <c r="D320" i="20"/>
  <c r="D347" i="20"/>
  <c r="D383" i="20"/>
  <c r="D375" i="20"/>
  <c r="D367" i="20"/>
  <c r="D359" i="20"/>
  <c r="D351" i="20"/>
  <c r="D343" i="20"/>
  <c r="D335" i="20"/>
  <c r="D327" i="20"/>
  <c r="D319" i="20"/>
  <c r="D371" i="20"/>
  <c r="D323" i="20"/>
  <c r="D382" i="20"/>
  <c r="D374" i="20"/>
  <c r="D366" i="20"/>
  <c r="D358" i="20"/>
  <c r="D350" i="20"/>
  <c r="D342" i="20"/>
  <c r="D334" i="20"/>
  <c r="D326" i="20"/>
  <c r="D363" i="20"/>
  <c r="D381" i="20"/>
  <c r="D373" i="20"/>
  <c r="D365" i="20"/>
  <c r="D357" i="20"/>
  <c r="D349" i="20"/>
  <c r="D341" i="20"/>
  <c r="D333" i="20"/>
  <c r="D325" i="20"/>
  <c r="D339" i="20"/>
  <c r="D380" i="20"/>
  <c r="D372" i="20"/>
  <c r="D364" i="20"/>
  <c r="D356" i="20"/>
  <c r="D348" i="20"/>
  <c r="D340" i="20"/>
  <c r="D332" i="20"/>
  <c r="D324" i="20"/>
  <c r="D379" i="20"/>
  <c r="D378" i="20"/>
  <c r="D370" i="20"/>
  <c r="D362" i="20"/>
  <c r="D354" i="20"/>
  <c r="D346" i="20"/>
  <c r="D338" i="20"/>
  <c r="D330" i="20"/>
  <c r="D322" i="20"/>
  <c r="D331" i="20"/>
  <c r="G62" i="2"/>
  <c r="G97" i="22"/>
  <c r="I78" i="40" l="1"/>
  <c r="I76" i="40"/>
  <c r="I75" i="40"/>
  <c r="I73" i="40"/>
  <c r="I77" i="40"/>
  <c r="AY106" i="27"/>
  <c r="AY72" i="27"/>
  <c r="BB110" i="40"/>
  <c r="BB126" i="40"/>
  <c r="BA115" i="40"/>
  <c r="BA122" i="40"/>
  <c r="BA103" i="40"/>
  <c r="BA129" i="40"/>
  <c r="BA111" i="40"/>
  <c r="BA112" i="40"/>
  <c r="BB123" i="40"/>
  <c r="BA118" i="40"/>
  <c r="BB121" i="40"/>
  <c r="BA125" i="40"/>
  <c r="BA108" i="40"/>
  <c r="BA117" i="40"/>
  <c r="BB105" i="40"/>
  <c r="AY80" i="27"/>
  <c r="BA132" i="40"/>
  <c r="AY76" i="27"/>
  <c r="AY71" i="27"/>
  <c r="BB103" i="40"/>
  <c r="BB136" i="40"/>
  <c r="BA141" i="40"/>
  <c r="BB139" i="40"/>
  <c r="BB140" i="40"/>
  <c r="BB144" i="40"/>
  <c r="BB119" i="40"/>
  <c r="BA134" i="40"/>
  <c r="BA120" i="40"/>
  <c r="BA107" i="40"/>
  <c r="BB135" i="40"/>
  <c r="BA106" i="40"/>
  <c r="BB108" i="40"/>
  <c r="BB102" i="40"/>
  <c r="BA130" i="40"/>
  <c r="BB142" i="40"/>
  <c r="BA99" i="40"/>
  <c r="BB141" i="40"/>
  <c r="BB118" i="40"/>
  <c r="BA119" i="40"/>
  <c r="BA133" i="40"/>
  <c r="BB97" i="40"/>
  <c r="BB107" i="40"/>
  <c r="BA136" i="40"/>
  <c r="BB116" i="40"/>
  <c r="BB130" i="40"/>
  <c r="BB125" i="40"/>
  <c r="BA114" i="40"/>
  <c r="BB99" i="40"/>
  <c r="BB129" i="40"/>
  <c r="BA123" i="40"/>
  <c r="BB120" i="40"/>
  <c r="BA137" i="40"/>
  <c r="BA109" i="40"/>
  <c r="BB143" i="40"/>
  <c r="BA140" i="40"/>
  <c r="BA116" i="40"/>
  <c r="BB137" i="40"/>
  <c r="BB146" i="40"/>
  <c r="BA126" i="40"/>
  <c r="BB132" i="40"/>
  <c r="BA121" i="40"/>
  <c r="BA131" i="40"/>
  <c r="BA105" i="40"/>
  <c r="BB113" i="40"/>
  <c r="BB111" i="40"/>
  <c r="BB122" i="40"/>
  <c r="BA128" i="40"/>
  <c r="BA110" i="40"/>
  <c r="BA127" i="40"/>
  <c r="BA113" i="40"/>
  <c r="BA143" i="40"/>
  <c r="BA100" i="40"/>
  <c r="BA146" i="40"/>
  <c r="BA144" i="40"/>
  <c r="AY107" i="27"/>
  <c r="AY100" i="27"/>
  <c r="AY103" i="27"/>
  <c r="AY63" i="27"/>
  <c r="AY61" i="27"/>
  <c r="AY87" i="27"/>
  <c r="AY75" i="27"/>
  <c r="AY89" i="27"/>
  <c r="BA145" i="40"/>
  <c r="BB98" i="40"/>
  <c r="BB127" i="40"/>
  <c r="BB134" i="40"/>
  <c r="BA98" i="40"/>
  <c r="BA97" i="40"/>
  <c r="BA104" i="40"/>
  <c r="BB131" i="40"/>
  <c r="BB100" i="40"/>
  <c r="BB117" i="40"/>
  <c r="AY95" i="27"/>
  <c r="AY85" i="27"/>
  <c r="BB124" i="40"/>
  <c r="BA142" i="40"/>
  <c r="BB112" i="40"/>
  <c r="BB101" i="40"/>
  <c r="AY108" i="27"/>
  <c r="AY101" i="27"/>
  <c r="AY60" i="27"/>
  <c r="AY70" i="27"/>
  <c r="AY79" i="27"/>
  <c r="AY93" i="27"/>
  <c r="AY88" i="27"/>
  <c r="BA138" i="40"/>
  <c r="BA139" i="40"/>
  <c r="BA102" i="40"/>
  <c r="AY109" i="27"/>
  <c r="AY62" i="27"/>
  <c r="AY66" i="27"/>
  <c r="BA101" i="40"/>
  <c r="BB145" i="40"/>
  <c r="BB138" i="40"/>
  <c r="AY67" i="27"/>
  <c r="BA135" i="40"/>
  <c r="BB109" i="40"/>
  <c r="BB115" i="40"/>
  <c r="BB104" i="40"/>
  <c r="BA124" i="40"/>
  <c r="BB133" i="40"/>
  <c r="BB128" i="40"/>
  <c r="BB114" i="40"/>
  <c r="BB106" i="40"/>
  <c r="AY78" i="27"/>
  <c r="AY104" i="27"/>
  <c r="AY98" i="27"/>
  <c r="AY92" i="27"/>
  <c r="AY65" i="27"/>
  <c r="AY99" i="27"/>
  <c r="AY96" i="27"/>
  <c r="AY91" i="27"/>
  <c r="AY77" i="27"/>
  <c r="AY69" i="27"/>
  <c r="AY86" i="27"/>
  <c r="AY84" i="27"/>
  <c r="AY81" i="27"/>
  <c r="AY73" i="27"/>
  <c r="AY105" i="27"/>
  <c r="AY83" i="27"/>
  <c r="AY90" i="27"/>
  <c r="AY97" i="27"/>
  <c r="AY94" i="27"/>
  <c r="AY68" i="27"/>
  <c r="AY102" i="27"/>
  <c r="AY82" i="27"/>
  <c r="AY74" i="27"/>
  <c r="AY64" i="27"/>
  <c r="I70" i="40"/>
  <c r="AU282" i="15"/>
  <c r="AU276" i="15"/>
  <c r="AU270" i="15"/>
  <c r="BC64" i="13"/>
  <c r="BB64" i="13"/>
  <c r="AV99" i="40" l="1"/>
  <c r="AY140" i="40"/>
  <c r="AY142" i="40"/>
  <c r="AY136" i="40"/>
  <c r="AY138" i="40"/>
  <c r="AW117" i="40"/>
  <c r="AX103" i="40"/>
  <c r="AY112" i="40"/>
  <c r="AY106" i="40"/>
  <c r="AX125" i="40"/>
  <c r="AV144" i="40"/>
  <c r="AX120" i="40"/>
  <c r="AV139" i="40"/>
  <c r="AY145" i="40"/>
  <c r="AV134" i="40"/>
  <c r="AV104" i="40"/>
  <c r="AX119" i="40"/>
  <c r="AX105" i="40"/>
  <c r="AX99" i="40"/>
  <c r="AU136" i="40"/>
  <c r="AW120" i="40"/>
  <c r="AX136" i="40"/>
  <c r="AX138" i="40"/>
  <c r="AV119" i="40"/>
  <c r="AW112" i="40"/>
  <c r="AU116" i="40"/>
  <c r="AU110" i="40"/>
  <c r="AW135" i="40"/>
  <c r="AW131" i="40"/>
  <c r="AV109" i="40"/>
  <c r="AW102" i="40"/>
  <c r="AW127" i="40"/>
  <c r="AY107" i="40"/>
  <c r="AY121" i="40"/>
  <c r="AV123" i="40"/>
  <c r="AY103" i="40"/>
  <c r="AU98" i="40"/>
  <c r="AV145" i="40"/>
  <c r="AX142" i="40"/>
  <c r="AW130" i="40"/>
  <c r="AY99" i="40"/>
  <c r="AY101" i="40"/>
  <c r="AX97" i="40"/>
  <c r="AV116" i="40"/>
  <c r="AU127" i="40"/>
  <c r="AU129" i="40"/>
  <c r="AU123" i="40"/>
  <c r="AX129" i="40"/>
  <c r="AX131" i="40"/>
  <c r="AU103" i="40"/>
  <c r="AY117" i="40"/>
  <c r="AU108" i="40"/>
  <c r="AU102" i="40"/>
  <c r="AW126" i="40"/>
  <c r="AW128" i="40"/>
  <c r="AX144" i="40"/>
  <c r="AW123" i="40"/>
  <c r="AU142" i="40"/>
  <c r="AU105" i="40"/>
  <c r="AW105" i="40"/>
  <c r="AU118" i="40"/>
  <c r="AW142" i="40"/>
  <c r="AV121" i="40"/>
  <c r="AY120" i="40"/>
  <c r="AY122" i="40"/>
  <c r="AY98" i="40"/>
  <c r="AV110" i="40"/>
  <c r="AU112" i="40"/>
  <c r="AV105" i="40"/>
  <c r="AW113" i="40"/>
  <c r="AW115" i="40"/>
  <c r="AY131" i="40"/>
  <c r="AY133" i="40"/>
  <c r="AY127" i="40"/>
  <c r="AW146" i="40"/>
  <c r="AY130" i="40"/>
  <c r="AY116" i="40"/>
  <c r="AU140" i="40"/>
  <c r="AU104" i="40"/>
  <c r="AW144" i="40"/>
  <c r="AY134" i="40"/>
  <c r="AV131" i="40"/>
  <c r="AV107" i="40"/>
  <c r="AX126" i="40"/>
  <c r="AY108" i="40"/>
  <c r="AU131" i="40"/>
  <c r="AX101" i="40"/>
  <c r="AV113" i="40"/>
  <c r="AY104" i="40"/>
  <c r="AW116" i="40"/>
  <c r="AV136" i="40"/>
  <c r="AV130" i="40"/>
  <c r="AV132" i="40"/>
  <c r="AW110" i="40"/>
  <c r="AV106" i="40"/>
  <c r="AV108" i="40"/>
  <c r="AX124" i="40"/>
  <c r="AV143" i="40"/>
  <c r="AU122" i="40"/>
  <c r="AV138" i="40"/>
  <c r="AY144" i="40"/>
  <c r="AX123" i="40"/>
  <c r="AX100" i="40"/>
  <c r="AY109" i="40"/>
  <c r="AU99" i="40"/>
  <c r="AU101" i="40"/>
  <c r="AV117" i="40"/>
  <c r="AX141" i="40"/>
  <c r="AU138" i="40"/>
  <c r="AU132" i="40"/>
  <c r="AU134" i="40"/>
  <c r="AU97" i="40"/>
  <c r="AW97" i="40"/>
  <c r="AW99" i="40"/>
  <c r="AX115" i="40"/>
  <c r="AW136" i="40"/>
  <c r="AW132" i="40"/>
  <c r="AU106" i="40"/>
  <c r="AV146" i="40"/>
  <c r="AU109" i="40"/>
  <c r="AU119" i="40"/>
  <c r="AW141" i="40"/>
  <c r="AY132" i="40"/>
  <c r="AV135" i="40"/>
  <c r="AV133" i="40"/>
  <c r="AU120" i="40"/>
  <c r="AU100" i="40"/>
  <c r="AW98" i="40"/>
  <c r="AY100" i="40"/>
  <c r="AW119" i="40"/>
  <c r="AV115" i="40"/>
  <c r="AX132" i="40"/>
  <c r="AX134" i="40"/>
  <c r="AX128" i="40"/>
  <c r="AU125" i="40"/>
  <c r="AV111" i="40"/>
  <c r="AW104" i="40"/>
  <c r="AX113" i="40"/>
  <c r="AX107" i="40"/>
  <c r="AU144" i="40"/>
  <c r="AU146" i="40"/>
  <c r="AW122" i="40"/>
  <c r="AU141" i="40"/>
  <c r="AX108" i="40"/>
  <c r="AX110" i="40"/>
  <c r="AW106" i="40"/>
  <c r="AY123" i="40"/>
  <c r="AV120" i="40"/>
  <c r="AY126" i="40"/>
  <c r="AW138" i="40"/>
  <c r="AW140" i="40"/>
  <c r="AX117" i="40"/>
  <c r="AY110" i="40"/>
  <c r="AV127" i="40"/>
  <c r="AV129" i="40"/>
  <c r="AW145" i="40"/>
  <c r="AV124" i="40"/>
  <c r="AV114" i="40"/>
  <c r="AX130" i="40"/>
  <c r="AW125" i="40"/>
  <c r="AW107" i="40"/>
  <c r="AU113" i="40"/>
  <c r="AY129" i="40"/>
  <c r="AY105" i="40"/>
  <c r="AV101" i="40"/>
  <c r="AY146" i="40"/>
  <c r="AU133" i="40"/>
  <c r="AV98" i="40"/>
  <c r="AV100" i="40"/>
  <c r="AY139" i="40"/>
  <c r="AY141" i="40"/>
  <c r="AY135" i="40"/>
  <c r="AY137" i="40"/>
  <c r="AW101" i="40"/>
  <c r="AW111" i="40"/>
  <c r="AY111" i="40"/>
  <c r="AY113" i="40"/>
  <c r="AV142" i="40"/>
  <c r="AU121" i="40"/>
  <c r="AX127" i="40"/>
  <c r="AY143" i="40"/>
  <c r="AX122" i="40"/>
  <c r="AV141" i="40"/>
  <c r="AV103" i="40"/>
  <c r="AX104" i="40"/>
  <c r="AX106" i="40"/>
  <c r="AU135" i="40"/>
  <c r="AU137" i="40"/>
  <c r="AX143" i="40"/>
  <c r="AX137" i="40"/>
  <c r="AX139" i="40"/>
  <c r="AU111" i="40"/>
  <c r="AX102" i="40"/>
  <c r="AU115" i="40"/>
  <c r="AU117" i="40"/>
  <c r="AW133" i="40"/>
  <c r="AW129" i="40"/>
  <c r="AU128" i="40"/>
  <c r="AV102" i="40"/>
  <c r="AW121" i="40"/>
  <c r="AY125" i="40"/>
  <c r="AW108" i="40"/>
  <c r="AV137" i="40"/>
  <c r="AY115" i="40"/>
  <c r="AX121" i="40"/>
  <c r="AU114" i="40"/>
  <c r="AW109" i="40"/>
  <c r="AV118" i="40"/>
  <c r="AX111" i="40"/>
  <c r="AY119" i="40"/>
  <c r="AX98" i="40"/>
  <c r="AY114" i="40"/>
  <c r="AX133" i="40"/>
  <c r="AX135" i="40"/>
  <c r="AU124" i="40"/>
  <c r="AU126" i="40"/>
  <c r="AW103" i="40"/>
  <c r="AV112" i="40"/>
  <c r="AX112" i="40"/>
  <c r="AX114" i="40"/>
  <c r="AU143" i="40"/>
  <c r="AU145" i="40"/>
  <c r="AU139" i="40"/>
  <c r="AX145" i="40"/>
  <c r="AW124" i="40"/>
  <c r="AY118" i="40"/>
  <c r="AX109" i="40"/>
  <c r="AY102" i="40"/>
  <c r="AW100" i="40"/>
  <c r="AY124" i="40"/>
  <c r="AW143" i="40"/>
  <c r="AW137" i="40"/>
  <c r="AW139" i="40"/>
  <c r="AX118" i="40"/>
  <c r="AY97" i="40"/>
  <c r="AV126" i="40"/>
  <c r="AV128" i="40"/>
  <c r="AV122" i="40"/>
  <c r="AY128" i="40"/>
  <c r="AV125" i="40"/>
  <c r="AW118" i="40"/>
  <c r="AU130" i="40"/>
  <c r="AU107" i="40"/>
  <c r="AX146" i="40"/>
  <c r="AV97" i="40"/>
  <c r="AW114" i="40"/>
  <c r="AV140" i="40"/>
  <c r="AX116" i="40"/>
  <c r="AX140" i="40"/>
  <c r="AW134" i="40"/>
  <c r="I21" i="40"/>
  <c r="G64" i="13"/>
  <c r="G73" i="26"/>
  <c r="G72" i="26"/>
  <c r="G71" i="26"/>
  <c r="G70" i="26"/>
  <c r="G69" i="26"/>
  <c r="G66" i="26"/>
  <c r="G64" i="26"/>
  <c r="G59" i="26"/>
  <c r="G54" i="26"/>
  <c r="G49" i="26"/>
  <c r="G45" i="26"/>
  <c r="G41" i="26"/>
  <c r="G36" i="26"/>
  <c r="G34" i="26"/>
  <c r="G270" i="15"/>
  <c r="G268" i="15"/>
  <c r="G267" i="15"/>
  <c r="G70" i="14"/>
  <c r="G69" i="14"/>
  <c r="G264" i="15" s="1"/>
  <c r="G261" i="15"/>
  <c r="G260" i="15"/>
  <c r="G259" i="15"/>
  <c r="G258" i="15"/>
  <c r="G257" i="15"/>
  <c r="BC122" i="40" l="1"/>
  <c r="BC127" i="40"/>
  <c r="BC144" i="40"/>
  <c r="BC98" i="40"/>
  <c r="BC108" i="40"/>
  <c r="BC146" i="40"/>
  <c r="BC132" i="40"/>
  <c r="BC119" i="40"/>
  <c r="BC101" i="40"/>
  <c r="BC133" i="40"/>
  <c r="BC112" i="40"/>
  <c r="BC103" i="40"/>
  <c r="BC100" i="40"/>
  <c r="BC138" i="40"/>
  <c r="BC104" i="40"/>
  <c r="BC123" i="40"/>
  <c r="BC131" i="40"/>
  <c r="BC120" i="40"/>
  <c r="BC97" i="40"/>
  <c r="BC118" i="40"/>
  <c r="BC109" i="40"/>
  <c r="BC107" i="40"/>
  <c r="BC116" i="40"/>
  <c r="BC128" i="40"/>
  <c r="BC102" i="40"/>
  <c r="BC113" i="40"/>
  <c r="BC114" i="40"/>
  <c r="BC141" i="40"/>
  <c r="BC115" i="40"/>
  <c r="BC121" i="40"/>
  <c r="BC129" i="40"/>
  <c r="BC125" i="40"/>
  <c r="BC130" i="40"/>
  <c r="BC99" i="40"/>
  <c r="BC105" i="40"/>
  <c r="BC110" i="40"/>
  <c r="BC143" i="40"/>
  <c r="BC145" i="40"/>
  <c r="BC135" i="40"/>
  <c r="BC111" i="40"/>
  <c r="BC117" i="40"/>
  <c r="BC142" i="40"/>
  <c r="BC126" i="40"/>
  <c r="BC106" i="40"/>
  <c r="BC134" i="40"/>
  <c r="BC124" i="40"/>
  <c r="BC139" i="40"/>
  <c r="BC136" i="40"/>
  <c r="BC137" i="40"/>
  <c r="BC140" i="40"/>
  <c r="G266" i="15"/>
  <c r="G265" i="15"/>
  <c r="G62" i="14"/>
  <c r="G251" i="15" s="1"/>
  <c r="G61" i="14"/>
  <c r="G59" i="14"/>
  <c r="G248" i="15" s="1"/>
  <c r="G58" i="14"/>
  <c r="G247" i="15" s="1"/>
  <c r="G18" i="26"/>
  <c r="G19" i="26"/>
  <c r="G14" i="26"/>
  <c r="G13" i="26"/>
  <c r="G16" i="26"/>
  <c r="G9" i="26"/>
  <c r="G21" i="26"/>
  <c r="G92" i="13"/>
  <c r="G86" i="13"/>
  <c r="G83" i="13"/>
  <c r="G80" i="13"/>
  <c r="G79" i="13"/>
  <c r="G78" i="13"/>
  <c r="G77" i="13"/>
  <c r="G76" i="13"/>
  <c r="G74" i="13"/>
  <c r="G73" i="13"/>
  <c r="G72" i="13"/>
  <c r="G70" i="13"/>
  <c r="G68" i="13"/>
  <c r="G46" i="13"/>
  <c r="G45" i="13"/>
  <c r="G21" i="13"/>
  <c r="G20" i="13"/>
  <c r="G28" i="13"/>
  <c r="G27" i="13"/>
  <c r="G26" i="13"/>
  <c r="G25" i="13"/>
  <c r="G24" i="13"/>
  <c r="G23" i="13"/>
  <c r="G22" i="13"/>
  <c r="G233" i="25"/>
  <c r="G232" i="25"/>
  <c r="G231" i="25"/>
  <c r="G230" i="25"/>
  <c r="G229" i="25"/>
  <c r="G228" i="25"/>
  <c r="G227" i="25"/>
  <c r="G226" i="25"/>
  <c r="G225" i="25"/>
  <c r="G224" i="25"/>
  <c r="G223" i="25"/>
  <c r="G222" i="25"/>
  <c r="G221" i="25"/>
  <c r="G220" i="25"/>
  <c r="G219" i="25"/>
  <c r="G218" i="25"/>
  <c r="G217" i="25"/>
  <c r="G216" i="25"/>
  <c r="G215" i="25"/>
  <c r="G214" i="25"/>
  <c r="G213" i="25"/>
  <c r="G212" i="25"/>
  <c r="G211" i="25"/>
  <c r="G210" i="25"/>
  <c r="G200" i="25"/>
  <c r="G199" i="25"/>
  <c r="G198" i="25"/>
  <c r="G197" i="25"/>
  <c r="G196" i="25"/>
  <c r="G195" i="25"/>
  <c r="G194" i="25"/>
  <c r="G193" i="25"/>
  <c r="G192" i="25"/>
  <c r="G191" i="25"/>
  <c r="G190" i="25"/>
  <c r="G189" i="25"/>
  <c r="G188" i="25"/>
  <c r="G187" i="25"/>
  <c r="G186" i="25"/>
  <c r="G185" i="25"/>
  <c r="G184" i="25"/>
  <c r="G183" i="25"/>
  <c r="G182" i="25"/>
  <c r="G181" i="25"/>
  <c r="G180" i="25"/>
  <c r="G179" i="25"/>
  <c r="G178" i="25"/>
  <c r="G177" i="25"/>
  <c r="G166" i="25"/>
  <c r="G165" i="25"/>
  <c r="G164" i="25"/>
  <c r="G163" i="25"/>
  <c r="G162" i="25"/>
  <c r="G161" i="25"/>
  <c r="G160" i="25"/>
  <c r="G159" i="25"/>
  <c r="G158" i="25"/>
  <c r="G157" i="25"/>
  <c r="G156" i="25"/>
  <c r="G155" i="25"/>
  <c r="G154" i="25"/>
  <c r="G153" i="25"/>
  <c r="G152" i="25"/>
  <c r="G151" i="25"/>
  <c r="G150" i="25"/>
  <c r="G149" i="25"/>
  <c r="G148" i="25"/>
  <c r="G147" i="25"/>
  <c r="G146" i="25"/>
  <c r="G145" i="25"/>
  <c r="G144" i="25"/>
  <c r="G143" i="25"/>
  <c r="G41" i="25"/>
  <c r="G39" i="25"/>
  <c r="G38" i="25"/>
  <c r="G37" i="25"/>
  <c r="G19" i="25"/>
  <c r="G18" i="25"/>
  <c r="G15" i="25"/>
  <c r="G9" i="25"/>
  <c r="G8" i="25"/>
  <c r="G14" i="25"/>
  <c r="G20" i="25"/>
  <c r="G7" i="25"/>
  <c r="G10" i="25"/>
  <c r="G67" i="15"/>
  <c r="G12" i="8" s="1"/>
  <c r="G8" i="26" l="1"/>
  <c r="G7" i="26"/>
  <c r="G12" i="26"/>
  <c r="G10" i="26"/>
  <c r="BC559" i="14"/>
  <c r="BC558" i="14"/>
  <c r="BC557" i="14"/>
  <c r="AT107" i="15" l="1"/>
  <c r="AT34" i="9" s="1"/>
  <c r="D34" i="9" a="1"/>
  <c r="D34" i="9" l="1"/>
  <c r="G79" i="15"/>
  <c r="G35" i="14"/>
  <c r="AW59" i="27" l="1"/>
  <c r="AV59" i="27"/>
  <c r="AU59" i="27"/>
  <c r="F266" i="20"/>
  <c r="F265" i="20"/>
  <c r="F264" i="20"/>
  <c r="F263" i="20"/>
  <c r="F262" i="20"/>
  <c r="F261" i="20"/>
  <c r="F260" i="20"/>
  <c r="F259" i="20"/>
  <c r="F258" i="20"/>
  <c r="F257" i="20"/>
  <c r="F256" i="20"/>
  <c r="F255" i="20"/>
  <c r="F254" i="20"/>
  <c r="F253" i="20"/>
  <c r="F252" i="20"/>
  <c r="F251" i="20"/>
  <c r="F250" i="20"/>
  <c r="F249" i="20"/>
  <c r="F248" i="20"/>
  <c r="F247" i="20"/>
  <c r="F246" i="20"/>
  <c r="F245" i="20"/>
  <c r="F244" i="20"/>
  <c r="F243" i="20"/>
  <c r="F242" i="20"/>
  <c r="F241" i="20"/>
  <c r="F240" i="20"/>
  <c r="F239" i="20"/>
  <c r="F238" i="20"/>
  <c r="F237" i="20"/>
  <c r="F236" i="20"/>
  <c r="F235" i="20"/>
  <c r="F234" i="20"/>
  <c r="F233" i="20"/>
  <c r="F232" i="20"/>
  <c r="F231" i="20"/>
  <c r="F230" i="20"/>
  <c r="F229" i="20"/>
  <c r="F228" i="20"/>
  <c r="F227" i="20"/>
  <c r="F226" i="20"/>
  <c r="F225" i="20"/>
  <c r="F224" i="20"/>
  <c r="F223" i="20"/>
  <c r="F222" i="20"/>
  <c r="F221" i="20"/>
  <c r="F220" i="20"/>
  <c r="F219" i="20"/>
  <c r="F218" i="20"/>
  <c r="F217" i="20"/>
  <c r="F216" i="20"/>
  <c r="F215" i="20"/>
  <c r="F214" i="20"/>
  <c r="F213" i="20"/>
  <c r="F212" i="20"/>
  <c r="F211" i="20"/>
  <c r="F210" i="20"/>
  <c r="F209" i="20"/>
  <c r="F208" i="20"/>
  <c r="F207" i="20"/>
  <c r="F206" i="20"/>
  <c r="F205" i="20"/>
  <c r="F204" i="20"/>
  <c r="F203" i="20"/>
  <c r="F202" i="20"/>
  <c r="F201" i="20"/>
  <c r="F200" i="20"/>
  <c r="F199" i="20"/>
  <c r="F198" i="20"/>
  <c r="F197" i="20"/>
  <c r="F196" i="20"/>
  <c r="F195" i="20"/>
  <c r="F194" i="20"/>
  <c r="F193" i="20"/>
  <c r="F192" i="20"/>
  <c r="F191" i="20"/>
  <c r="F190" i="20"/>
  <c r="F189" i="20"/>
  <c r="F188" i="20"/>
  <c r="F187" i="20"/>
  <c r="F186" i="20"/>
  <c r="F185" i="20"/>
  <c r="F184" i="20"/>
  <c r="F183" i="20"/>
  <c r="F182" i="20"/>
  <c r="F181" i="20"/>
  <c r="F180" i="20"/>
  <c r="F179" i="20"/>
  <c r="F178" i="20"/>
  <c r="F177" i="20"/>
  <c r="F176" i="20"/>
  <c r="F175" i="20"/>
  <c r="F174" i="20"/>
  <c r="F173" i="20"/>
  <c r="F172" i="20"/>
  <c r="F171" i="20"/>
  <c r="F170" i="20"/>
  <c r="F169" i="20"/>
  <c r="F168" i="20"/>
  <c r="F167" i="20"/>
  <c r="F166" i="20"/>
  <c r="F165" i="20"/>
  <c r="F164" i="20"/>
  <c r="F163" i="20"/>
  <c r="F162" i="20"/>
  <c r="F161" i="20"/>
  <c r="F160" i="20"/>
  <c r="F159" i="20"/>
  <c r="F158" i="20"/>
  <c r="F157" i="20"/>
  <c r="F156" i="20"/>
  <c r="F155" i="20"/>
  <c r="F154" i="20"/>
  <c r="F153" i="20"/>
  <c r="F152" i="20"/>
  <c r="F151" i="20"/>
  <c r="F150" i="20"/>
  <c r="F149" i="20"/>
  <c r="F148" i="20"/>
  <c r="F147" i="20"/>
  <c r="F146" i="20"/>
  <c r="F145" i="20"/>
  <c r="F144" i="20"/>
  <c r="F143" i="20"/>
  <c r="F142" i="20"/>
  <c r="F141" i="20"/>
  <c r="F140" i="20"/>
  <c r="F139" i="20"/>
  <c r="F138" i="20"/>
  <c r="F137" i="20"/>
  <c r="F136" i="20"/>
  <c r="F135" i="20"/>
  <c r="F134" i="20"/>
  <c r="F133" i="20"/>
  <c r="F132" i="20"/>
  <c r="F131" i="20"/>
  <c r="F130" i="20"/>
  <c r="F129" i="20"/>
  <c r="F128" i="20"/>
  <c r="F127" i="20"/>
  <c r="F126" i="20"/>
  <c r="F125" i="20"/>
  <c r="F124" i="20"/>
  <c r="F123" i="20"/>
  <c r="F122" i="20"/>
  <c r="F121" i="20"/>
  <c r="F120" i="20"/>
  <c r="F119" i="20"/>
  <c r="F118" i="20"/>
  <c r="F117" i="20"/>
  <c r="F116" i="20"/>
  <c r="F115" i="20"/>
  <c r="F114" i="20"/>
  <c r="F113" i="20"/>
  <c r="F112" i="20"/>
  <c r="F111" i="20"/>
  <c r="F110" i="20"/>
  <c r="F109" i="20"/>
  <c r="F108" i="20"/>
  <c r="F107" i="20"/>
  <c r="F106" i="20"/>
  <c r="F105" i="20"/>
  <c r="F104" i="20"/>
  <c r="F103" i="20"/>
  <c r="F102" i="20"/>
  <c r="F101" i="20"/>
  <c r="F100" i="20"/>
  <c r="F99" i="20"/>
  <c r="F98" i="20"/>
  <c r="F97" i="20"/>
  <c r="F96" i="20"/>
  <c r="F95" i="20"/>
  <c r="F94" i="20"/>
  <c r="F93" i="20"/>
  <c r="F92" i="20"/>
  <c r="F91" i="20"/>
  <c r="F90" i="20"/>
  <c r="F89" i="20"/>
  <c r="F88" i="20"/>
  <c r="F87" i="20"/>
  <c r="F86" i="20"/>
  <c r="F85" i="20"/>
  <c r="F84" i="20"/>
  <c r="F83" i="20"/>
  <c r="F82" i="20"/>
  <c r="F81" i="20"/>
  <c r="F80" i="20"/>
  <c r="F79" i="20"/>
  <c r="F78" i="20"/>
  <c r="F77" i="20"/>
  <c r="F76" i="20"/>
  <c r="F75" i="20"/>
  <c r="F74" i="20"/>
  <c r="F73" i="20"/>
  <c r="F72" i="20"/>
  <c r="F71" i="20"/>
  <c r="F70" i="20"/>
  <c r="F69" i="20"/>
  <c r="F68" i="20"/>
  <c r="F67" i="20"/>
  <c r="F66" i="20"/>
  <c r="F65" i="20"/>
  <c r="F64" i="20"/>
  <c r="F63" i="20"/>
  <c r="F62" i="20"/>
  <c r="F61" i="20"/>
  <c r="F60" i="20"/>
  <c r="F59" i="20"/>
  <c r="F58" i="20"/>
  <c r="F57" i="20"/>
  <c r="F56" i="20"/>
  <c r="F55" i="20"/>
  <c r="F54" i="20"/>
  <c r="F53" i="20"/>
  <c r="F52" i="20"/>
  <c r="F51" i="20"/>
  <c r="F50" i="20"/>
  <c r="F49" i="20"/>
  <c r="F48" i="20"/>
  <c r="F47" i="20"/>
  <c r="F46" i="20"/>
  <c r="F45" i="20"/>
  <c r="F44" i="20"/>
  <c r="F43" i="20"/>
  <c r="F42" i="20"/>
  <c r="F41" i="20"/>
  <c r="F40" i="20"/>
  <c r="F39" i="20"/>
  <c r="F38" i="20"/>
  <c r="F37" i="20"/>
  <c r="F36" i="20"/>
  <c r="F35" i="20"/>
  <c r="F34" i="20"/>
  <c r="F33" i="20"/>
  <c r="F32" i="20"/>
  <c r="F31" i="20"/>
  <c r="F30" i="20"/>
  <c r="F29" i="20"/>
  <c r="F28" i="20"/>
  <c r="F27" i="20"/>
  <c r="F26" i="20"/>
  <c r="F25" i="20"/>
  <c r="F24" i="20"/>
  <c r="F23" i="20"/>
  <c r="F22" i="20"/>
  <c r="F21" i="20"/>
  <c r="F20" i="20"/>
  <c r="F19" i="20"/>
  <c r="F18" i="20"/>
  <c r="F17" i="20"/>
  <c r="F16" i="20"/>
  <c r="F15" i="20"/>
  <c r="F14" i="20"/>
  <c r="F13" i="20"/>
  <c r="F12" i="20"/>
  <c r="F11" i="20"/>
  <c r="F10" i="20"/>
  <c r="F9" i="20"/>
  <c r="F8" i="20"/>
  <c r="F7" i="20"/>
  <c r="F6" i="20"/>
  <c r="F5" i="20"/>
  <c r="F4" i="20"/>
  <c r="F3" i="20"/>
  <c r="F2" i="20"/>
  <c r="BB73" i="26" l="1"/>
  <c r="BB72" i="26"/>
  <c r="BB71" i="26"/>
  <c r="BB70" i="26"/>
  <c r="BB69" i="26"/>
  <c r="BC66" i="26"/>
  <c r="BB66" i="26"/>
  <c r="BC64" i="26"/>
  <c r="BB64" i="26"/>
  <c r="BC63" i="26"/>
  <c r="BB63" i="26"/>
  <c r="BC62" i="26"/>
  <c r="BB62" i="26"/>
  <c r="BC59" i="26"/>
  <c r="BB59" i="26"/>
  <c r="BC54" i="26"/>
  <c r="BB54" i="26"/>
  <c r="BC53" i="26"/>
  <c r="BB53" i="26"/>
  <c r="BC52" i="26"/>
  <c r="BB52" i="26"/>
  <c r="BC49" i="26"/>
  <c r="BB49" i="26"/>
  <c r="BC45" i="26"/>
  <c r="BB45" i="26"/>
  <c r="BB41" i="26"/>
  <c r="BB36" i="26"/>
  <c r="BB34" i="26"/>
  <c r="BC92" i="13"/>
  <c r="BB92" i="13"/>
  <c r="BC91" i="13"/>
  <c r="BB91" i="13"/>
  <c r="BC86" i="13"/>
  <c r="BB86" i="13"/>
  <c r="BC84" i="13"/>
  <c r="BB84" i="13"/>
  <c r="BC83" i="13"/>
  <c r="BB83" i="13"/>
  <c r="BC82" i="13"/>
  <c r="BB82" i="13"/>
  <c r="BC80" i="13"/>
  <c r="BB80" i="13"/>
  <c r="BC79" i="13"/>
  <c r="BB79" i="13"/>
  <c r="BC78" i="13"/>
  <c r="BB78" i="13"/>
  <c r="BC77" i="13"/>
  <c r="BB77" i="13"/>
  <c r="BC76" i="13"/>
  <c r="BB76" i="13"/>
  <c r="BC74" i="13"/>
  <c r="BB74" i="13"/>
  <c r="BC73" i="13"/>
  <c r="BB73" i="13"/>
  <c r="BC72" i="13"/>
  <c r="BB72" i="13"/>
  <c r="BC70" i="13"/>
  <c r="BB70" i="13"/>
  <c r="BC69" i="13"/>
  <c r="BB69" i="13"/>
  <c r="BC68" i="13"/>
  <c r="BB68" i="13"/>
  <c r="BB46" i="13"/>
  <c r="BB45" i="13"/>
  <c r="BB242" i="25"/>
  <c r="BB238" i="25"/>
  <c r="BB237" i="25"/>
  <c r="BB236" i="25"/>
  <c r="BB235" i="25"/>
  <c r="BB234" i="25"/>
  <c r="BB233" i="25"/>
  <c r="BB232" i="25"/>
  <c r="BB231" i="25"/>
  <c r="BB230" i="25"/>
  <c r="BB229" i="25"/>
  <c r="BB228" i="25"/>
  <c r="BB227" i="25"/>
  <c r="BB226" i="25"/>
  <c r="BB225" i="25"/>
  <c r="BB224" i="25"/>
  <c r="BB223" i="25"/>
  <c r="BB222" i="25"/>
  <c r="BB221" i="25"/>
  <c r="BB220" i="25"/>
  <c r="BB219" i="25"/>
  <c r="BB218" i="25"/>
  <c r="BB217" i="25"/>
  <c r="BB216" i="25"/>
  <c r="BB215" i="25"/>
  <c r="BB214" i="25"/>
  <c r="BB213" i="25"/>
  <c r="BB212" i="25"/>
  <c r="BB211" i="25"/>
  <c r="BB210" i="25"/>
  <c r="BC205" i="25"/>
  <c r="BB205" i="25"/>
  <c r="BC204" i="25"/>
  <c r="BB204" i="25"/>
  <c r="BC203" i="25"/>
  <c r="BB203" i="25"/>
  <c r="BC202" i="25"/>
  <c r="BB202" i="25"/>
  <c r="BC201" i="25"/>
  <c r="BB201" i="25"/>
  <c r="BC200" i="25"/>
  <c r="BB200" i="25"/>
  <c r="BC199" i="25"/>
  <c r="BB199" i="25"/>
  <c r="BC198" i="25"/>
  <c r="BB198" i="25"/>
  <c r="BC197" i="25"/>
  <c r="BB197" i="25"/>
  <c r="BC196" i="25"/>
  <c r="BB196" i="25"/>
  <c r="BC195" i="25"/>
  <c r="BB195" i="25"/>
  <c r="BC194" i="25"/>
  <c r="BB194" i="25"/>
  <c r="BC193" i="25"/>
  <c r="BB193" i="25"/>
  <c r="BC192" i="25"/>
  <c r="BB192" i="25"/>
  <c r="BC191" i="25"/>
  <c r="BB191" i="25"/>
  <c r="BC190" i="25"/>
  <c r="BB190" i="25"/>
  <c r="BC189" i="25"/>
  <c r="BB189" i="25"/>
  <c r="BC188" i="25"/>
  <c r="BB188" i="25"/>
  <c r="BC187" i="25"/>
  <c r="BB187" i="25"/>
  <c r="BC186" i="25"/>
  <c r="BB186" i="25"/>
  <c r="BC185" i="25"/>
  <c r="BB185" i="25"/>
  <c r="BC184" i="25"/>
  <c r="BB184" i="25"/>
  <c r="BC183" i="25"/>
  <c r="BB183" i="25"/>
  <c r="BC182" i="25"/>
  <c r="BB182" i="25"/>
  <c r="BC181" i="25"/>
  <c r="BB181" i="25"/>
  <c r="BC180" i="25"/>
  <c r="BB180" i="25"/>
  <c r="BC179" i="25"/>
  <c r="BB179" i="25"/>
  <c r="BC178" i="25"/>
  <c r="BB178" i="25"/>
  <c r="BC177" i="25"/>
  <c r="BB177" i="25"/>
  <c r="BC171" i="25"/>
  <c r="BB171" i="25"/>
  <c r="BC170" i="25"/>
  <c r="BB170" i="25"/>
  <c r="BC169" i="25"/>
  <c r="BB169" i="25"/>
  <c r="BC168" i="25"/>
  <c r="BB168" i="25"/>
  <c r="BC167" i="25"/>
  <c r="BB167" i="25"/>
  <c r="BC166" i="25"/>
  <c r="BB166" i="25"/>
  <c r="BC165" i="25"/>
  <c r="BB165" i="25"/>
  <c r="BC164" i="25"/>
  <c r="BB164" i="25"/>
  <c r="BC163" i="25"/>
  <c r="BB163" i="25"/>
  <c r="BC162" i="25"/>
  <c r="BB162" i="25"/>
  <c r="BC161" i="25"/>
  <c r="BB161" i="25"/>
  <c r="BC160" i="25"/>
  <c r="BB160" i="25"/>
  <c r="BC159" i="25"/>
  <c r="BB159" i="25"/>
  <c r="BC158" i="25"/>
  <c r="BB158" i="25"/>
  <c r="BC157" i="25"/>
  <c r="BB157" i="25"/>
  <c r="BC156" i="25"/>
  <c r="BB156" i="25"/>
  <c r="BC155" i="25"/>
  <c r="BB155" i="25"/>
  <c r="BC154" i="25"/>
  <c r="BB154" i="25"/>
  <c r="BC153" i="25"/>
  <c r="BB153" i="25"/>
  <c r="BC152" i="25"/>
  <c r="BB152" i="25"/>
  <c r="BC151" i="25"/>
  <c r="BB151" i="25"/>
  <c r="BC150" i="25"/>
  <c r="BB150" i="25"/>
  <c r="BC149" i="25"/>
  <c r="BB149" i="25"/>
  <c r="BC148" i="25"/>
  <c r="BB148" i="25"/>
  <c r="BC147" i="25"/>
  <c r="BB147" i="25"/>
  <c r="BC146" i="25"/>
  <c r="BB146" i="25"/>
  <c r="BC145" i="25"/>
  <c r="BB145" i="25"/>
  <c r="BC144" i="25"/>
  <c r="BB144" i="25"/>
  <c r="BC143" i="25"/>
  <c r="BB143" i="25"/>
  <c r="BC139" i="25"/>
  <c r="BB139" i="25"/>
  <c r="BC138" i="25"/>
  <c r="BB138" i="25"/>
  <c r="BC137" i="25"/>
  <c r="BB137" i="25"/>
  <c r="BC136" i="25"/>
  <c r="BB136" i="25"/>
  <c r="BC135" i="25"/>
  <c r="BB135" i="25"/>
  <c r="BC134" i="25"/>
  <c r="BB134" i="25"/>
  <c r="BC133" i="25"/>
  <c r="BB133" i="25"/>
  <c r="BC132" i="25"/>
  <c r="BB132" i="25"/>
  <c r="BC131" i="25"/>
  <c r="BB131" i="25"/>
  <c r="BC130" i="25"/>
  <c r="BB130" i="25"/>
  <c r="BC129" i="25"/>
  <c r="BB129" i="25"/>
  <c r="BC128" i="25"/>
  <c r="BB128" i="25"/>
  <c r="BC127" i="25"/>
  <c r="BB127" i="25"/>
  <c r="BC126" i="25"/>
  <c r="BB126" i="25"/>
  <c r="BC125" i="25"/>
  <c r="BB125" i="25"/>
  <c r="BC124" i="25"/>
  <c r="BB124" i="25"/>
  <c r="BC123" i="25"/>
  <c r="BB123" i="25"/>
  <c r="BC122" i="25"/>
  <c r="BB122" i="25"/>
  <c r="BC121" i="25"/>
  <c r="BB121" i="25"/>
  <c r="BC120" i="25"/>
  <c r="BB120" i="25"/>
  <c r="BC119" i="25"/>
  <c r="BB119" i="25"/>
  <c r="BC118" i="25"/>
  <c r="BB118" i="25"/>
  <c r="BC117" i="25"/>
  <c r="BB117" i="25"/>
  <c r="BC116" i="25"/>
  <c r="BB116" i="25"/>
  <c r="BC115" i="25"/>
  <c r="BB115" i="25"/>
  <c r="BC114" i="25"/>
  <c r="BB114" i="25"/>
  <c r="BC113" i="25"/>
  <c r="BB113" i="25"/>
  <c r="BC112" i="25"/>
  <c r="BB112" i="25"/>
  <c r="BC111" i="25"/>
  <c r="BB111" i="25"/>
  <c r="BC107" i="25"/>
  <c r="BB107" i="25"/>
  <c r="BC106" i="25"/>
  <c r="BB106" i="25"/>
  <c r="BC105" i="25"/>
  <c r="BB105" i="25"/>
  <c r="BC104" i="25"/>
  <c r="BB104" i="25"/>
  <c r="BC103" i="25"/>
  <c r="BB103" i="25"/>
  <c r="BC102" i="25"/>
  <c r="BB102" i="25"/>
  <c r="BC101" i="25"/>
  <c r="BB101" i="25"/>
  <c r="BC100" i="25"/>
  <c r="BB100" i="25"/>
  <c r="BC99" i="25"/>
  <c r="BB99" i="25"/>
  <c r="BC98" i="25"/>
  <c r="BB98" i="25"/>
  <c r="BC97" i="25"/>
  <c r="BB97" i="25"/>
  <c r="BC96" i="25"/>
  <c r="BB96" i="25"/>
  <c r="BC95" i="25"/>
  <c r="BB95" i="25"/>
  <c r="BC94" i="25"/>
  <c r="BB94" i="25"/>
  <c r="BC93" i="25"/>
  <c r="BB93" i="25"/>
  <c r="BC92" i="25"/>
  <c r="BB92" i="25"/>
  <c r="BC91" i="25"/>
  <c r="BB91" i="25"/>
  <c r="BC90" i="25"/>
  <c r="BB90" i="25"/>
  <c r="BC89" i="25"/>
  <c r="BB89" i="25"/>
  <c r="BC88" i="25"/>
  <c r="BB88" i="25"/>
  <c r="BC87" i="25"/>
  <c r="BB87" i="25"/>
  <c r="BC86" i="25"/>
  <c r="BB86" i="25"/>
  <c r="BC85" i="25"/>
  <c r="BB85" i="25"/>
  <c r="BC84" i="25"/>
  <c r="BB84" i="25"/>
  <c r="BC83" i="25"/>
  <c r="BB83" i="25"/>
  <c r="BC82" i="25"/>
  <c r="BB82" i="25"/>
  <c r="BC81" i="25"/>
  <c r="BB81" i="25"/>
  <c r="BC80" i="25"/>
  <c r="BB80" i="25"/>
  <c r="BC79" i="25"/>
  <c r="BB79" i="25"/>
  <c r="BC74" i="25"/>
  <c r="BB74" i="25"/>
  <c r="BC73" i="25"/>
  <c r="BB73" i="25"/>
  <c r="BC72" i="25"/>
  <c r="BB72" i="25"/>
  <c r="BC71" i="25"/>
  <c r="BB71" i="25"/>
  <c r="BC70" i="25"/>
  <c r="BB70" i="25"/>
  <c r="BC69" i="25"/>
  <c r="BB69" i="25"/>
  <c r="BC68" i="25"/>
  <c r="BB68" i="25"/>
  <c r="BC67" i="25"/>
  <c r="BB67" i="25"/>
  <c r="BC66" i="25"/>
  <c r="BB66" i="25"/>
  <c r="BC65" i="25"/>
  <c r="BB65" i="25"/>
  <c r="BC64" i="25"/>
  <c r="BB64" i="25"/>
  <c r="BC63" i="25"/>
  <c r="BB63" i="25"/>
  <c r="BC62" i="25"/>
  <c r="BB62" i="25"/>
  <c r="BC61" i="25"/>
  <c r="BB61" i="25"/>
  <c r="BC60" i="25"/>
  <c r="BB60" i="25"/>
  <c r="BC59" i="25"/>
  <c r="BB59" i="25"/>
  <c r="BC58" i="25"/>
  <c r="BB58" i="25"/>
  <c r="BC57" i="25"/>
  <c r="BB57" i="25"/>
  <c r="BC56" i="25"/>
  <c r="BB56" i="25"/>
  <c r="BC55" i="25"/>
  <c r="BB55" i="25"/>
  <c r="BC54" i="25"/>
  <c r="BB54" i="25"/>
  <c r="BC53" i="25"/>
  <c r="BB53" i="25"/>
  <c r="BC52" i="25"/>
  <c r="BB52" i="25"/>
  <c r="BC51" i="25"/>
  <c r="BB51" i="25"/>
  <c r="BC50" i="25"/>
  <c r="BB50" i="25"/>
  <c r="BC49" i="25"/>
  <c r="BB49" i="25"/>
  <c r="BC48" i="25"/>
  <c r="BB48" i="25"/>
  <c r="BC47" i="25"/>
  <c r="BB47" i="25"/>
  <c r="BC46" i="25"/>
  <c r="BB46" i="25"/>
  <c r="BB41" i="25"/>
  <c r="BB39" i="25"/>
  <c r="BB38" i="25"/>
  <c r="BB37" i="25"/>
  <c r="BB35" i="25"/>
  <c r="BB34" i="25"/>
  <c r="BB31" i="25"/>
  <c r="BB30" i="25"/>
  <c r="BB28" i="25"/>
  <c r="BB27" i="25"/>
  <c r="BB25" i="25"/>
  <c r="BB24" i="25"/>
  <c r="BB23" i="25"/>
  <c r="BB97" i="22"/>
  <c r="BC67" i="15"/>
  <c r="BB67" i="15"/>
  <c r="BC65" i="15"/>
  <c r="BB65" i="15"/>
  <c r="BC64" i="15"/>
  <c r="BB64" i="15"/>
  <c r="BC62" i="15"/>
  <c r="BB62" i="15"/>
  <c r="BC270" i="15"/>
  <c r="BB270" i="15"/>
  <c r="BC269" i="15"/>
  <c r="BB269" i="15"/>
  <c r="BC268" i="15"/>
  <c r="BB268" i="15"/>
  <c r="BC267" i="15"/>
  <c r="BB267" i="15"/>
  <c r="BC266" i="15"/>
  <c r="BB266" i="15"/>
  <c r="BC264" i="15"/>
  <c r="BB264" i="15"/>
  <c r="BC261" i="15"/>
  <c r="BB261" i="15"/>
  <c r="BC260" i="15"/>
  <c r="BB260" i="15"/>
  <c r="BC259" i="15"/>
  <c r="BB259" i="15"/>
  <c r="BC258" i="15"/>
  <c r="BB258" i="15"/>
  <c r="BC257" i="15"/>
  <c r="BB257" i="15"/>
  <c r="BC251" i="15"/>
  <c r="BB251" i="15"/>
  <c r="BC250" i="15"/>
  <c r="BB250" i="15"/>
  <c r="BC248" i="15"/>
  <c r="BB248" i="15"/>
  <c r="BC247" i="15"/>
  <c r="BB247" i="15"/>
  <c r="BD160" i="15"/>
  <c r="BC160" i="15"/>
  <c r="BB160" i="15"/>
  <c r="BD159" i="15"/>
  <c r="BC159" i="15"/>
  <c r="BB159" i="15"/>
  <c r="G132" i="15"/>
  <c r="G131" i="15"/>
  <c r="G130" i="15"/>
  <c r="G129" i="15"/>
  <c r="G128" i="15"/>
  <c r="BB132" i="15"/>
  <c r="BB131" i="15"/>
  <c r="BB130" i="15"/>
  <c r="BB129" i="15"/>
  <c r="BB128" i="15"/>
  <c r="BB126" i="15"/>
  <c r="BC369" i="27"/>
  <c r="BB369" i="27"/>
  <c r="BC368" i="27"/>
  <c r="BB368" i="27"/>
  <c r="BC367" i="27"/>
  <c r="BB367" i="27"/>
  <c r="BC366" i="27"/>
  <c r="BB366" i="27"/>
  <c r="BC361" i="27"/>
  <c r="BB361" i="27"/>
  <c r="BC360" i="27"/>
  <c r="BB360" i="27"/>
  <c r="BC359" i="27"/>
  <c r="BB359" i="27"/>
  <c r="BC358" i="27"/>
  <c r="BB358" i="27"/>
  <c r="BC357" i="27"/>
  <c r="BB357" i="27"/>
  <c r="BC356" i="27"/>
  <c r="BB356" i="27"/>
  <c r="BC355" i="27"/>
  <c r="BB355" i="27"/>
  <c r="BC354" i="27"/>
  <c r="BB354" i="27"/>
  <c r="BC353" i="27"/>
  <c r="BB353" i="27"/>
  <c r="BC352" i="27"/>
  <c r="BB352" i="27"/>
  <c r="BC351" i="27"/>
  <c r="BB351" i="27"/>
  <c r="BC350" i="27"/>
  <c r="BB350" i="27"/>
  <c r="BC349" i="27"/>
  <c r="BB349" i="27"/>
  <c r="BC348" i="27"/>
  <c r="BB348" i="27"/>
  <c r="BC347" i="27"/>
  <c r="BB347" i="27"/>
  <c r="BC346" i="27"/>
  <c r="BB346" i="27"/>
  <c r="BC345" i="27"/>
  <c r="BB345" i="27"/>
  <c r="BC344" i="27"/>
  <c r="BB344" i="27"/>
  <c r="BC343" i="27"/>
  <c r="BB343" i="27"/>
  <c r="BC342" i="27"/>
  <c r="BB342" i="27"/>
  <c r="BC341" i="27"/>
  <c r="BB341" i="27"/>
  <c r="BC340" i="27"/>
  <c r="BB340" i="27"/>
  <c r="BC339" i="27"/>
  <c r="BB339" i="27"/>
  <c r="BC338" i="27"/>
  <c r="BB338" i="27"/>
  <c r="BC337" i="27"/>
  <c r="BB337" i="27"/>
  <c r="BC336" i="27"/>
  <c r="BB336" i="27"/>
  <c r="BC335" i="27"/>
  <c r="BB335" i="27"/>
  <c r="BC334" i="27"/>
  <c r="BB334" i="27"/>
  <c r="BC333" i="27"/>
  <c r="BB333" i="27"/>
  <c r="BC332" i="27"/>
  <c r="BB332" i="27"/>
  <c r="BC331" i="27"/>
  <c r="BB331" i="27"/>
  <c r="BC330" i="27"/>
  <c r="BB330" i="27"/>
  <c r="BC329" i="27"/>
  <c r="BB329" i="27"/>
  <c r="BC328" i="27"/>
  <c r="BB328" i="27"/>
  <c r="BC327" i="27"/>
  <c r="BB327" i="27"/>
  <c r="BC326" i="27"/>
  <c r="BB326" i="27"/>
  <c r="BC325" i="27"/>
  <c r="BB325" i="27"/>
  <c r="BC324" i="27"/>
  <c r="BB324" i="27"/>
  <c r="BC323" i="27"/>
  <c r="BB323" i="27"/>
  <c r="BC322" i="27"/>
  <c r="BB322" i="27"/>
  <c r="BC321" i="27"/>
  <c r="BB321" i="27"/>
  <c r="BC320" i="27"/>
  <c r="BB320" i="27"/>
  <c r="BC319" i="27"/>
  <c r="BB319" i="27"/>
  <c r="BC318" i="27"/>
  <c r="BB318" i="27"/>
  <c r="BC317" i="27"/>
  <c r="BB317" i="27"/>
  <c r="BC316" i="27"/>
  <c r="BB316" i="27"/>
  <c r="BC315" i="27"/>
  <c r="BB315" i="27"/>
  <c r="BC314" i="27"/>
  <c r="BB314" i="27"/>
  <c r="BC313" i="27"/>
  <c r="BB313" i="27"/>
  <c r="BC312" i="27"/>
  <c r="BB312" i="27"/>
  <c r="BC311" i="27"/>
  <c r="BB311" i="27"/>
  <c r="BC310" i="27"/>
  <c r="BB310" i="27"/>
  <c r="BC309" i="27"/>
  <c r="BB309" i="27"/>
  <c r="BC308" i="27"/>
  <c r="BB308" i="27"/>
  <c r="BC307" i="27"/>
  <c r="BB307" i="27"/>
  <c r="BC306" i="27"/>
  <c r="BB306" i="27"/>
  <c r="BC305" i="27"/>
  <c r="BB305" i="27"/>
  <c r="BC304" i="27"/>
  <c r="BB304" i="27"/>
  <c r="BC303" i="27"/>
  <c r="BB303" i="27"/>
  <c r="BC302" i="27"/>
  <c r="BB302" i="27"/>
  <c r="BC301" i="27"/>
  <c r="BB301" i="27"/>
  <c r="BC300" i="27"/>
  <c r="BB300" i="27"/>
  <c r="BC299" i="27"/>
  <c r="BB299" i="27"/>
  <c r="BC298" i="27"/>
  <c r="BB298" i="27"/>
  <c r="BC297" i="27"/>
  <c r="BB297" i="27"/>
  <c r="BC296" i="27"/>
  <c r="BB296" i="27"/>
  <c r="BC295" i="27"/>
  <c r="BB295" i="27"/>
  <c r="BC294" i="27"/>
  <c r="BB294" i="27"/>
  <c r="BC293" i="27"/>
  <c r="BB293" i="27"/>
  <c r="BC292" i="27"/>
  <c r="BB292" i="27"/>
  <c r="BC291" i="27"/>
  <c r="BB291" i="27"/>
  <c r="BC290" i="27"/>
  <c r="BB290" i="27"/>
  <c r="BC289" i="27"/>
  <c r="BB289" i="27"/>
  <c r="BC288" i="27"/>
  <c r="BB288" i="27"/>
  <c r="BC287" i="27"/>
  <c r="BB287" i="27"/>
  <c r="BC286" i="27"/>
  <c r="BB286" i="27"/>
  <c r="BC285" i="27"/>
  <c r="BB285" i="27"/>
  <c r="BC284" i="27"/>
  <c r="BB284" i="27"/>
  <c r="BC283" i="27"/>
  <c r="BB283" i="27"/>
  <c r="BC282" i="27"/>
  <c r="BB282" i="27"/>
  <c r="BC281" i="27"/>
  <c r="BB281" i="27"/>
  <c r="BC280" i="27"/>
  <c r="BB280" i="27"/>
  <c r="BC279" i="27"/>
  <c r="BB279" i="27"/>
  <c r="BC278" i="27"/>
  <c r="BB278" i="27"/>
  <c r="BC277" i="27"/>
  <c r="BB277" i="27"/>
  <c r="BC276" i="27"/>
  <c r="BB276" i="27"/>
  <c r="BC275" i="27"/>
  <c r="BB275" i="27"/>
  <c r="BC274" i="27"/>
  <c r="BB274" i="27"/>
  <c r="BC273" i="27"/>
  <c r="BB273" i="27"/>
  <c r="BC272" i="27"/>
  <c r="BB272" i="27"/>
  <c r="BC271" i="27"/>
  <c r="BB271" i="27"/>
  <c r="BC270" i="27"/>
  <c r="BB270" i="27"/>
  <c r="BC269" i="27"/>
  <c r="BB269" i="27"/>
  <c r="BC268" i="27"/>
  <c r="BB268" i="27"/>
  <c r="BC267" i="27"/>
  <c r="BB267" i="27"/>
  <c r="BC266" i="27"/>
  <c r="BB266" i="27"/>
  <c r="BC265" i="27"/>
  <c r="BB265" i="27"/>
  <c r="BC264" i="27"/>
  <c r="BB264" i="27"/>
  <c r="BC263" i="27"/>
  <c r="BB263" i="27"/>
  <c r="BC262" i="27"/>
  <c r="BB262" i="27"/>
  <c r="BC261" i="27"/>
  <c r="BB261" i="27"/>
  <c r="BC260" i="27"/>
  <c r="BB260" i="27"/>
  <c r="BC259" i="27"/>
  <c r="BB259" i="27"/>
  <c r="BC258" i="27"/>
  <c r="BB258" i="27"/>
  <c r="BC257" i="27"/>
  <c r="BB257" i="27"/>
  <c r="BC256" i="27"/>
  <c r="BB256" i="27"/>
  <c r="BC255" i="27"/>
  <c r="BB255" i="27"/>
  <c r="BC254" i="27"/>
  <c r="BB254" i="27"/>
  <c r="BC253" i="27"/>
  <c r="BB253" i="27"/>
  <c r="BC252" i="27"/>
  <c r="BB252" i="27"/>
  <c r="BC251" i="27"/>
  <c r="BB251" i="27"/>
  <c r="BC250" i="27"/>
  <c r="BB250" i="27"/>
  <c r="BC249" i="27"/>
  <c r="BB249" i="27"/>
  <c r="BC248" i="27"/>
  <c r="BB248" i="27"/>
  <c r="BC247" i="27"/>
  <c r="BB247" i="27"/>
  <c r="BC246" i="27"/>
  <c r="BB246" i="27"/>
  <c r="BC245" i="27"/>
  <c r="BB245" i="27"/>
  <c r="BC244" i="27"/>
  <c r="BB244" i="27"/>
  <c r="BC243" i="27"/>
  <c r="BB243" i="27"/>
  <c r="BC242" i="27"/>
  <c r="BB242" i="27"/>
  <c r="BC241" i="27"/>
  <c r="BB241" i="27"/>
  <c r="BC240" i="27"/>
  <c r="BB240" i="27"/>
  <c r="BC239" i="27"/>
  <c r="BB239" i="27"/>
  <c r="BC238" i="27"/>
  <c r="BB238" i="27"/>
  <c r="BC237" i="27"/>
  <c r="BB237" i="27"/>
  <c r="BC236" i="27"/>
  <c r="BB236" i="27"/>
  <c r="BC235" i="27"/>
  <c r="BB235" i="27"/>
  <c r="BC234" i="27"/>
  <c r="BB234" i="27"/>
  <c r="BC233" i="27"/>
  <c r="BB233" i="27"/>
  <c r="BC232" i="27"/>
  <c r="BB232" i="27"/>
  <c r="BC231" i="27"/>
  <c r="BB231" i="27"/>
  <c r="BC230" i="27"/>
  <c r="BB230" i="27"/>
  <c r="BC229" i="27"/>
  <c r="BB229" i="27"/>
  <c r="BC228" i="27"/>
  <c r="BB228" i="27"/>
  <c r="BC227" i="27"/>
  <c r="BB227" i="27"/>
  <c r="BC226" i="27"/>
  <c r="BB226" i="27"/>
  <c r="BC225" i="27"/>
  <c r="BB225" i="27"/>
  <c r="BC224" i="27"/>
  <c r="BB224" i="27"/>
  <c r="BC223" i="27"/>
  <c r="BB223" i="27"/>
  <c r="BC222" i="27"/>
  <c r="BB222" i="27"/>
  <c r="BC221" i="27"/>
  <c r="BB221" i="27"/>
  <c r="BC220" i="27"/>
  <c r="BB220" i="27"/>
  <c r="BC219" i="27"/>
  <c r="BB219" i="27"/>
  <c r="BC218" i="27"/>
  <c r="BB218" i="27"/>
  <c r="BC217" i="27"/>
  <c r="BB217" i="27"/>
  <c r="BC216" i="27"/>
  <c r="BB216" i="27"/>
  <c r="BC215" i="27"/>
  <c r="BB215" i="27"/>
  <c r="BC214" i="27"/>
  <c r="BB214" i="27"/>
  <c r="BC213" i="27"/>
  <c r="BB213" i="27"/>
  <c r="BC212" i="27"/>
  <c r="BB212" i="27"/>
  <c r="BC211" i="27"/>
  <c r="BB211" i="27"/>
  <c r="BC210" i="27"/>
  <c r="BB210" i="27"/>
  <c r="BC209" i="27"/>
  <c r="BB209" i="27"/>
  <c r="BC208" i="27"/>
  <c r="BB208" i="27"/>
  <c r="BC207" i="27"/>
  <c r="BB207" i="27"/>
  <c r="BC206" i="27"/>
  <c r="BB206" i="27"/>
  <c r="BC205" i="27"/>
  <c r="BB205" i="27"/>
  <c r="BC204" i="27"/>
  <c r="BB204" i="27"/>
  <c r="BC203" i="27"/>
  <c r="BB203" i="27"/>
  <c r="BC202" i="27"/>
  <c r="BB202" i="27"/>
  <c r="BC201" i="27"/>
  <c r="BB201" i="27"/>
  <c r="BC200" i="27"/>
  <c r="BB200" i="27"/>
  <c r="BC199" i="27"/>
  <c r="BB199" i="27"/>
  <c r="BC198" i="27"/>
  <c r="BB198" i="27"/>
  <c r="BC197" i="27"/>
  <c r="BB197" i="27"/>
  <c r="BC196" i="27"/>
  <c r="BB196" i="27"/>
  <c r="BC195" i="27"/>
  <c r="BB195" i="27"/>
  <c r="BC194" i="27"/>
  <c r="BB194" i="27"/>
  <c r="BC193" i="27"/>
  <c r="BB193" i="27"/>
  <c r="BC192" i="27"/>
  <c r="BB192" i="27"/>
  <c r="BC191" i="27"/>
  <c r="BB191" i="27"/>
  <c r="BC190" i="27"/>
  <c r="BB190" i="27"/>
  <c r="BC189" i="27"/>
  <c r="BB189" i="27"/>
  <c r="BC188" i="27"/>
  <c r="BB188" i="27"/>
  <c r="BC187" i="27"/>
  <c r="BB187" i="27"/>
  <c r="BC186" i="27"/>
  <c r="BB186" i="27"/>
  <c r="BC185" i="27"/>
  <c r="BB185" i="27"/>
  <c r="BC184" i="27"/>
  <c r="BB184" i="27"/>
  <c r="BC183" i="27"/>
  <c r="BB183" i="27"/>
  <c r="BC182" i="27"/>
  <c r="BB182" i="27"/>
  <c r="BC109" i="27"/>
  <c r="BB109" i="27"/>
  <c r="BC108" i="27"/>
  <c r="BB108" i="27"/>
  <c r="BC107" i="27"/>
  <c r="BB107" i="27"/>
  <c r="BC106" i="27"/>
  <c r="BB106" i="27"/>
  <c r="BC105" i="27"/>
  <c r="BB105" i="27"/>
  <c r="BC104" i="27"/>
  <c r="BB104" i="27"/>
  <c r="BC103" i="27"/>
  <c r="BB103" i="27"/>
  <c r="BC102" i="27"/>
  <c r="BB102" i="27"/>
  <c r="BC101" i="27"/>
  <c r="BB101" i="27"/>
  <c r="BC100" i="27"/>
  <c r="BB100" i="27"/>
  <c r="BC99" i="27"/>
  <c r="BB99" i="27"/>
  <c r="BC98" i="27"/>
  <c r="BB98" i="27"/>
  <c r="BC97" i="27"/>
  <c r="BB97" i="27"/>
  <c r="BC96" i="27"/>
  <c r="BB96" i="27"/>
  <c r="BC95" i="27"/>
  <c r="BB95" i="27"/>
  <c r="BC94" i="27"/>
  <c r="BB94" i="27"/>
  <c r="BC93" i="27"/>
  <c r="BB93" i="27"/>
  <c r="BC92" i="27"/>
  <c r="BB92" i="27"/>
  <c r="BC91" i="27"/>
  <c r="BB91" i="27"/>
  <c r="BC90" i="27"/>
  <c r="BB90" i="27"/>
  <c r="BC89" i="27"/>
  <c r="BB89" i="27"/>
  <c r="BC88" i="27"/>
  <c r="BB88" i="27"/>
  <c r="BC87" i="27"/>
  <c r="BB87" i="27"/>
  <c r="BC86" i="27"/>
  <c r="BB86" i="27"/>
  <c r="BC85" i="27"/>
  <c r="BB85" i="27"/>
  <c r="BC84" i="27"/>
  <c r="BB84" i="27"/>
  <c r="BC83" i="27"/>
  <c r="BB83" i="27"/>
  <c r="BC82" i="27"/>
  <c r="BB82" i="27"/>
  <c r="BC81" i="27"/>
  <c r="BB81" i="27"/>
  <c r="BC80" i="27"/>
  <c r="BB80" i="27"/>
  <c r="BC79" i="27"/>
  <c r="BB79" i="27"/>
  <c r="BC78" i="27"/>
  <c r="BB78" i="27"/>
  <c r="BC77" i="27"/>
  <c r="BB77" i="27"/>
  <c r="BC76" i="27"/>
  <c r="BB76" i="27"/>
  <c r="BC75" i="27"/>
  <c r="BB75" i="27"/>
  <c r="BC74" i="27"/>
  <c r="BB74" i="27"/>
  <c r="BC73" i="27"/>
  <c r="BB73" i="27"/>
  <c r="BC72" i="27"/>
  <c r="BB72" i="27"/>
  <c r="BC71" i="27"/>
  <c r="BB71" i="27"/>
  <c r="BC70" i="27"/>
  <c r="BB70" i="27"/>
  <c r="BC69" i="27"/>
  <c r="BB69" i="27"/>
  <c r="BC68" i="27"/>
  <c r="BB68" i="27"/>
  <c r="BC67" i="27"/>
  <c r="BB67" i="27"/>
  <c r="BC66" i="27"/>
  <c r="BB66" i="27"/>
  <c r="BC65" i="27"/>
  <c r="BB65" i="27"/>
  <c r="BC64" i="27"/>
  <c r="BB64" i="27"/>
  <c r="BC63" i="27"/>
  <c r="BB63" i="27"/>
  <c r="BC62" i="27"/>
  <c r="BB62" i="27"/>
  <c r="BC61" i="27"/>
  <c r="BB61" i="27"/>
  <c r="BC60" i="27"/>
  <c r="BB60" i="27"/>
  <c r="BC57" i="27"/>
  <c r="BB57" i="27"/>
  <c r="BC56" i="27"/>
  <c r="BB56" i="27"/>
  <c r="BC55" i="27"/>
  <c r="BB55" i="27"/>
  <c r="BC54" i="27"/>
  <c r="BB54" i="27"/>
  <c r="BC53" i="27"/>
  <c r="BB53" i="27"/>
  <c r="BC52" i="27"/>
  <c r="BB52" i="27"/>
  <c r="BC51" i="27"/>
  <c r="BB51" i="27"/>
  <c r="BC50" i="27"/>
  <c r="BB50" i="27"/>
  <c r="BC49" i="27"/>
  <c r="BB49" i="27"/>
  <c r="BC48" i="27"/>
  <c r="BB48" i="27"/>
  <c r="BC47" i="27"/>
  <c r="BB47" i="27"/>
  <c r="BC46" i="27"/>
  <c r="BB46" i="27"/>
  <c r="BC45" i="27"/>
  <c r="BB45" i="27"/>
  <c r="BC44" i="27"/>
  <c r="BB44" i="27"/>
  <c r="BC43" i="27"/>
  <c r="BB43" i="27"/>
  <c r="BC42" i="27"/>
  <c r="BB42" i="27"/>
  <c r="BC41" i="27"/>
  <c r="BB41" i="27"/>
  <c r="BC40" i="27"/>
  <c r="BB40" i="27"/>
  <c r="BC39" i="27"/>
  <c r="BB39" i="27"/>
  <c r="BC26" i="27"/>
  <c r="BB26" i="27"/>
  <c r="BC25" i="27"/>
  <c r="BB25" i="27"/>
  <c r="BC24" i="27"/>
  <c r="BB24" i="27"/>
  <c r="BC23" i="27"/>
  <c r="BB23" i="27"/>
  <c r="BC22" i="27"/>
  <c r="BB22" i="27"/>
  <c r="BC21" i="27"/>
  <c r="BB21" i="27"/>
  <c r="BC20" i="27"/>
  <c r="BB20" i="27"/>
  <c r="BC19" i="27"/>
  <c r="BB19" i="27"/>
  <c r="BC18" i="27"/>
  <c r="BB18" i="27"/>
  <c r="BC17" i="27"/>
  <c r="BB17" i="27"/>
  <c r="BC16" i="27"/>
  <c r="BB16" i="27"/>
  <c r="BC15" i="27"/>
  <c r="BB15" i="27"/>
  <c r="BC14" i="27"/>
  <c r="BB14" i="27"/>
  <c r="BC13" i="27"/>
  <c r="BB13" i="27"/>
  <c r="BC12" i="27"/>
  <c r="BB12" i="27"/>
  <c r="BC11" i="27"/>
  <c r="BB11" i="27"/>
  <c r="BC10" i="27"/>
  <c r="BB10" i="27"/>
  <c r="BC9" i="27"/>
  <c r="BB9" i="27"/>
  <c r="BC8" i="27"/>
  <c r="BB8" i="27"/>
  <c r="BC578" i="14"/>
  <c r="BB578" i="14"/>
  <c r="BC577" i="14"/>
  <c r="BB577" i="14"/>
  <c r="BC576" i="14"/>
  <c r="BB576" i="14"/>
  <c r="BD488" i="14"/>
  <c r="BC488" i="14"/>
  <c r="BB488" i="14"/>
  <c r="BD487" i="14"/>
  <c r="BC487" i="14"/>
  <c r="BB487" i="14"/>
  <c r="BD486" i="14"/>
  <c r="BC486" i="14"/>
  <c r="BB486" i="14"/>
  <c r="BD478" i="14"/>
  <c r="BC478" i="14"/>
  <c r="BB478" i="14"/>
  <c r="BD454" i="14"/>
  <c r="BB454" i="14"/>
  <c r="BD453" i="14"/>
  <c r="BB453" i="14"/>
  <c r="BD452" i="14"/>
  <c r="BB452" i="14"/>
  <c r="BD451" i="14"/>
  <c r="BB451" i="14"/>
  <c r="BD450" i="14"/>
  <c r="BB450" i="14"/>
  <c r="BD449" i="14"/>
  <c r="BB449" i="14"/>
  <c r="BD448" i="14"/>
  <c r="BB448" i="14"/>
  <c r="BD447" i="14"/>
  <c r="BB447" i="14"/>
  <c r="BD446" i="14"/>
  <c r="BB446" i="14"/>
  <c r="BD445" i="14"/>
  <c r="BB445" i="14"/>
  <c r="BD444" i="14"/>
  <c r="BB444" i="14"/>
  <c r="BD443" i="14"/>
  <c r="BB443" i="14"/>
  <c r="BD442" i="14"/>
  <c r="BB442" i="14"/>
  <c r="BD441" i="14"/>
  <c r="BB441" i="14"/>
  <c r="BD440" i="14"/>
  <c r="BB440" i="14"/>
  <c r="BD439" i="14"/>
  <c r="BB439" i="14"/>
  <c r="BD438" i="14"/>
  <c r="BB438" i="14"/>
  <c r="BD437" i="14"/>
  <c r="BB437" i="14"/>
  <c r="BD436" i="14"/>
  <c r="BB436" i="14"/>
  <c r="BD435" i="14"/>
  <c r="BB435" i="14"/>
  <c r="BD434" i="14"/>
  <c r="BB434" i="14"/>
  <c r="BD433" i="14"/>
  <c r="BB433" i="14"/>
  <c r="BD432" i="14"/>
  <c r="BB432" i="14"/>
  <c r="BD431" i="14"/>
  <c r="BB431" i="14"/>
  <c r="BD430" i="14"/>
  <c r="BB430" i="14"/>
  <c r="BD429" i="14"/>
  <c r="BB429" i="14"/>
  <c r="BD428" i="14"/>
  <c r="BB428" i="14"/>
  <c r="BD427" i="14"/>
  <c r="BB427" i="14"/>
  <c r="BD426" i="14"/>
  <c r="BB426" i="14"/>
  <c r="BD425" i="14"/>
  <c r="BB425" i="14"/>
  <c r="BD424" i="14"/>
  <c r="BB424" i="14"/>
  <c r="BD423" i="14"/>
  <c r="BB423" i="14"/>
  <c r="BD422" i="14"/>
  <c r="BB422" i="14"/>
  <c r="BD421" i="14"/>
  <c r="BB421" i="14"/>
  <c r="BD420" i="14"/>
  <c r="BB420" i="14"/>
  <c r="BD419" i="14"/>
  <c r="BB419" i="14"/>
  <c r="BD418" i="14"/>
  <c r="BB418" i="14"/>
  <c r="BD417" i="14"/>
  <c r="BB417" i="14"/>
  <c r="BD416" i="14"/>
  <c r="BB416" i="14"/>
  <c r="BD415" i="14"/>
  <c r="BB415" i="14"/>
  <c r="BD414" i="14"/>
  <c r="BB414" i="14"/>
  <c r="BD413" i="14"/>
  <c r="BB413" i="14"/>
  <c r="BD412" i="14"/>
  <c r="BB412" i="14"/>
  <c r="BD411" i="14"/>
  <c r="BB411" i="14"/>
  <c r="BD410" i="14"/>
  <c r="BB410" i="14"/>
  <c r="BD409" i="14"/>
  <c r="BB409" i="14"/>
  <c r="BD408" i="14"/>
  <c r="BB408" i="14"/>
  <c r="BD407" i="14"/>
  <c r="BB407" i="14"/>
  <c r="BD406" i="14"/>
  <c r="BB406" i="14"/>
  <c r="BD405" i="14"/>
  <c r="BB405" i="14"/>
  <c r="BD404" i="14"/>
  <c r="BB404" i="14"/>
  <c r="BD403" i="14"/>
  <c r="BB403" i="14"/>
  <c r="BD402" i="14"/>
  <c r="BB402" i="14"/>
  <c r="BD401" i="14"/>
  <c r="BB401" i="14"/>
  <c r="BD400" i="14"/>
  <c r="BB400" i="14"/>
  <c r="BD399" i="14"/>
  <c r="BB399" i="14"/>
  <c r="BD398" i="14"/>
  <c r="BB398" i="14"/>
  <c r="BD397" i="14"/>
  <c r="BB397" i="14"/>
  <c r="BD396" i="14"/>
  <c r="BB396" i="14"/>
  <c r="BD395" i="14"/>
  <c r="BB395" i="14"/>
  <c r="BD394" i="14"/>
  <c r="BB394" i="14"/>
  <c r="BD393" i="14"/>
  <c r="BB393" i="14"/>
  <c r="BD392" i="14"/>
  <c r="BB392" i="14"/>
  <c r="BD391" i="14"/>
  <c r="BB391" i="14"/>
  <c r="BD390" i="14"/>
  <c r="BB390" i="14"/>
  <c r="BD389" i="14"/>
  <c r="BB389" i="14"/>
  <c r="BD388" i="14"/>
  <c r="BB388" i="14"/>
  <c r="BD387" i="14"/>
  <c r="BB387" i="14"/>
  <c r="BD386" i="14"/>
  <c r="BB386" i="14"/>
  <c r="BD385" i="14"/>
  <c r="BB385" i="14"/>
  <c r="BD384" i="14"/>
  <c r="BB384" i="14"/>
  <c r="BD383" i="14"/>
  <c r="BB383" i="14"/>
  <c r="BD382" i="14"/>
  <c r="BB382" i="14"/>
  <c r="BD381" i="14"/>
  <c r="BB381" i="14"/>
  <c r="BD380" i="14"/>
  <c r="BB380" i="14"/>
  <c r="BD379" i="14"/>
  <c r="BB379" i="14"/>
  <c r="BD378" i="14"/>
  <c r="BB378" i="14"/>
  <c r="BD377" i="14"/>
  <c r="BB377" i="14"/>
  <c r="BD376" i="14"/>
  <c r="BB376" i="14"/>
  <c r="BD375" i="14"/>
  <c r="BB375" i="14"/>
  <c r="BD374" i="14"/>
  <c r="BB374" i="14"/>
  <c r="BD373" i="14"/>
  <c r="BB373" i="14"/>
  <c r="BD372" i="14"/>
  <c r="BB372" i="14"/>
  <c r="BD371" i="14"/>
  <c r="BB371" i="14"/>
  <c r="BD370" i="14"/>
  <c r="BB370" i="14"/>
  <c r="BD369" i="14"/>
  <c r="BB369" i="14"/>
  <c r="BD368" i="14"/>
  <c r="BB368" i="14"/>
  <c r="BD367" i="14"/>
  <c r="BB367" i="14"/>
  <c r="BD366" i="14"/>
  <c r="BB366" i="14"/>
  <c r="BD365" i="14"/>
  <c r="BB365" i="14"/>
  <c r="BD364" i="14"/>
  <c r="BB364" i="14"/>
  <c r="BD363" i="14"/>
  <c r="BB363" i="14"/>
  <c r="BD362" i="14"/>
  <c r="BB362" i="14"/>
  <c r="BD361" i="14"/>
  <c r="BB361" i="14"/>
  <c r="BD360" i="14"/>
  <c r="BB360" i="14"/>
  <c r="BD359" i="14"/>
  <c r="BB359" i="14"/>
  <c r="BD358" i="14"/>
  <c r="BB358" i="14"/>
  <c r="BD357" i="14"/>
  <c r="BB357" i="14"/>
  <c r="BD356" i="14"/>
  <c r="BB356" i="14"/>
  <c r="BD355" i="14"/>
  <c r="BB355" i="14"/>
  <c r="BD354" i="14"/>
  <c r="BB354" i="14"/>
  <c r="BD353" i="14"/>
  <c r="BB353" i="14"/>
  <c r="BD352" i="14"/>
  <c r="BB352" i="14"/>
  <c r="BD351" i="14"/>
  <c r="BB351" i="14"/>
  <c r="BD350" i="14"/>
  <c r="BB350" i="14"/>
  <c r="BD349" i="14"/>
  <c r="BB349" i="14"/>
  <c r="BD348" i="14"/>
  <c r="BB348" i="14"/>
  <c r="BD347" i="14"/>
  <c r="BB347" i="14"/>
  <c r="BD346" i="14"/>
  <c r="BB346" i="14"/>
  <c r="BD345" i="14"/>
  <c r="BB345" i="14"/>
  <c r="BD344" i="14"/>
  <c r="BB344" i="14"/>
  <c r="BD343" i="14"/>
  <c r="BB343" i="14"/>
  <c r="BD342" i="14"/>
  <c r="BB342" i="14"/>
  <c r="BD341" i="14"/>
  <c r="BB341" i="14"/>
  <c r="BD340" i="14"/>
  <c r="BB340" i="14"/>
  <c r="BD339" i="14"/>
  <c r="BB339" i="14"/>
  <c r="BD338" i="14"/>
  <c r="BB338" i="14"/>
  <c r="BD337" i="14"/>
  <c r="BB337" i="14"/>
  <c r="BD336" i="14"/>
  <c r="BB336" i="14"/>
  <c r="BD335" i="14"/>
  <c r="BB335" i="14"/>
  <c r="BD334" i="14"/>
  <c r="BB334" i="14"/>
  <c r="BD333" i="14"/>
  <c r="BB333" i="14"/>
  <c r="BD332" i="14"/>
  <c r="BB332" i="14"/>
  <c r="BD331" i="14"/>
  <c r="BB331" i="14"/>
  <c r="BD330" i="14"/>
  <c r="BB330" i="14"/>
  <c r="BD329" i="14"/>
  <c r="BB329" i="14"/>
  <c r="BD328" i="14"/>
  <c r="BB328" i="14"/>
  <c r="BD327" i="14"/>
  <c r="BB327" i="14"/>
  <c r="BD326" i="14"/>
  <c r="BB326" i="14"/>
  <c r="BD325" i="14"/>
  <c r="BB325" i="14"/>
  <c r="BD324" i="14"/>
  <c r="BB324" i="14"/>
  <c r="BD323" i="14"/>
  <c r="BB323" i="14"/>
  <c r="BD322" i="14"/>
  <c r="BB322" i="14"/>
  <c r="BD321" i="14"/>
  <c r="BB321" i="14"/>
  <c r="BD320" i="14"/>
  <c r="BB320" i="14"/>
  <c r="BD319" i="14"/>
  <c r="BB319" i="14"/>
  <c r="BD318" i="14"/>
  <c r="BB318" i="14"/>
  <c r="BD317" i="14"/>
  <c r="BB317" i="14"/>
  <c r="BD316" i="14"/>
  <c r="BB316" i="14"/>
  <c r="BD315" i="14"/>
  <c r="BB315" i="14"/>
  <c r="BD314" i="14"/>
  <c r="BB314" i="14"/>
  <c r="BD313" i="14"/>
  <c r="BB313" i="14"/>
  <c r="BD312" i="14"/>
  <c r="BB312" i="14"/>
  <c r="BD311" i="14"/>
  <c r="BB311" i="14"/>
  <c r="BD310" i="14"/>
  <c r="BB310" i="14"/>
  <c r="BD309" i="14"/>
  <c r="BB309" i="14"/>
  <c r="BD308" i="14"/>
  <c r="BB308" i="14"/>
  <c r="BD307" i="14"/>
  <c r="BB307" i="14"/>
  <c r="BD306" i="14"/>
  <c r="BB306" i="14"/>
  <c r="BD305" i="14"/>
  <c r="BB305" i="14"/>
  <c r="BD304" i="14"/>
  <c r="BB304" i="14"/>
  <c r="BD303" i="14"/>
  <c r="BB303" i="14"/>
  <c r="BD302" i="14"/>
  <c r="BB302" i="14"/>
  <c r="BD301" i="14"/>
  <c r="BB301" i="14"/>
  <c r="BD300" i="14"/>
  <c r="BB300" i="14"/>
  <c r="BD299" i="14"/>
  <c r="BB299" i="14"/>
  <c r="BD298" i="14"/>
  <c r="BB298" i="14"/>
  <c r="BD297" i="14"/>
  <c r="BB297" i="14"/>
  <c r="BD296" i="14"/>
  <c r="BB296" i="14"/>
  <c r="BD295" i="14"/>
  <c r="BB295" i="14"/>
  <c r="BD294" i="14"/>
  <c r="BB294" i="14"/>
  <c r="BD293" i="14"/>
  <c r="BB293" i="14"/>
  <c r="BD292" i="14"/>
  <c r="BB292" i="14"/>
  <c r="BD291" i="14"/>
  <c r="BB291" i="14"/>
  <c r="BD290" i="14"/>
  <c r="BB290" i="14"/>
  <c r="BD289" i="14"/>
  <c r="BB289" i="14"/>
  <c r="BD288" i="14"/>
  <c r="BB288" i="14"/>
  <c r="BD287" i="14"/>
  <c r="BB287" i="14"/>
  <c r="BD286" i="14"/>
  <c r="BB286" i="14"/>
  <c r="BD285" i="14"/>
  <c r="BB285" i="14"/>
  <c r="BD284" i="14"/>
  <c r="BB284" i="14"/>
  <c r="BD283" i="14"/>
  <c r="BB283" i="14"/>
  <c r="BD282" i="14"/>
  <c r="BB282" i="14"/>
  <c r="BD281" i="14"/>
  <c r="BB281" i="14"/>
  <c r="BD280" i="14"/>
  <c r="BB280" i="14"/>
  <c r="BD279" i="14"/>
  <c r="BB279" i="14"/>
  <c r="BD278" i="14"/>
  <c r="BB278" i="14"/>
  <c r="BD277" i="14"/>
  <c r="BB277" i="14"/>
  <c r="BD276" i="14"/>
  <c r="BB276" i="14"/>
  <c r="BD275" i="14"/>
  <c r="BB275" i="14"/>
  <c r="BD274" i="14"/>
  <c r="BB274" i="14"/>
  <c r="BD273" i="14"/>
  <c r="BB273" i="14"/>
  <c r="BD272" i="14"/>
  <c r="BB272" i="14"/>
  <c r="BD271" i="14"/>
  <c r="BB271" i="14"/>
  <c r="BD214" i="14"/>
  <c r="BB214" i="14"/>
  <c r="BD213" i="14"/>
  <c r="BB213" i="14"/>
  <c r="BD212" i="14"/>
  <c r="BB212" i="14"/>
  <c r="BD211" i="14"/>
  <c r="BB211" i="14"/>
  <c r="BD210" i="14"/>
  <c r="BB210" i="14"/>
  <c r="BD148" i="14"/>
  <c r="BC148" i="14"/>
  <c r="BB148" i="14"/>
  <c r="BD147" i="14"/>
  <c r="BC147" i="14"/>
  <c r="BB147" i="14"/>
  <c r="BD146" i="14"/>
  <c r="BC146" i="14"/>
  <c r="BB146" i="14"/>
  <c r="BD145" i="14"/>
  <c r="BC145" i="14"/>
  <c r="BB145" i="14"/>
  <c r="BD144" i="14"/>
  <c r="BC144" i="14"/>
  <c r="BB144" i="14"/>
  <c r="BD143" i="14"/>
  <c r="BC143" i="14"/>
  <c r="BB143" i="14"/>
  <c r="BD142" i="14"/>
  <c r="BC142" i="14"/>
  <c r="BB142" i="14"/>
  <c r="BD141" i="14"/>
  <c r="BC141" i="14"/>
  <c r="BB141" i="14"/>
  <c r="BD140" i="14"/>
  <c r="BC140" i="14"/>
  <c r="BB140" i="14"/>
  <c r="BD139" i="14"/>
  <c r="BC139" i="14"/>
  <c r="BB139" i="14"/>
  <c r="BD138" i="14"/>
  <c r="BC138" i="14"/>
  <c r="BB138" i="14"/>
  <c r="BD137" i="14"/>
  <c r="BC137" i="14"/>
  <c r="BB137" i="14"/>
  <c r="BD136" i="14"/>
  <c r="BC136" i="14"/>
  <c r="BB136" i="14"/>
  <c r="BD135" i="14"/>
  <c r="BC135" i="14"/>
  <c r="BB135" i="14"/>
  <c r="BD134" i="14"/>
  <c r="BC134" i="14"/>
  <c r="BB134" i="14"/>
  <c r="BD133" i="14"/>
  <c r="BC133" i="14"/>
  <c r="BB133" i="14"/>
  <c r="BD132" i="14"/>
  <c r="BC132" i="14"/>
  <c r="BB132" i="14"/>
  <c r="BD131" i="14"/>
  <c r="BC131" i="14"/>
  <c r="BB131" i="14"/>
  <c r="BD130" i="14"/>
  <c r="BC130" i="14"/>
  <c r="BB130" i="14"/>
  <c r="BD129" i="14"/>
  <c r="BC129" i="14"/>
  <c r="BB129" i="14"/>
  <c r="BD128" i="14"/>
  <c r="BC128" i="14"/>
  <c r="BB128" i="14"/>
  <c r="BD127" i="14"/>
  <c r="BC127" i="14"/>
  <c r="BB127" i="14"/>
  <c r="BD126" i="14"/>
  <c r="BC126" i="14"/>
  <c r="BB126" i="14"/>
  <c r="BD125" i="14"/>
  <c r="BC125" i="14"/>
  <c r="BB125" i="14"/>
  <c r="BD124" i="14"/>
  <c r="BC124" i="14"/>
  <c r="BB124" i="14"/>
  <c r="BD123" i="14"/>
  <c r="BC123" i="14"/>
  <c r="BB123" i="14"/>
  <c r="BD122" i="14"/>
  <c r="BC122" i="14"/>
  <c r="BB122" i="14"/>
  <c r="BD121" i="14"/>
  <c r="BC121" i="14"/>
  <c r="BB121" i="14"/>
  <c r="BD120" i="14"/>
  <c r="BC120" i="14"/>
  <c r="BB120" i="14"/>
  <c r="BD119" i="14"/>
  <c r="BC119" i="14"/>
  <c r="BB119" i="14"/>
  <c r="BD118" i="14"/>
  <c r="BC118" i="14"/>
  <c r="BB118" i="14"/>
  <c r="BD117" i="14"/>
  <c r="BC117" i="14"/>
  <c r="BB117" i="14"/>
  <c r="BD116" i="14"/>
  <c r="BC116" i="14"/>
  <c r="BB116" i="14"/>
  <c r="BD115" i="14"/>
  <c r="BC115" i="14"/>
  <c r="BB115" i="14"/>
  <c r="BD114" i="14"/>
  <c r="BC114" i="14"/>
  <c r="BB114" i="14"/>
  <c r="BD113" i="14"/>
  <c r="BC113" i="14"/>
  <c r="BB113" i="14"/>
  <c r="BD112" i="14"/>
  <c r="BC112" i="14"/>
  <c r="BB112" i="14"/>
  <c r="BD111" i="14"/>
  <c r="BC111" i="14"/>
  <c r="BB111" i="14"/>
  <c r="BD110" i="14"/>
  <c r="BC110" i="14"/>
  <c r="BB110" i="14"/>
  <c r="BD109" i="14"/>
  <c r="BC109" i="14"/>
  <c r="BB109" i="14"/>
  <c r="BD108" i="14"/>
  <c r="BC108" i="14"/>
  <c r="BB108" i="14"/>
  <c r="BD107" i="14"/>
  <c r="BC107" i="14"/>
  <c r="BB107" i="14"/>
  <c r="BD106" i="14"/>
  <c r="BC106" i="14"/>
  <c r="BB106" i="14"/>
  <c r="BD105" i="14"/>
  <c r="BC105" i="14"/>
  <c r="BB105" i="14"/>
  <c r="BD104" i="14"/>
  <c r="BC104" i="14"/>
  <c r="BB104" i="14"/>
  <c r="BD103" i="14"/>
  <c r="BC103" i="14"/>
  <c r="BB103" i="14"/>
  <c r="BD102" i="14"/>
  <c r="BC102" i="14"/>
  <c r="BB102" i="14"/>
  <c r="BD101" i="14"/>
  <c r="BC101" i="14"/>
  <c r="BB101" i="14"/>
  <c r="BD100" i="14"/>
  <c r="BC100" i="14"/>
  <c r="BB100" i="14"/>
  <c r="BD99" i="14"/>
  <c r="BC99" i="14"/>
  <c r="BB99" i="14"/>
  <c r="BC70" i="14"/>
  <c r="BB70" i="14"/>
  <c r="BC69" i="14"/>
  <c r="BB69" i="14"/>
  <c r="BC62" i="14"/>
  <c r="BB62" i="14"/>
  <c r="BC61" i="14"/>
  <c r="BB61" i="14"/>
  <c r="BC59" i="14"/>
  <c r="BB59" i="14"/>
  <c r="BC58" i="14"/>
  <c r="BB58" i="14"/>
  <c r="D14" i="25" a="1"/>
  <c r="D7" i="25" a="1"/>
  <c r="D8" i="25" a="1"/>
  <c r="D13" i="26" a="1"/>
  <c r="D14" i="26" a="1"/>
  <c r="D9" i="25" a="1"/>
  <c r="D18" i="26" a="1"/>
  <c r="D13" i="26" l="1"/>
  <c r="D14" i="26"/>
  <c r="D18" i="26"/>
  <c r="D8" i="25"/>
  <c r="D7" i="25"/>
  <c r="D9" i="25"/>
  <c r="D14" i="25"/>
  <c r="AY139" i="15" l="1"/>
  <c r="AX139" i="15"/>
  <c r="AW139" i="15"/>
  <c r="AV139" i="15"/>
  <c r="AU139" i="15"/>
  <c r="AT139" i="15"/>
  <c r="AS139" i="15"/>
  <c r="AR139" i="15"/>
  <c r="BD652" i="27" l="1"/>
  <c r="BC652" i="27"/>
  <c r="BB652" i="27"/>
  <c r="G652" i="27"/>
  <c r="BD651" i="27"/>
  <c r="BC651" i="27"/>
  <c r="BB651" i="27"/>
  <c r="G651" i="27"/>
  <c r="BD650" i="27"/>
  <c r="BC650" i="27"/>
  <c r="BB650" i="27"/>
  <c r="G650" i="27"/>
  <c r="BD649" i="27"/>
  <c r="BC649" i="27"/>
  <c r="BB649" i="27"/>
  <c r="G649" i="27"/>
  <c r="BD648" i="27"/>
  <c r="BC648" i="27"/>
  <c r="BB648" i="27"/>
  <c r="G648" i="27"/>
  <c r="BD645" i="27"/>
  <c r="BC645" i="27"/>
  <c r="BB645" i="27"/>
  <c r="G645" i="27"/>
  <c r="BD644" i="27"/>
  <c r="BC644" i="27"/>
  <c r="BB644" i="27"/>
  <c r="G644" i="27"/>
  <c r="BD643" i="27"/>
  <c r="BC643" i="27"/>
  <c r="BB643" i="27"/>
  <c r="G643" i="27"/>
  <c r="BD642" i="27"/>
  <c r="BC642" i="27"/>
  <c r="BB642" i="27"/>
  <c r="G642" i="27"/>
  <c r="BD641" i="27"/>
  <c r="BC641" i="27"/>
  <c r="BB641" i="27"/>
  <c r="G641" i="27"/>
  <c r="BD637" i="27"/>
  <c r="BC637" i="27"/>
  <c r="BB637" i="27"/>
  <c r="G637" i="27"/>
  <c r="BD636" i="27"/>
  <c r="BC636" i="27"/>
  <c r="BB636" i="27"/>
  <c r="G636" i="27"/>
  <c r="BD635" i="27"/>
  <c r="BC635" i="27"/>
  <c r="BB635" i="27"/>
  <c r="G635" i="27"/>
  <c r="BD634" i="27"/>
  <c r="BC634" i="27"/>
  <c r="BB634" i="27"/>
  <c r="G634" i="27"/>
  <c r="BD633" i="27"/>
  <c r="BC633" i="27"/>
  <c r="BB633" i="27"/>
  <c r="G633" i="27"/>
  <c r="BD632" i="27"/>
  <c r="BC632" i="27"/>
  <c r="BB632" i="27"/>
  <c r="G632" i="27"/>
  <c r="BD631" i="27"/>
  <c r="BC631" i="27"/>
  <c r="BB631" i="27"/>
  <c r="G631" i="27"/>
  <c r="BD630" i="27"/>
  <c r="BC630" i="27"/>
  <c r="BB630" i="27"/>
  <c r="G630" i="27"/>
  <c r="BD629" i="27"/>
  <c r="BC629" i="27"/>
  <c r="BB629" i="27"/>
  <c r="G629" i="27"/>
  <c r="BD628" i="27"/>
  <c r="BC628" i="27"/>
  <c r="BB628" i="27"/>
  <c r="G628" i="27"/>
  <c r="BD626" i="27"/>
  <c r="BC626" i="27"/>
  <c r="BB626" i="27"/>
  <c r="G626" i="27"/>
  <c r="BD625" i="27"/>
  <c r="BC625" i="27"/>
  <c r="BB625" i="27"/>
  <c r="G625" i="27"/>
  <c r="BD624" i="27"/>
  <c r="BC624" i="27"/>
  <c r="BB624" i="27"/>
  <c r="G624" i="27"/>
  <c r="BD623" i="27"/>
  <c r="BC623" i="27"/>
  <c r="BB623" i="27"/>
  <c r="G623" i="27"/>
  <c r="BD622" i="27"/>
  <c r="BC622" i="27"/>
  <c r="BB622" i="27"/>
  <c r="G622" i="27"/>
  <c r="BD619" i="27"/>
  <c r="BC619" i="27"/>
  <c r="BB619" i="27"/>
  <c r="BD618" i="27"/>
  <c r="BC618" i="27"/>
  <c r="BB618" i="27"/>
  <c r="AY618" i="27"/>
  <c r="AX618" i="27"/>
  <c r="AW618" i="27"/>
  <c r="AV618" i="27"/>
  <c r="AU618" i="27"/>
  <c r="AT618" i="27"/>
  <c r="AT39" i="40" s="1" a="1"/>
  <c r="AT39" i="40" s="1"/>
  <c r="AS618" i="27"/>
  <c r="AS39" i="40" s="1" a="1"/>
  <c r="AS39" i="40" s="1"/>
  <c r="E618" i="27"/>
  <c r="G369" i="27"/>
  <c r="G368" i="27"/>
  <c r="G367" i="27"/>
  <c r="G366" i="27"/>
  <c r="BC365" i="27"/>
  <c r="BB365" i="27"/>
  <c r="G365" i="27"/>
  <c r="BC181" i="27"/>
  <c r="BB181" i="27"/>
  <c r="BC180" i="27"/>
  <c r="BB180" i="27"/>
  <c r="BC179" i="27"/>
  <c r="BB179" i="27"/>
  <c r="BC178" i="27"/>
  <c r="BB178" i="27"/>
  <c r="BC177" i="27"/>
  <c r="BB177" i="27"/>
  <c r="BC176" i="27"/>
  <c r="BB176" i="27"/>
  <c r="BC175" i="27"/>
  <c r="BB175" i="27"/>
  <c r="BC174" i="27"/>
  <c r="BB174" i="27"/>
  <c r="BC173" i="27"/>
  <c r="BB173" i="27"/>
  <c r="BC116" i="27"/>
  <c r="BB116" i="27"/>
  <c r="AY116" i="27"/>
  <c r="AX116" i="27"/>
  <c r="AW116" i="27"/>
  <c r="AV116" i="27"/>
  <c r="AU116" i="27"/>
  <c r="BC115" i="27"/>
  <c r="BB115" i="27"/>
  <c r="AY115" i="27"/>
  <c r="AX115" i="27"/>
  <c r="AW115" i="27"/>
  <c r="AV115" i="27"/>
  <c r="AU115" i="27"/>
  <c r="BC114" i="27"/>
  <c r="BB114" i="27"/>
  <c r="AY114" i="27"/>
  <c r="AX114" i="27"/>
  <c r="AW114" i="27"/>
  <c r="AV114" i="27"/>
  <c r="AU114" i="27"/>
  <c r="BC113" i="27"/>
  <c r="BB113" i="27"/>
  <c r="AY113" i="27"/>
  <c r="AX113" i="27"/>
  <c r="AW113" i="27"/>
  <c r="AV113" i="27"/>
  <c r="AU113" i="27"/>
  <c r="BC112" i="27"/>
  <c r="BB112" i="27"/>
  <c r="AY112" i="27"/>
  <c r="AX112" i="27"/>
  <c r="AW112" i="27"/>
  <c r="AV112" i="27"/>
  <c r="AU112" i="27"/>
  <c r="E112" i="27"/>
  <c r="E365" i="27" s="1"/>
  <c r="G57" i="27"/>
  <c r="G56" i="27"/>
  <c r="G55" i="27"/>
  <c r="G54" i="27"/>
  <c r="G53" i="27"/>
  <c r="G52" i="27"/>
  <c r="G51" i="27"/>
  <c r="G50" i="27"/>
  <c r="G49" i="27"/>
  <c r="G48" i="27"/>
  <c r="G47" i="27"/>
  <c r="G46" i="27"/>
  <c r="G45" i="27"/>
  <c r="G44" i="27"/>
  <c r="G43" i="27"/>
  <c r="G42" i="27"/>
  <c r="G41" i="27"/>
  <c r="G40" i="27"/>
  <c r="G39" i="27"/>
  <c r="G26" i="27"/>
  <c r="G25" i="27"/>
  <c r="G24" i="27"/>
  <c r="G23" i="27"/>
  <c r="G22" i="27"/>
  <c r="G21" i="27"/>
  <c r="G20" i="27"/>
  <c r="G19" i="27"/>
  <c r="G18" i="27"/>
  <c r="G17" i="27"/>
  <c r="G16" i="27"/>
  <c r="G15" i="27"/>
  <c r="G14" i="27"/>
  <c r="G13" i="27"/>
  <c r="G12" i="27"/>
  <c r="G11" i="27"/>
  <c r="G10" i="27"/>
  <c r="G9" i="27"/>
  <c r="G8" i="27"/>
  <c r="A1" i="27" a="1"/>
  <c r="A1" i="27" s="1"/>
  <c r="AU449" i="27" l="1"/>
  <c r="AY483" i="27"/>
  <c r="AW614" i="27"/>
  <c r="AW421" i="27"/>
  <c r="AU551" i="27"/>
  <c r="AW488" i="27"/>
  <c r="AW434" i="27"/>
  <c r="AU564" i="27"/>
  <c r="AW376" i="27"/>
  <c r="AU509" i="27"/>
  <c r="AW443" i="27"/>
  <c r="AU571" i="27"/>
  <c r="AY376" i="27"/>
  <c r="AW509" i="27"/>
  <c r="AY558" i="27"/>
  <c r="AV378" i="27"/>
  <c r="AY502" i="27"/>
  <c r="AY447" i="27"/>
  <c r="AW579" i="27"/>
  <c r="AV386" i="27"/>
  <c r="AY512" i="27"/>
  <c r="AV453" i="27"/>
  <c r="AY578" i="27"/>
  <c r="AY509" i="27"/>
  <c r="AX574" i="27"/>
  <c r="AW596" i="27"/>
  <c r="AW373" i="27"/>
  <c r="AU503" i="27"/>
  <c r="AX437" i="27"/>
  <c r="AV566" i="27"/>
  <c r="AU378" i="27"/>
  <c r="AX504" i="27"/>
  <c r="AX448" i="27"/>
  <c r="AV579" i="27"/>
  <c r="AX394" i="27"/>
  <c r="AV524" i="27"/>
  <c r="AX456" i="27"/>
  <c r="AV587" i="27"/>
  <c r="AU396" i="27"/>
  <c r="AX523" i="27"/>
  <c r="AY549" i="27"/>
  <c r="AX371" i="27"/>
  <c r="AY586" i="27"/>
  <c r="AX411" i="27"/>
  <c r="AY441" i="27"/>
  <c r="AW574" i="27"/>
  <c r="AW381" i="27"/>
  <c r="AU511" i="27"/>
  <c r="AU448" i="27"/>
  <c r="AY481" i="27"/>
  <c r="AW612" i="27"/>
  <c r="AW424" i="27"/>
  <c r="AU554" i="27"/>
  <c r="AW486" i="27"/>
  <c r="AW432" i="27"/>
  <c r="AU561" i="27"/>
  <c r="AW379" i="27"/>
  <c r="AU508" i="27"/>
  <c r="AW442" i="27"/>
  <c r="AU574" i="27"/>
  <c r="AY379" i="27"/>
  <c r="AW507" i="27"/>
  <c r="AY556" i="27"/>
  <c r="AV379" i="27"/>
  <c r="AY503" i="27"/>
  <c r="AY446" i="27"/>
  <c r="AW577" i="27"/>
  <c r="AV389" i="27"/>
  <c r="AY513" i="27"/>
  <c r="AV454" i="27"/>
  <c r="AY576" i="27"/>
  <c r="AY507" i="27"/>
  <c r="AX572" i="27"/>
  <c r="AW599" i="27"/>
  <c r="AW374" i="27"/>
  <c r="AU501" i="27"/>
  <c r="AX438" i="27"/>
  <c r="AV569" i="27"/>
  <c r="AU379" i="27"/>
  <c r="AX502" i="27"/>
  <c r="AX446" i="27"/>
  <c r="AV577" i="27"/>
  <c r="AX392" i="27"/>
  <c r="AV522" i="27"/>
  <c r="AX459" i="27"/>
  <c r="AV588" i="27"/>
  <c r="AU399" i="27"/>
  <c r="AX524" i="27"/>
  <c r="AY547" i="27"/>
  <c r="AX374" i="27"/>
  <c r="AY589" i="27"/>
  <c r="AX414" i="27"/>
  <c r="AY444" i="27"/>
  <c r="AW572" i="27"/>
  <c r="AW384" i="27"/>
  <c r="AU514" i="27"/>
  <c r="AU447" i="27"/>
  <c r="AY484" i="27"/>
  <c r="AW613" i="27"/>
  <c r="AW422" i="27"/>
  <c r="AU552" i="27"/>
  <c r="AW489" i="27"/>
  <c r="AW433" i="27"/>
  <c r="AU562" i="27"/>
  <c r="AW377" i="27"/>
  <c r="AU507" i="27"/>
  <c r="AW441" i="27"/>
  <c r="AU572" i="27"/>
  <c r="AY377" i="27"/>
  <c r="AW506" i="27"/>
  <c r="AY559" i="27"/>
  <c r="AV376" i="27"/>
  <c r="AY504" i="27"/>
  <c r="AY448" i="27"/>
  <c r="AW578" i="27"/>
  <c r="AV387" i="27"/>
  <c r="AY511" i="27"/>
  <c r="AV451" i="27"/>
  <c r="AY579" i="27"/>
  <c r="AY508" i="27"/>
  <c r="AX573" i="27"/>
  <c r="AW597" i="27"/>
  <c r="AW371" i="27"/>
  <c r="AU504" i="27"/>
  <c r="AX436" i="27"/>
  <c r="AV567" i="27"/>
  <c r="AU376" i="27"/>
  <c r="AX501" i="27"/>
  <c r="AX449" i="27"/>
  <c r="AV578" i="27"/>
  <c r="AX393" i="27"/>
  <c r="AV523" i="27"/>
  <c r="AX457" i="27"/>
  <c r="AV586" i="27"/>
  <c r="AU397" i="27"/>
  <c r="AX521" i="27"/>
  <c r="AY548" i="27"/>
  <c r="AX372" i="27"/>
  <c r="AY587" i="27"/>
  <c r="AX412" i="27"/>
  <c r="AY443" i="27"/>
  <c r="AW573" i="27"/>
  <c r="AW382" i="27"/>
  <c r="AU512" i="27"/>
  <c r="AV581" i="27"/>
  <c r="AY466" i="27"/>
  <c r="AU422" i="27"/>
  <c r="AX546" i="27"/>
  <c r="AV489" i="27"/>
  <c r="AY614" i="27"/>
  <c r="AX423" i="27"/>
  <c r="AV553" i="27"/>
  <c r="AV497" i="27"/>
  <c r="AV444" i="27"/>
  <c r="AY566" i="27"/>
  <c r="AX378" i="27"/>
  <c r="AV508" i="27"/>
  <c r="AX442" i="27"/>
  <c r="AV573" i="27"/>
  <c r="AU497" i="27"/>
  <c r="AU443" i="27"/>
  <c r="AX566" i="27"/>
  <c r="AU388" i="27"/>
  <c r="AX511" i="27"/>
  <c r="AU454" i="27"/>
  <c r="AX579" i="27"/>
  <c r="AW388" i="27"/>
  <c r="AU518" i="27"/>
  <c r="AX533" i="27"/>
  <c r="AU486" i="27"/>
  <c r="AU526" i="27"/>
  <c r="AV436" i="27"/>
  <c r="AY564" i="27"/>
  <c r="AY373" i="27"/>
  <c r="AW503" i="27"/>
  <c r="AY437" i="27"/>
  <c r="AW568" i="27"/>
  <c r="AY381" i="27"/>
  <c r="AW511" i="27"/>
  <c r="AW456" i="27"/>
  <c r="AU586" i="27"/>
  <c r="AY394" i="27"/>
  <c r="AW524" i="27"/>
  <c r="AY458" i="27"/>
  <c r="AW587" i="27"/>
  <c r="AU382" i="27"/>
  <c r="AX506" i="27"/>
  <c r="AV449" i="27"/>
  <c r="AY574" i="27"/>
  <c r="AV584" i="27"/>
  <c r="AY469" i="27"/>
  <c r="AU421" i="27"/>
  <c r="AX549" i="27"/>
  <c r="AV488" i="27"/>
  <c r="AY612" i="27"/>
  <c r="AX421" i="27"/>
  <c r="AV551" i="27"/>
  <c r="AV498" i="27"/>
  <c r="AV441" i="27"/>
  <c r="AY569" i="27"/>
  <c r="AX376" i="27"/>
  <c r="AV506" i="27"/>
  <c r="AX444" i="27"/>
  <c r="AV571" i="27"/>
  <c r="AU498" i="27"/>
  <c r="AV582" i="27"/>
  <c r="AY467" i="27"/>
  <c r="AU423" i="27"/>
  <c r="AX547" i="27"/>
  <c r="AV486" i="27"/>
  <c r="AY613" i="27"/>
  <c r="AX424" i="27"/>
  <c r="AV554" i="27"/>
  <c r="AV496" i="27"/>
  <c r="AV442" i="27"/>
  <c r="AY567" i="27"/>
  <c r="AX379" i="27"/>
  <c r="AV509" i="27"/>
  <c r="AX441" i="27"/>
  <c r="AV574" i="27"/>
  <c r="AU499" i="27"/>
  <c r="AV583" i="27"/>
  <c r="AY468" i="27"/>
  <c r="AU424" i="27"/>
  <c r="AX548" i="27"/>
  <c r="AV487" i="27"/>
  <c r="AY611" i="27"/>
  <c r="AX422" i="27"/>
  <c r="AV552" i="27"/>
  <c r="AV499" i="27"/>
  <c r="AV443" i="27"/>
  <c r="AY568" i="27"/>
  <c r="AX377" i="27"/>
  <c r="AV507" i="27"/>
  <c r="AX443" i="27"/>
  <c r="AV572" i="27"/>
  <c r="AU496" i="27"/>
  <c r="AU442" i="27"/>
  <c r="AX568" i="27"/>
  <c r="AU387" i="27"/>
  <c r="AX513" i="27"/>
  <c r="AU451" i="27"/>
  <c r="AX576" i="27"/>
  <c r="AW387" i="27"/>
  <c r="AU517" i="27"/>
  <c r="AX532" i="27"/>
  <c r="AU488" i="27"/>
  <c r="AU528" i="27"/>
  <c r="AV438" i="27"/>
  <c r="AY561" i="27"/>
  <c r="AY372" i="27"/>
  <c r="AW502" i="27"/>
  <c r="AY436" i="27"/>
  <c r="AW567" i="27"/>
  <c r="AY383" i="27"/>
  <c r="AW513" i="27"/>
  <c r="AW457" i="27"/>
  <c r="AU588" i="27"/>
  <c r="AY393" i="27"/>
  <c r="AW521" i="27"/>
  <c r="AY456" i="27"/>
  <c r="AW589" i="27"/>
  <c r="AU381" i="27"/>
  <c r="AX508" i="27"/>
  <c r="AV446" i="27"/>
  <c r="AY571" i="27"/>
  <c r="AU446" i="27"/>
  <c r="AY482" i="27"/>
  <c r="AW611" i="27"/>
  <c r="AW423" i="27"/>
  <c r="AU553" i="27"/>
  <c r="AW487" i="27"/>
  <c r="AW431" i="27"/>
  <c r="AU563" i="27"/>
  <c r="AW378" i="27"/>
  <c r="AU506" i="27"/>
  <c r="AW444" i="27"/>
  <c r="AU573" i="27"/>
  <c r="AY378" i="27"/>
  <c r="AW508" i="27"/>
  <c r="AY557" i="27"/>
  <c r="AV377" i="27"/>
  <c r="AY501" i="27"/>
  <c r="AY449" i="27"/>
  <c r="AW576" i="27"/>
  <c r="AV388" i="27"/>
  <c r="AY514" i="27"/>
  <c r="AV452" i="27"/>
  <c r="AY577" i="27"/>
  <c r="AY506" i="27"/>
  <c r="AX571" i="27"/>
  <c r="AW598" i="27"/>
  <c r="AW372" i="27"/>
  <c r="AU502" i="27"/>
  <c r="AX439" i="27"/>
  <c r="AV568" i="27"/>
  <c r="AU377" i="27"/>
  <c r="AX503" i="27"/>
  <c r="AX447" i="27"/>
  <c r="AV576" i="27"/>
  <c r="AX391" i="27"/>
  <c r="AV521" i="27"/>
  <c r="AX458" i="27"/>
  <c r="AV589" i="27"/>
  <c r="AU398" i="27"/>
  <c r="AX522" i="27"/>
  <c r="AY546" i="27"/>
  <c r="AX373" i="27"/>
  <c r="AY588" i="27"/>
  <c r="AX413" i="27"/>
  <c r="AY442" i="27"/>
  <c r="AW571" i="27"/>
  <c r="AW383" i="27"/>
  <c r="AU513" i="27"/>
  <c r="AW389" i="27"/>
  <c r="AX534" i="27"/>
  <c r="AY374" i="27"/>
  <c r="AY439" i="27"/>
  <c r="AW512" i="27"/>
  <c r="AU587" i="27"/>
  <c r="AW447" i="27"/>
  <c r="AU578" i="27"/>
  <c r="AW391" i="27"/>
  <c r="AU521" i="27"/>
  <c r="AU466" i="27"/>
  <c r="AX593" i="27"/>
  <c r="AW404" i="27"/>
  <c r="AU534" i="27"/>
  <c r="AW468" i="27"/>
  <c r="AU597" i="27"/>
  <c r="AU406" i="27"/>
  <c r="AX426" i="27"/>
  <c r="AV556" i="27"/>
  <c r="AU433" i="27"/>
  <c r="AU386" i="27"/>
  <c r="AU453" i="27"/>
  <c r="AU516" i="27"/>
  <c r="AV439" i="27"/>
  <c r="AW501" i="27"/>
  <c r="AW566" i="27"/>
  <c r="AU383" i="27"/>
  <c r="AV448" i="27"/>
  <c r="AW448" i="27"/>
  <c r="AU576" i="27"/>
  <c r="AW394" i="27"/>
  <c r="AU524" i="27"/>
  <c r="AU469" i="27"/>
  <c r="AX591" i="27"/>
  <c r="AW402" i="27"/>
  <c r="AU532" i="27"/>
  <c r="AW469" i="27"/>
  <c r="AU598" i="27"/>
  <c r="AU389" i="27"/>
  <c r="AU452" i="27"/>
  <c r="AU519" i="27"/>
  <c r="AV437" i="27"/>
  <c r="AW504" i="27"/>
  <c r="AW569" i="27"/>
  <c r="AU384" i="27"/>
  <c r="AV447" i="27"/>
  <c r="AW446" i="27"/>
  <c r="AU579" i="27"/>
  <c r="AW392" i="27"/>
  <c r="AU522" i="27"/>
  <c r="AU468" i="27"/>
  <c r="AX594" i="27"/>
  <c r="AW401" i="27"/>
  <c r="AU533" i="27"/>
  <c r="AU441" i="27"/>
  <c r="AX514" i="27"/>
  <c r="AX577" i="27"/>
  <c r="AU489" i="27"/>
  <c r="AY562" i="27"/>
  <c r="AY392" i="27"/>
  <c r="AY459" i="27"/>
  <c r="AX509" i="27"/>
  <c r="AY572" i="27"/>
  <c r="AW449" i="27"/>
  <c r="AU577" i="27"/>
  <c r="AW393" i="27"/>
  <c r="AU523" i="27"/>
  <c r="AU467" i="27"/>
  <c r="AX592" i="27"/>
  <c r="AW403" i="27"/>
  <c r="AU531" i="27"/>
  <c r="AW466" i="27"/>
  <c r="AU599" i="27"/>
  <c r="AU408" i="27"/>
  <c r="AX428" i="27"/>
  <c r="AV558" i="27"/>
  <c r="AU432" i="27"/>
  <c r="AU444" i="27"/>
  <c r="AX512" i="27"/>
  <c r="AX578" i="27"/>
  <c r="AU487" i="27"/>
  <c r="AY563" i="27"/>
  <c r="AY391" i="27"/>
  <c r="AY457" i="27"/>
  <c r="AX507" i="27"/>
  <c r="AY573" i="27"/>
  <c r="AX383" i="27"/>
  <c r="AV513" i="27"/>
  <c r="AV457" i="27"/>
  <c r="AY582" i="27"/>
  <c r="AV401" i="27"/>
  <c r="AY528" i="27"/>
  <c r="AV468" i="27"/>
  <c r="AY593" i="27"/>
  <c r="AX402" i="27"/>
  <c r="AV532" i="27"/>
  <c r="AW396" i="27"/>
  <c r="AW492" i="27"/>
  <c r="AY493" i="27"/>
  <c r="AV433" i="27"/>
  <c r="AV423" i="27"/>
  <c r="AX386" i="27"/>
  <c r="AV516" i="27"/>
  <c r="AY453" i="27"/>
  <c r="AW584" i="27"/>
  <c r="AV393" i="27"/>
  <c r="AY517" i="27"/>
  <c r="AY461" i="27"/>
  <c r="AW592" i="27"/>
  <c r="AY408" i="27"/>
  <c r="AW538" i="27"/>
  <c r="AY474" i="27"/>
  <c r="AW603" i="27"/>
  <c r="AV412" i="27"/>
  <c r="AY538" i="27"/>
  <c r="AX611" i="27"/>
  <c r="AW516" i="27"/>
  <c r="AV396" i="27"/>
  <c r="AY522" i="27"/>
  <c r="AW463" i="27"/>
  <c r="AU594" i="27"/>
  <c r="AY397" i="27"/>
  <c r="AW527" i="27"/>
  <c r="AW471" i="27"/>
  <c r="AU602" i="27"/>
  <c r="AX569" i="27"/>
  <c r="AU529" i="27"/>
  <c r="AY384" i="27"/>
  <c r="AW459" i="27"/>
  <c r="AW522" i="27"/>
  <c r="AW588" i="27"/>
  <c r="AX381" i="27"/>
  <c r="AV511" i="27"/>
  <c r="AV458" i="27"/>
  <c r="AY583" i="27"/>
  <c r="AV404" i="27"/>
  <c r="AY526" i="27"/>
  <c r="AV466" i="27"/>
  <c r="AY591" i="27"/>
  <c r="AX403" i="27"/>
  <c r="AV533" i="27"/>
  <c r="AX567" i="27"/>
  <c r="AU527" i="27"/>
  <c r="AY382" i="27"/>
  <c r="AW458" i="27"/>
  <c r="AW523" i="27"/>
  <c r="AW586" i="27"/>
  <c r="AX384" i="27"/>
  <c r="AV514" i="27"/>
  <c r="AV456" i="27"/>
  <c r="AY581" i="27"/>
  <c r="AV402" i="27"/>
  <c r="AY529" i="27"/>
  <c r="AV469" i="27"/>
  <c r="AY594" i="27"/>
  <c r="AX401" i="27"/>
  <c r="AW386" i="27"/>
  <c r="AX531" i="27"/>
  <c r="AY371" i="27"/>
  <c r="AY438" i="27"/>
  <c r="AW514" i="27"/>
  <c r="AU589" i="27"/>
  <c r="AX382" i="27"/>
  <c r="AV512" i="27"/>
  <c r="AV459" i="27"/>
  <c r="AY584" i="27"/>
  <c r="AV403" i="27"/>
  <c r="AY527" i="27"/>
  <c r="AV467" i="27"/>
  <c r="AY592" i="27"/>
  <c r="AX404" i="27"/>
  <c r="AV534" i="27"/>
  <c r="AW398" i="27"/>
  <c r="AW494" i="27"/>
  <c r="AY492" i="27"/>
  <c r="AV432" i="27"/>
  <c r="AV422" i="27"/>
  <c r="AX388" i="27"/>
  <c r="AV518" i="27"/>
  <c r="AY452" i="27"/>
  <c r="AW581" i="27"/>
  <c r="AV392" i="27"/>
  <c r="AY516" i="27"/>
  <c r="AY463" i="27"/>
  <c r="AW594" i="27"/>
  <c r="AY407" i="27"/>
  <c r="AW537" i="27"/>
  <c r="AY471" i="27"/>
  <c r="AW602" i="27"/>
  <c r="AV411" i="27"/>
  <c r="AY537" i="27"/>
  <c r="AX613" i="27"/>
  <c r="AW518" i="27"/>
  <c r="AV398" i="27"/>
  <c r="AY524" i="27"/>
  <c r="AW462" i="27"/>
  <c r="AU591" i="27"/>
  <c r="AY399" i="27"/>
  <c r="AW529" i="27"/>
  <c r="AW474" i="27"/>
  <c r="AU604" i="27"/>
  <c r="AX429" i="27"/>
  <c r="AV421" i="27"/>
  <c r="AW478" i="27"/>
  <c r="AV517" i="27"/>
  <c r="AU392" i="27"/>
  <c r="AW583" i="27"/>
  <c r="AU459" i="27"/>
  <c r="AU404" i="27"/>
  <c r="AX529" i="27"/>
  <c r="AX474" i="27"/>
  <c r="AV602" i="27"/>
  <c r="AX536" i="27"/>
  <c r="AV414" i="27"/>
  <c r="AX601" i="27"/>
  <c r="AU566" i="27"/>
  <c r="AV397" i="27"/>
  <c r="AX588" i="27"/>
  <c r="AW464" i="27"/>
  <c r="AW526" i="27"/>
  <c r="AX406" i="27"/>
  <c r="AU601" i="27"/>
  <c r="AV484" i="27"/>
  <c r="AY609" i="27"/>
  <c r="AX416" i="27"/>
  <c r="AV546" i="27"/>
  <c r="AX483" i="27"/>
  <c r="AV611" i="27"/>
  <c r="AX492" i="27"/>
  <c r="AU607" i="27"/>
  <c r="AX468" i="27"/>
  <c r="AV599" i="27"/>
  <c r="AU472" i="27"/>
  <c r="AX597" i="27"/>
  <c r="AW406" i="27"/>
  <c r="AU536" i="27"/>
  <c r="AU483" i="27"/>
  <c r="AX608" i="27"/>
  <c r="AU427" i="27"/>
  <c r="AX553" i="27"/>
  <c r="AU492" i="27"/>
  <c r="AW429" i="27"/>
  <c r="AU557" i="27"/>
  <c r="AV502" i="27"/>
  <c r="AY388" i="27"/>
  <c r="AV462" i="27"/>
  <c r="AW414" i="27"/>
  <c r="AU544" i="27"/>
  <c r="AX427" i="27"/>
  <c r="AW436" i="27"/>
  <c r="AX389" i="27"/>
  <c r="AU581" i="27"/>
  <c r="AY451" i="27"/>
  <c r="AY518" i="27"/>
  <c r="AU402" i="27"/>
  <c r="AW593" i="27"/>
  <c r="AX472" i="27"/>
  <c r="AU414" i="27"/>
  <c r="AX539" i="27"/>
  <c r="AU478" i="27"/>
  <c r="AX604" i="27"/>
  <c r="AY426" i="27"/>
  <c r="AU569" i="27"/>
  <c r="AW519" i="27"/>
  <c r="AU462" i="27"/>
  <c r="AX586" i="27"/>
  <c r="AV529" i="27"/>
  <c r="AY398" i="27"/>
  <c r="AV592" i="27"/>
  <c r="AW472" i="27"/>
  <c r="AV482" i="27"/>
  <c r="AY607" i="27"/>
  <c r="AX419" i="27"/>
  <c r="AV549" i="27"/>
  <c r="AX481" i="27"/>
  <c r="AV614" i="27"/>
  <c r="AY402" i="27"/>
  <c r="AW532" i="27"/>
  <c r="AV409" i="27"/>
  <c r="AY533" i="27"/>
  <c r="AV473" i="27"/>
  <c r="AY598" i="27"/>
  <c r="AV417" i="27"/>
  <c r="AY541" i="27"/>
  <c r="AY486" i="27"/>
  <c r="AW467" i="27"/>
  <c r="AW399" i="27"/>
  <c r="AW493" i="27"/>
  <c r="AV431" i="27"/>
  <c r="AW439" i="27"/>
  <c r="AX387" i="27"/>
  <c r="AU584" i="27"/>
  <c r="AY454" i="27"/>
  <c r="AY519" i="27"/>
  <c r="AU403" i="27"/>
  <c r="AW591" i="27"/>
  <c r="AX473" i="27"/>
  <c r="AU413" i="27"/>
  <c r="AX537" i="27"/>
  <c r="AU479" i="27"/>
  <c r="AX602" i="27"/>
  <c r="AY429" i="27"/>
  <c r="AU567" i="27"/>
  <c r="AW517" i="27"/>
  <c r="AU463" i="27"/>
  <c r="AX589" i="27"/>
  <c r="AV527" i="27"/>
  <c r="AY396" i="27"/>
  <c r="AV593" i="27"/>
  <c r="AW473" i="27"/>
  <c r="AV483" i="27"/>
  <c r="AY608" i="27"/>
  <c r="AX417" i="27"/>
  <c r="AV547" i="27"/>
  <c r="AX484" i="27"/>
  <c r="AV612" i="27"/>
  <c r="AY403" i="27"/>
  <c r="AW533" i="27"/>
  <c r="AV407" i="27"/>
  <c r="AY531" i="27"/>
  <c r="AV474" i="27"/>
  <c r="AY596" i="27"/>
  <c r="AV418" i="27"/>
  <c r="AY544" i="27"/>
  <c r="AY489" i="27"/>
  <c r="AV426" i="27"/>
  <c r="AY552" i="27"/>
  <c r="AV493" i="27"/>
  <c r="AV531" i="27"/>
  <c r="AW397" i="27"/>
  <c r="AW491" i="27"/>
  <c r="AV434" i="27"/>
  <c r="AW437" i="27"/>
  <c r="AW452" i="27"/>
  <c r="AU582" i="27"/>
  <c r="AX519" i="27"/>
  <c r="AV391" i="27"/>
  <c r="AX582" i="27"/>
  <c r="AY462" i="27"/>
  <c r="AW536" i="27"/>
  <c r="AU412" i="27"/>
  <c r="AW601" i="27"/>
  <c r="AU477" i="27"/>
  <c r="AY427" i="27"/>
  <c r="AV543" i="27"/>
  <c r="AU461" i="27"/>
  <c r="AX399" i="27"/>
  <c r="AV528" i="27"/>
  <c r="AX463" i="27"/>
  <c r="AV591" i="27"/>
  <c r="AV537" i="27"/>
  <c r="AW419" i="27"/>
  <c r="AU548" i="27"/>
  <c r="AW484" i="27"/>
  <c r="AU613" i="27"/>
  <c r="AY418" i="27"/>
  <c r="AW548" i="27"/>
  <c r="AY404" i="27"/>
  <c r="AW531" i="27"/>
  <c r="AV408" i="27"/>
  <c r="AY534" i="27"/>
  <c r="AU596" i="27"/>
  <c r="AU409" i="27"/>
  <c r="AV559" i="27"/>
  <c r="AU431" i="27"/>
  <c r="AW438" i="27"/>
  <c r="AW453" i="27"/>
  <c r="AU583" i="27"/>
  <c r="AX517" i="27"/>
  <c r="AV394" i="27"/>
  <c r="AX583" i="27"/>
  <c r="AY464" i="27"/>
  <c r="AW539" i="27"/>
  <c r="AU411" i="27"/>
  <c r="AW604" i="27"/>
  <c r="AU476" i="27"/>
  <c r="AY428" i="27"/>
  <c r="AV541" i="27"/>
  <c r="AU464" i="27"/>
  <c r="AX397" i="27"/>
  <c r="AV526" i="27"/>
  <c r="AX464" i="27"/>
  <c r="AV594" i="27"/>
  <c r="AV538" i="27"/>
  <c r="AW418" i="27"/>
  <c r="AU546" i="27"/>
  <c r="AW483" i="27"/>
  <c r="AU611" i="27"/>
  <c r="AY416" i="27"/>
  <c r="AW546" i="27"/>
  <c r="AU407" i="27"/>
  <c r="AV557" i="27"/>
  <c r="AU434" i="27"/>
  <c r="AW476" i="27"/>
  <c r="AW451" i="27"/>
  <c r="AU393" i="27"/>
  <c r="AX518" i="27"/>
  <c r="AU457" i="27"/>
  <c r="AX581" i="27"/>
  <c r="AX527" i="27"/>
  <c r="AY406" i="27"/>
  <c r="AV603" i="27"/>
  <c r="AY473" i="27"/>
  <c r="AY536" i="27"/>
  <c r="AX614" i="27"/>
  <c r="AV544" i="27"/>
  <c r="AY523" i="27"/>
  <c r="AX396" i="27"/>
  <c r="AU592" i="27"/>
  <c r="AX462" i="27"/>
  <c r="AX407" i="27"/>
  <c r="AV536" i="27"/>
  <c r="AW416" i="27"/>
  <c r="AU549" i="27"/>
  <c r="AW482" i="27"/>
  <c r="AU614" i="27"/>
  <c r="AY419" i="27"/>
  <c r="AW549" i="27"/>
  <c r="AX491" i="27"/>
  <c r="AU608" i="27"/>
  <c r="AX466" i="27"/>
  <c r="AV597" i="27"/>
  <c r="AU473" i="27"/>
  <c r="AX598" i="27"/>
  <c r="AW407" i="27"/>
  <c r="AU537" i="27"/>
  <c r="AU481" i="27"/>
  <c r="AX606" i="27"/>
  <c r="AU428" i="27"/>
  <c r="AX551" i="27"/>
  <c r="AY491" i="27"/>
  <c r="AW479" i="27"/>
  <c r="AW454" i="27"/>
  <c r="AU391" i="27"/>
  <c r="AX516" i="27"/>
  <c r="AU458" i="27"/>
  <c r="AX584" i="27"/>
  <c r="AX528" i="27"/>
  <c r="AY409" i="27"/>
  <c r="AV601" i="27"/>
  <c r="AY472" i="27"/>
  <c r="AY539" i="27"/>
  <c r="AX612" i="27"/>
  <c r="AV542" i="27"/>
  <c r="AY521" i="27"/>
  <c r="AX398" i="27"/>
  <c r="AU593" i="27"/>
  <c r="AX461" i="27"/>
  <c r="AX408" i="27"/>
  <c r="AV539" i="27"/>
  <c r="AW417" i="27"/>
  <c r="AU547" i="27"/>
  <c r="AW481" i="27"/>
  <c r="AU612" i="27"/>
  <c r="AY417" i="27"/>
  <c r="AW547" i="27"/>
  <c r="AX494" i="27"/>
  <c r="AU606" i="27"/>
  <c r="AX467" i="27"/>
  <c r="AV598" i="27"/>
  <c r="AU471" i="27"/>
  <c r="AX596" i="27"/>
  <c r="AW408" i="27"/>
  <c r="AU538" i="27"/>
  <c r="AU482" i="27"/>
  <c r="AX609" i="27"/>
  <c r="AU426" i="27"/>
  <c r="AX554" i="27"/>
  <c r="AU493" i="27"/>
  <c r="AW427" i="27"/>
  <c r="AU556" i="27"/>
  <c r="AY494" i="27"/>
  <c r="AV424" i="27"/>
  <c r="AW477" i="27"/>
  <c r="AV519" i="27"/>
  <c r="AU394" i="27"/>
  <c r="AW582" i="27"/>
  <c r="AU456" i="27"/>
  <c r="AU401" i="27"/>
  <c r="AX526" i="27"/>
  <c r="AX471" i="27"/>
  <c r="AV604" i="27"/>
  <c r="AX538" i="27"/>
  <c r="AV413" i="27"/>
  <c r="AX603" i="27"/>
  <c r="AU568" i="27"/>
  <c r="AV399" i="27"/>
  <c r="AX587" i="27"/>
  <c r="AW461" i="27"/>
  <c r="AW528" i="27"/>
  <c r="AX409" i="27"/>
  <c r="AU603" i="27"/>
  <c r="AV481" i="27"/>
  <c r="AY606" i="27"/>
  <c r="AX418" i="27"/>
  <c r="AV548" i="27"/>
  <c r="AX482" i="27"/>
  <c r="AV613" i="27"/>
  <c r="AX493" i="27"/>
  <c r="AU609" i="27"/>
  <c r="AX469" i="27"/>
  <c r="AV596" i="27"/>
  <c r="AU474" i="27"/>
  <c r="AX599" i="27"/>
  <c r="AW409" i="27"/>
  <c r="AU539" i="27"/>
  <c r="AU484" i="27"/>
  <c r="AX607" i="27"/>
  <c r="AU429" i="27"/>
  <c r="AX552" i="27"/>
  <c r="AU491" i="27"/>
  <c r="AW426" i="27"/>
  <c r="AU559" i="27"/>
  <c r="AV503" i="27"/>
  <c r="AY387" i="27"/>
  <c r="AV463" i="27"/>
  <c r="AW413" i="27"/>
  <c r="AU541" i="27"/>
  <c r="AX477" i="27"/>
  <c r="AV609" i="27"/>
  <c r="AU416" i="27"/>
  <c r="AX544" i="27"/>
  <c r="AX486" i="27"/>
  <c r="AX432" i="27"/>
  <c r="AV564" i="27"/>
  <c r="AU371" i="27"/>
  <c r="AX499" i="27"/>
  <c r="AU436" i="27"/>
  <c r="AX562" i="27"/>
  <c r="AW534" i="27"/>
  <c r="AV471" i="27"/>
  <c r="AY543" i="27"/>
  <c r="AY553" i="27"/>
  <c r="AW556" i="27"/>
  <c r="AV382" i="27"/>
  <c r="AV461" i="27"/>
  <c r="AV476" i="27"/>
  <c r="AY602" i="27"/>
  <c r="AX478" i="27"/>
  <c r="AV607" i="27"/>
  <c r="AY478" i="27"/>
  <c r="AW609" i="27"/>
  <c r="AX487" i="27"/>
  <c r="AW496" i="27"/>
  <c r="AY431" i="27"/>
  <c r="AU439" i="27"/>
  <c r="AY599" i="27"/>
  <c r="AY551" i="27"/>
  <c r="AW559" i="27"/>
  <c r="AV384" i="27"/>
  <c r="AV464" i="27"/>
  <c r="AV477" i="27"/>
  <c r="AY603" i="27"/>
  <c r="AX476" i="27"/>
  <c r="AY476" i="27"/>
  <c r="AW607" i="27"/>
  <c r="AX488" i="27"/>
  <c r="AW499" i="27"/>
  <c r="AX498" i="27"/>
  <c r="AY498" i="27"/>
  <c r="AV406" i="27"/>
  <c r="AY597" i="27"/>
  <c r="AW428" i="27"/>
  <c r="AX559" i="27"/>
  <c r="AW557" i="27"/>
  <c r="AY386" i="27"/>
  <c r="AV478" i="27"/>
  <c r="AW543" i="27"/>
  <c r="AY479" i="27"/>
  <c r="AX489" i="27"/>
  <c r="AW498" i="27"/>
  <c r="AU374" i="27"/>
  <c r="AX496" i="27"/>
  <c r="AV372" i="27"/>
  <c r="AY499" i="27"/>
  <c r="AY532" i="27"/>
  <c r="AV428" i="27"/>
  <c r="AV492" i="27"/>
  <c r="AX557" i="27"/>
  <c r="AW558" i="27"/>
  <c r="AY389" i="27"/>
  <c r="AV479" i="27"/>
  <c r="AY413" i="27"/>
  <c r="AW541" i="27"/>
  <c r="AX543" i="27"/>
  <c r="AW551" i="27"/>
  <c r="AW497" i="27"/>
  <c r="AU372" i="27"/>
  <c r="AX497" i="27"/>
  <c r="AV373" i="27"/>
  <c r="AY497" i="27"/>
  <c r="AV429" i="27"/>
  <c r="AV494" i="27"/>
  <c r="AX558" i="27"/>
  <c r="AV501" i="27"/>
  <c r="AX451" i="27"/>
  <c r="AU542" i="27"/>
  <c r="AY411" i="27"/>
  <c r="AW544" i="27"/>
  <c r="AU417" i="27"/>
  <c r="AX541" i="27"/>
  <c r="AY421" i="27"/>
  <c r="AW554" i="27"/>
  <c r="AV563" i="27"/>
  <c r="AU373" i="27"/>
  <c r="AW563" i="27"/>
  <c r="AV371" i="27"/>
  <c r="AY496" i="27"/>
  <c r="AV419" i="27"/>
  <c r="AY488" i="27"/>
  <c r="AV427" i="27"/>
  <c r="AV491" i="27"/>
  <c r="AX556" i="27"/>
  <c r="AV504" i="27"/>
  <c r="AX454" i="27"/>
  <c r="AU543" i="27"/>
  <c r="AY414" i="27"/>
  <c r="AW542" i="27"/>
  <c r="AU418" i="27"/>
  <c r="AX542" i="27"/>
  <c r="AY424" i="27"/>
  <c r="AW552" i="27"/>
  <c r="AX431" i="27"/>
  <c r="AV561" i="27"/>
  <c r="AY434" i="27"/>
  <c r="AW564" i="27"/>
  <c r="AV374" i="27"/>
  <c r="AX563" i="27"/>
  <c r="AV416" i="27"/>
  <c r="AY487" i="27"/>
  <c r="AU494" i="27"/>
  <c r="AU558" i="27"/>
  <c r="AV383" i="27"/>
  <c r="AX452" i="27"/>
  <c r="AW412" i="27"/>
  <c r="AY601" i="27"/>
  <c r="AY412" i="27"/>
  <c r="AV608" i="27"/>
  <c r="AU419" i="27"/>
  <c r="AW608" i="27"/>
  <c r="AY422" i="27"/>
  <c r="AW553" i="27"/>
  <c r="AX434" i="27"/>
  <c r="AV562" i="27"/>
  <c r="AY433" i="27"/>
  <c r="AW561" i="27"/>
  <c r="AU438" i="27"/>
  <c r="AX564" i="27"/>
  <c r="AY401" i="27"/>
  <c r="AV472" i="27"/>
  <c r="AY542" i="27"/>
  <c r="AY554" i="27"/>
  <c r="AV381" i="27"/>
  <c r="AX453" i="27"/>
  <c r="AW411" i="27"/>
  <c r="AY604" i="27"/>
  <c r="AX479" i="27"/>
  <c r="AV606" i="27"/>
  <c r="AY477" i="27"/>
  <c r="AW606" i="27"/>
  <c r="AY423" i="27"/>
  <c r="AX433" i="27"/>
  <c r="AY432" i="27"/>
  <c r="AW562" i="27"/>
  <c r="AU437" i="27"/>
  <c r="AX561" i="27"/>
  <c r="AU605" i="27"/>
  <c r="AU450" i="27"/>
  <c r="AV550" i="27"/>
  <c r="AV565" i="27"/>
  <c r="AV450" i="27"/>
  <c r="AY530" i="27"/>
  <c r="AY490" i="27"/>
  <c r="AU370" i="27"/>
  <c r="AW600" i="27"/>
  <c r="AY430" i="27"/>
  <c r="AX530" i="27"/>
  <c r="AW425" i="27"/>
  <c r="AY390" i="27"/>
  <c r="AU595" i="27"/>
  <c r="AY575" i="27"/>
  <c r="AY435" i="27"/>
  <c r="AX485" i="27"/>
  <c r="AX470" i="27"/>
  <c r="AV415" i="27"/>
  <c r="AV575" i="27"/>
  <c r="AW595" i="27"/>
  <c r="AU465" i="27"/>
  <c r="AW570" i="27"/>
  <c r="AW445" i="27"/>
  <c r="AY380" i="27"/>
  <c r="AV585" i="27"/>
  <c r="AY395" i="27"/>
  <c r="AU470" i="27"/>
  <c r="AV510" i="27"/>
  <c r="AX425" i="27"/>
  <c r="AX600" i="27"/>
  <c r="AU455" i="27"/>
  <c r="AY570" i="27"/>
  <c r="AV400" i="27"/>
  <c r="AW580" i="27"/>
  <c r="AY415" i="27"/>
  <c r="AU600" i="27"/>
  <c r="AV605" i="27"/>
  <c r="AU530" i="27"/>
  <c r="AY560" i="27"/>
  <c r="AW475" i="27"/>
  <c r="AV430" i="27"/>
  <c r="AW510" i="27"/>
  <c r="AX560" i="27"/>
  <c r="AX465" i="27"/>
  <c r="AW575" i="27"/>
  <c r="AY450" i="27"/>
  <c r="AU585" i="27"/>
  <c r="AW530" i="27"/>
  <c r="AV610" i="27"/>
  <c r="AU420" i="27"/>
  <c r="AU395" i="27"/>
  <c r="AX435" i="27"/>
  <c r="AW435" i="27"/>
  <c r="AX455" i="27"/>
  <c r="AX415" i="27"/>
  <c r="AX510" i="27"/>
  <c r="AV560" i="27"/>
  <c r="AV500" i="27"/>
  <c r="AY550" i="27"/>
  <c r="AV435" i="27"/>
  <c r="AY400" i="27"/>
  <c r="AX395" i="27"/>
  <c r="AX400" i="27"/>
  <c r="AY370" i="27"/>
  <c r="AV420" i="27"/>
  <c r="AW560" i="27"/>
  <c r="AW555" i="27"/>
  <c r="AY445" i="27"/>
  <c r="AX610" i="27"/>
  <c r="AW505" i="27"/>
  <c r="AY590" i="27"/>
  <c r="AV505" i="27"/>
  <c r="AW410" i="27"/>
  <c r="AX525" i="27"/>
  <c r="AX495" i="27"/>
  <c r="AX445" i="27"/>
  <c r="AX550" i="27"/>
  <c r="AU385" i="27"/>
  <c r="AW565" i="27"/>
  <c r="AX490" i="27"/>
  <c r="AU575" i="27"/>
  <c r="AW385" i="27"/>
  <c r="AX440" i="27"/>
  <c r="AW380" i="27"/>
  <c r="AU535" i="27"/>
  <c r="AV470" i="27"/>
  <c r="AY375" i="27"/>
  <c r="AY410" i="27"/>
  <c r="AV410" i="27"/>
  <c r="AX585" i="27"/>
  <c r="AY520" i="27"/>
  <c r="AU570" i="27"/>
  <c r="AX385" i="27"/>
  <c r="AU490" i="27"/>
  <c r="AW415" i="27"/>
  <c r="AV595" i="27"/>
  <c r="AV555" i="27"/>
  <c r="AV580" i="27"/>
  <c r="AU525" i="27"/>
  <c r="AY455" i="27"/>
  <c r="AW540" i="27"/>
  <c r="AV460" i="27"/>
  <c r="AX430" i="27"/>
  <c r="AW420" i="27"/>
  <c r="AY385" i="27"/>
  <c r="AW390" i="27"/>
  <c r="AW395" i="27"/>
  <c r="AY580" i="27"/>
  <c r="AW525" i="27"/>
  <c r="AU565" i="27"/>
  <c r="AY470" i="27"/>
  <c r="AY440" i="27"/>
  <c r="AY600" i="27"/>
  <c r="AV375" i="27"/>
  <c r="AW440" i="27"/>
  <c r="AV490" i="27"/>
  <c r="AX575" i="27"/>
  <c r="AW455" i="27"/>
  <c r="AX375" i="27"/>
  <c r="AY515" i="27"/>
  <c r="AV520" i="27"/>
  <c r="AU410" i="27"/>
  <c r="AU460" i="27"/>
  <c r="AV535" i="27"/>
  <c r="AY605" i="27"/>
  <c r="AX555" i="27"/>
  <c r="AY405" i="27"/>
  <c r="AW430" i="27"/>
  <c r="AV495" i="27"/>
  <c r="AV480" i="27"/>
  <c r="AV570" i="27"/>
  <c r="AW500" i="27"/>
  <c r="AX500" i="27"/>
  <c r="AU515" i="27"/>
  <c r="AW605" i="27"/>
  <c r="AY465" i="27"/>
  <c r="AU500" i="27"/>
  <c r="AY425" i="27"/>
  <c r="AW450" i="27"/>
  <c r="AU560" i="27"/>
  <c r="AU475" i="27"/>
  <c r="AV455" i="27"/>
  <c r="AV525" i="27"/>
  <c r="AX540" i="27"/>
  <c r="AY535" i="27"/>
  <c r="AX390" i="27"/>
  <c r="AW550" i="27"/>
  <c r="AX475" i="27"/>
  <c r="AV445" i="27"/>
  <c r="AX605" i="27"/>
  <c r="AX480" i="27"/>
  <c r="AY485" i="27"/>
  <c r="AW495" i="27"/>
  <c r="AV385" i="27"/>
  <c r="AV515" i="27"/>
  <c r="AU445" i="27"/>
  <c r="AU555" i="27"/>
  <c r="AY595" i="27"/>
  <c r="AW520" i="27"/>
  <c r="AU610" i="27"/>
  <c r="AW375" i="27"/>
  <c r="AU435" i="27"/>
  <c r="AW585" i="27"/>
  <c r="AW490" i="27"/>
  <c r="AX535" i="27"/>
  <c r="AW400" i="27"/>
  <c r="AY585" i="27"/>
  <c r="AX595" i="27"/>
  <c r="AV475" i="27"/>
  <c r="AU520" i="27"/>
  <c r="AU390" i="27"/>
  <c r="AW465" i="27"/>
  <c r="AY545" i="27"/>
  <c r="AX370" i="27"/>
  <c r="AU375" i="27"/>
  <c r="AU405" i="27"/>
  <c r="AU400" i="27"/>
  <c r="AU540" i="27"/>
  <c r="AX580" i="27"/>
  <c r="AY495" i="27"/>
  <c r="AV440" i="27"/>
  <c r="AU590" i="27"/>
  <c r="AU495" i="27"/>
  <c r="AU440" i="27"/>
  <c r="AY460" i="27"/>
  <c r="AW470" i="27"/>
  <c r="AY610" i="27"/>
  <c r="AW485" i="27"/>
  <c r="AW535" i="27"/>
  <c r="AU505" i="27"/>
  <c r="AV465" i="27"/>
  <c r="AX460" i="27"/>
  <c r="AY505" i="27"/>
  <c r="AV590" i="27"/>
  <c r="AW590" i="27"/>
  <c r="AU480" i="27"/>
  <c r="AX590" i="27"/>
  <c r="AV425" i="27"/>
  <c r="AW460" i="27"/>
  <c r="AY565" i="27"/>
  <c r="AX450" i="27"/>
  <c r="AV530" i="27"/>
  <c r="AW515" i="27"/>
  <c r="AW610" i="27"/>
  <c r="AW370" i="27"/>
  <c r="AV380" i="27"/>
  <c r="AX420" i="27"/>
  <c r="AY510" i="27"/>
  <c r="AX405" i="27"/>
  <c r="AU430" i="27"/>
  <c r="AV540" i="27"/>
  <c r="AV405" i="27"/>
  <c r="AX565" i="27"/>
  <c r="AY540" i="27"/>
  <c r="AX515" i="27"/>
  <c r="AV600" i="27"/>
  <c r="AV485" i="27"/>
  <c r="AW405" i="27"/>
  <c r="AX570" i="27"/>
  <c r="AU415" i="27"/>
  <c r="AX505" i="27"/>
  <c r="AU550" i="27"/>
  <c r="AX380" i="27"/>
  <c r="AU510" i="27"/>
  <c r="AU485" i="27"/>
  <c r="AY480" i="27"/>
  <c r="AX410" i="27"/>
  <c r="AW545" i="27"/>
  <c r="AU545" i="27"/>
  <c r="AY555" i="27"/>
  <c r="AY475" i="27"/>
  <c r="AU425" i="27"/>
  <c r="AV390" i="27"/>
  <c r="AV370" i="27"/>
  <c r="AX520" i="27"/>
  <c r="AY500" i="27"/>
  <c r="AY420" i="27"/>
  <c r="AY525" i="27"/>
  <c r="AU380" i="27"/>
  <c r="AV545" i="27"/>
  <c r="AV395" i="27"/>
  <c r="AU580" i="27"/>
  <c r="AX545" i="27"/>
  <c r="AW480" i="27"/>
  <c r="BA170" i="27"/>
  <c r="BA162" i="27"/>
  <c r="BA154" i="27"/>
  <c r="BA146" i="27"/>
  <c r="BA138" i="27"/>
  <c r="BA130" i="27"/>
  <c r="BA122" i="27"/>
  <c r="BA150" i="27"/>
  <c r="BA142" i="27"/>
  <c r="BA126" i="27"/>
  <c r="BA165" i="27"/>
  <c r="BA167" i="27"/>
  <c r="BA159" i="27"/>
  <c r="BA151" i="27"/>
  <c r="BA143" i="27"/>
  <c r="BA135" i="27"/>
  <c r="BA127" i="27"/>
  <c r="BA119" i="27"/>
  <c r="BA172" i="27"/>
  <c r="BA164" i="27"/>
  <c r="BA156" i="27"/>
  <c r="BA148" i="27"/>
  <c r="BA140" i="27"/>
  <c r="BA132" i="27"/>
  <c r="BA124" i="27"/>
  <c r="BA166" i="27"/>
  <c r="BA149" i="27"/>
  <c r="BA141" i="27"/>
  <c r="BA117" i="27"/>
  <c r="BA169" i="27"/>
  <c r="BA161" i="27"/>
  <c r="BA153" i="27"/>
  <c r="BA145" i="27"/>
  <c r="BA137" i="27"/>
  <c r="BA129" i="27"/>
  <c r="BA121" i="27"/>
  <c r="BA158" i="27"/>
  <c r="BA134" i="27"/>
  <c r="BA118" i="27"/>
  <c r="BA171" i="27"/>
  <c r="BA163" i="27"/>
  <c r="BA155" i="27"/>
  <c r="BA147" i="27"/>
  <c r="BA139" i="27"/>
  <c r="BA131" i="27"/>
  <c r="BA123" i="27"/>
  <c r="BA168" i="27"/>
  <c r="BA160" i="27"/>
  <c r="BA152" i="27"/>
  <c r="BA144" i="27"/>
  <c r="BA136" i="27"/>
  <c r="BA128" i="27"/>
  <c r="BA120" i="27"/>
  <c r="BA157" i="27"/>
  <c r="BA133" i="27"/>
  <c r="BA125" i="27"/>
  <c r="BA36" i="27"/>
  <c r="BA28" i="27"/>
  <c r="BA33" i="27"/>
  <c r="BA38" i="27"/>
  <c r="BA30" i="27"/>
  <c r="BA35" i="27"/>
  <c r="BA27" i="27"/>
  <c r="BA32" i="27"/>
  <c r="BA31" i="27"/>
  <c r="BA37" i="27"/>
  <c r="BA29" i="27"/>
  <c r="BA34" i="27"/>
  <c r="AU366" i="27"/>
  <c r="AU369" i="27"/>
  <c r="AU367" i="27"/>
  <c r="AU368" i="27"/>
  <c r="AV369" i="27"/>
  <c r="AV367" i="27"/>
  <c r="AV365" i="27"/>
  <c r="AV366" i="27"/>
  <c r="AV368" i="27"/>
  <c r="AY365" i="27"/>
  <c r="AY368" i="27"/>
  <c r="AY366" i="27"/>
  <c r="AY367" i="27"/>
  <c r="AY369" i="27"/>
  <c r="AW365" i="27"/>
  <c r="AW367" i="27"/>
  <c r="AW368" i="27"/>
  <c r="AW366" i="27"/>
  <c r="AW369" i="27"/>
  <c r="AX367" i="27"/>
  <c r="AX365" i="27"/>
  <c r="AX368" i="27"/>
  <c r="AX366" i="27"/>
  <c r="AX369" i="27"/>
  <c r="BA613" i="27"/>
  <c r="BA611" i="27"/>
  <c r="BA609" i="27"/>
  <c r="BA607" i="27"/>
  <c r="BA605" i="27"/>
  <c r="BA603" i="27"/>
  <c r="BA601" i="27"/>
  <c r="BA599" i="27"/>
  <c r="BA597" i="27"/>
  <c r="BA595" i="27"/>
  <c r="BA593" i="27"/>
  <c r="BA589" i="27"/>
  <c r="BA586" i="27"/>
  <c r="BA581" i="27"/>
  <c r="BA614" i="27"/>
  <c r="BA610" i="27"/>
  <c r="BA606" i="27"/>
  <c r="BA602" i="27"/>
  <c r="BA598" i="27"/>
  <c r="BA594" i="27"/>
  <c r="BA591" i="27"/>
  <c r="BA588" i="27"/>
  <c r="BA583" i="27"/>
  <c r="BA580" i="27"/>
  <c r="BA590" i="27"/>
  <c r="BA585" i="27"/>
  <c r="BA582" i="27"/>
  <c r="BA612" i="27"/>
  <c r="BA608" i="27"/>
  <c r="BA592" i="27"/>
  <c r="BA575" i="27"/>
  <c r="BA570" i="27"/>
  <c r="BA559" i="27"/>
  <c r="BA554" i="27"/>
  <c r="BA549" i="27"/>
  <c r="BA545" i="27"/>
  <c r="BA541" i="27"/>
  <c r="BA537" i="27"/>
  <c r="BA533" i="27"/>
  <c r="BA529" i="27"/>
  <c r="BA525" i="27"/>
  <c r="BA521" i="27"/>
  <c r="BA517" i="27"/>
  <c r="BA513" i="27"/>
  <c r="BA509" i="27"/>
  <c r="BA505" i="27"/>
  <c r="BA501" i="27"/>
  <c r="BA497" i="27"/>
  <c r="BA569" i="27"/>
  <c r="BA564" i="27"/>
  <c r="BA553" i="27"/>
  <c r="BA489" i="27"/>
  <c r="BA482" i="27"/>
  <c r="BA480" i="27"/>
  <c r="BA478" i="27"/>
  <c r="BA476" i="27"/>
  <c r="BA474" i="27"/>
  <c r="BA472" i="27"/>
  <c r="BA470" i="27"/>
  <c r="BA468" i="27"/>
  <c r="BA466" i="27"/>
  <c r="BA464" i="27"/>
  <c r="BA462" i="27"/>
  <c r="BA604" i="27"/>
  <c r="BA574" i="27"/>
  <c r="BA563" i="27"/>
  <c r="BA558" i="27"/>
  <c r="BA548" i="27"/>
  <c r="BA544" i="27"/>
  <c r="BA540" i="27"/>
  <c r="BA536" i="27"/>
  <c r="BA532" i="27"/>
  <c r="BA528" i="27"/>
  <c r="BA524" i="27"/>
  <c r="BA520" i="27"/>
  <c r="BA516" i="27"/>
  <c r="BA512" i="27"/>
  <c r="BA508" i="27"/>
  <c r="BA504" i="27"/>
  <c r="BA500" i="27"/>
  <c r="BA496" i="27"/>
  <c r="BA491" i="27"/>
  <c r="BA484" i="27"/>
  <c r="BA584" i="27"/>
  <c r="BA579" i="27"/>
  <c r="BA573" i="27"/>
  <c r="BA568" i="27"/>
  <c r="BA600" i="27"/>
  <c r="BA578" i="27"/>
  <c r="BA577" i="27"/>
  <c r="BA572" i="27"/>
  <c r="BA561" i="27"/>
  <c r="BA596" i="27"/>
  <c r="BA587" i="27"/>
  <c r="BA571" i="27"/>
  <c r="BA566" i="27"/>
  <c r="BA555" i="27"/>
  <c r="BA550" i="27"/>
  <c r="BA546" i="27"/>
  <c r="BA542" i="27"/>
  <c r="BA567" i="27"/>
  <c r="BA565" i="27"/>
  <c r="BA538" i="27"/>
  <c r="BA531" i="27"/>
  <c r="BA506" i="27"/>
  <c r="BA499" i="27"/>
  <c r="BA490" i="27"/>
  <c r="BA475" i="27"/>
  <c r="BA453" i="27"/>
  <c r="BA450" i="27"/>
  <c r="BA438" i="27"/>
  <c r="BA436" i="27"/>
  <c r="BA434" i="27"/>
  <c r="BA432" i="27"/>
  <c r="BA430" i="27"/>
  <c r="BA428" i="27"/>
  <c r="BA426" i="27"/>
  <c r="BA424" i="27"/>
  <c r="BA422" i="27"/>
  <c r="BA420" i="27"/>
  <c r="BA418" i="27"/>
  <c r="BA416" i="27"/>
  <c r="BA414" i="27"/>
  <c r="BA412" i="27"/>
  <c r="BA410" i="27"/>
  <c r="BA408" i="27"/>
  <c r="BA406" i="27"/>
  <c r="BA404" i="27"/>
  <c r="BA402" i="27"/>
  <c r="BA400" i="27"/>
  <c r="BA398" i="27"/>
  <c r="BA396" i="27"/>
  <c r="BA394" i="27"/>
  <c r="BA392" i="27"/>
  <c r="BA390" i="27"/>
  <c r="BA388" i="27"/>
  <c r="BA386" i="27"/>
  <c r="BA384" i="27"/>
  <c r="BA382" i="27"/>
  <c r="BA380" i="27"/>
  <c r="BA378" i="27"/>
  <c r="BA376" i="27"/>
  <c r="BA374" i="27"/>
  <c r="BA372" i="27"/>
  <c r="BA370" i="27"/>
  <c r="BA465" i="27"/>
  <c r="BA557" i="27"/>
  <c r="BA534" i="27"/>
  <c r="BA527" i="27"/>
  <c r="BA502" i="27"/>
  <c r="BA495" i="27"/>
  <c r="BA488" i="27"/>
  <c r="BA485" i="27"/>
  <c r="BA469" i="27"/>
  <c r="BA459" i="27"/>
  <c r="BA456" i="27"/>
  <c r="BA443" i="27"/>
  <c r="BA440" i="27"/>
  <c r="BA481" i="27"/>
  <c r="BA556" i="27"/>
  <c r="BA530" i="27"/>
  <c r="BA523" i="27"/>
  <c r="BA498" i="27"/>
  <c r="BA479" i="27"/>
  <c r="BA463" i="27"/>
  <c r="BA449" i="27"/>
  <c r="BA446" i="27"/>
  <c r="BA576" i="27"/>
  <c r="BA526" i="27"/>
  <c r="BA519" i="27"/>
  <c r="BA494" i="27"/>
  <c r="BA493" i="27"/>
  <c r="BA473" i="27"/>
  <c r="BA455" i="27"/>
  <c r="BA452" i="27"/>
  <c r="BA510" i="27"/>
  <c r="BA460" i="27"/>
  <c r="BA562" i="27"/>
  <c r="BA560" i="27"/>
  <c r="BA522" i="27"/>
  <c r="BA515" i="27"/>
  <c r="BA487" i="27"/>
  <c r="BA467" i="27"/>
  <c r="BA458" i="27"/>
  <c r="BA445" i="27"/>
  <c r="BA442" i="27"/>
  <c r="BA439" i="27"/>
  <c r="BA437" i="27"/>
  <c r="BA435" i="27"/>
  <c r="BA433" i="27"/>
  <c r="BA431" i="27"/>
  <c r="BA429" i="27"/>
  <c r="BA427" i="27"/>
  <c r="BA425" i="27"/>
  <c r="BA423" i="27"/>
  <c r="BA421" i="27"/>
  <c r="BA419" i="27"/>
  <c r="BA417" i="27"/>
  <c r="BA415" i="27"/>
  <c r="BA413" i="27"/>
  <c r="BA411" i="27"/>
  <c r="BA409" i="27"/>
  <c r="BA407" i="27"/>
  <c r="BA405" i="27"/>
  <c r="BA403" i="27"/>
  <c r="BA401" i="27"/>
  <c r="BA399" i="27"/>
  <c r="BA397" i="27"/>
  <c r="BA395" i="27"/>
  <c r="BA393" i="27"/>
  <c r="BA391" i="27"/>
  <c r="BA389" i="27"/>
  <c r="BA387" i="27"/>
  <c r="BA385" i="27"/>
  <c r="BA383" i="27"/>
  <c r="BA381" i="27"/>
  <c r="BA379" i="27"/>
  <c r="BA377" i="27"/>
  <c r="BA375" i="27"/>
  <c r="BA373" i="27"/>
  <c r="BA371" i="27"/>
  <c r="BA535" i="27"/>
  <c r="BA552" i="27"/>
  <c r="BA518" i="27"/>
  <c r="BA511" i="27"/>
  <c r="BA486" i="27"/>
  <c r="BA483" i="27"/>
  <c r="BA477" i="27"/>
  <c r="BA461" i="27"/>
  <c r="BA451" i="27"/>
  <c r="BA448" i="27"/>
  <c r="BA503" i="27"/>
  <c r="BA447" i="27"/>
  <c r="BA444" i="27"/>
  <c r="BA551" i="27"/>
  <c r="BA547" i="27"/>
  <c r="BA543" i="27"/>
  <c r="BA539" i="27"/>
  <c r="BA514" i="27"/>
  <c r="BA507" i="27"/>
  <c r="BA492" i="27"/>
  <c r="BA471" i="27"/>
  <c r="BA457" i="27"/>
  <c r="BA454" i="27"/>
  <c r="BA441" i="27"/>
  <c r="AT55" i="40"/>
  <c r="AS55" i="40"/>
  <c r="BA368" i="27"/>
  <c r="BA367" i="27"/>
  <c r="BA369" i="27"/>
  <c r="BA366" i="27"/>
  <c r="BA359" i="27"/>
  <c r="BA351" i="27"/>
  <c r="BA343" i="27"/>
  <c r="BA335" i="27"/>
  <c r="BA327" i="27"/>
  <c r="BA319" i="27"/>
  <c r="BA311" i="27"/>
  <c r="BA303" i="27"/>
  <c r="BA295" i="27"/>
  <c r="BA287" i="27"/>
  <c r="BA279" i="27"/>
  <c r="BA271" i="27"/>
  <c r="BA263" i="27"/>
  <c r="BA255" i="27"/>
  <c r="BA247" i="27"/>
  <c r="BA239" i="27"/>
  <c r="BA231" i="27"/>
  <c r="BA223" i="27"/>
  <c r="BA215" i="27"/>
  <c r="BA207" i="27"/>
  <c r="BA199" i="27"/>
  <c r="BA191" i="27"/>
  <c r="BA183" i="27"/>
  <c r="BA346" i="27"/>
  <c r="BA338" i="27"/>
  <c r="BA330" i="27"/>
  <c r="BA250" i="27"/>
  <c r="BA210" i="27"/>
  <c r="BA356" i="27"/>
  <c r="BA348" i="27"/>
  <c r="BA340" i="27"/>
  <c r="BA332" i="27"/>
  <c r="BA324" i="27"/>
  <c r="BA316" i="27"/>
  <c r="BA308" i="27"/>
  <c r="BA300" i="27"/>
  <c r="BA292" i="27"/>
  <c r="BA284" i="27"/>
  <c r="BA276" i="27"/>
  <c r="BA268" i="27"/>
  <c r="BA260" i="27"/>
  <c r="BA252" i="27"/>
  <c r="BA244" i="27"/>
  <c r="BA236" i="27"/>
  <c r="BA228" i="27"/>
  <c r="BA220" i="27"/>
  <c r="BA212" i="27"/>
  <c r="BA204" i="27"/>
  <c r="BA196" i="27"/>
  <c r="BA188" i="27"/>
  <c r="BA361" i="27"/>
  <c r="BA353" i="27"/>
  <c r="BA345" i="27"/>
  <c r="BA337" i="27"/>
  <c r="BA329" i="27"/>
  <c r="BA321" i="27"/>
  <c r="BA313" i="27"/>
  <c r="BA305" i="27"/>
  <c r="BA297" i="27"/>
  <c r="BA289" i="27"/>
  <c r="BA281" i="27"/>
  <c r="BA273" i="27"/>
  <c r="BA265" i="27"/>
  <c r="BA257" i="27"/>
  <c r="BA249" i="27"/>
  <c r="BA241" i="27"/>
  <c r="BA233" i="27"/>
  <c r="BA225" i="27"/>
  <c r="BA217" i="27"/>
  <c r="BA209" i="27"/>
  <c r="BA201" i="27"/>
  <c r="BA193" i="27"/>
  <c r="BA185" i="27"/>
  <c r="BA354" i="27"/>
  <c r="BA290" i="27"/>
  <c r="BA266" i="27"/>
  <c r="BA258" i="27"/>
  <c r="BA234" i="27"/>
  <c r="BA218" i="27"/>
  <c r="BA358" i="27"/>
  <c r="BA350" i="27"/>
  <c r="BA342" i="27"/>
  <c r="BA334" i="27"/>
  <c r="BA326" i="27"/>
  <c r="BA318" i="27"/>
  <c r="BA310" i="27"/>
  <c r="BA302" i="27"/>
  <c r="BA294" i="27"/>
  <c r="BA286" i="27"/>
  <c r="BA278" i="27"/>
  <c r="BA270" i="27"/>
  <c r="BA262" i="27"/>
  <c r="BA254" i="27"/>
  <c r="BA246" i="27"/>
  <c r="BA238" i="27"/>
  <c r="BA230" i="27"/>
  <c r="BA222" i="27"/>
  <c r="BA214" i="27"/>
  <c r="BA206" i="27"/>
  <c r="BA198" i="27"/>
  <c r="BA190" i="27"/>
  <c r="BA182" i="27"/>
  <c r="BA322" i="27"/>
  <c r="BA314" i="27"/>
  <c r="BA282" i="27"/>
  <c r="BA242" i="27"/>
  <c r="BA186" i="27"/>
  <c r="BA355" i="27"/>
  <c r="BA347" i="27"/>
  <c r="BA339" i="27"/>
  <c r="BA331" i="27"/>
  <c r="BA323" i="27"/>
  <c r="BA315" i="27"/>
  <c r="BA307" i="27"/>
  <c r="BA299" i="27"/>
  <c r="BA291" i="27"/>
  <c r="BA283" i="27"/>
  <c r="BA275" i="27"/>
  <c r="BA267" i="27"/>
  <c r="BA259" i="27"/>
  <c r="BA251" i="27"/>
  <c r="BA243" i="27"/>
  <c r="BA235" i="27"/>
  <c r="BA227" i="27"/>
  <c r="BA219" i="27"/>
  <c r="BA211" i="27"/>
  <c r="BA203" i="27"/>
  <c r="BA195" i="27"/>
  <c r="BA187" i="27"/>
  <c r="BA306" i="27"/>
  <c r="BA226" i="27"/>
  <c r="BA360" i="27"/>
  <c r="BA352" i="27"/>
  <c r="BA344" i="27"/>
  <c r="BA336" i="27"/>
  <c r="BA328" i="27"/>
  <c r="BA320" i="27"/>
  <c r="BA312" i="27"/>
  <c r="BA304" i="27"/>
  <c r="BA296" i="27"/>
  <c r="BA288" i="27"/>
  <c r="BA280" i="27"/>
  <c r="BA272" i="27"/>
  <c r="BA264" i="27"/>
  <c r="BA256" i="27"/>
  <c r="BA248" i="27"/>
  <c r="BA240" i="27"/>
  <c r="BA232" i="27"/>
  <c r="BA224" i="27"/>
  <c r="BA216" i="27"/>
  <c r="BA208" i="27"/>
  <c r="BA200" i="27"/>
  <c r="BA192" i="27"/>
  <c r="BA184" i="27"/>
  <c r="BA298" i="27"/>
  <c r="BA274" i="27"/>
  <c r="BA202" i="27"/>
  <c r="BA194" i="27"/>
  <c r="BA357" i="27"/>
  <c r="BA349" i="27"/>
  <c r="BA341" i="27"/>
  <c r="BA333" i="27"/>
  <c r="BA325" i="27"/>
  <c r="BA317" i="27"/>
  <c r="BA309" i="27"/>
  <c r="BA301" i="27"/>
  <c r="BA293" i="27"/>
  <c r="BA285" i="27"/>
  <c r="BA277" i="27"/>
  <c r="BA269" i="27"/>
  <c r="BA261" i="27"/>
  <c r="BA253" i="27"/>
  <c r="BA245" i="27"/>
  <c r="BA237" i="27"/>
  <c r="BA229" i="27"/>
  <c r="BA221" i="27"/>
  <c r="BA213" i="27"/>
  <c r="BA205" i="27"/>
  <c r="BA197" i="27"/>
  <c r="BA189" i="27"/>
  <c r="BA107" i="27"/>
  <c r="BA99" i="27"/>
  <c r="BA91" i="27"/>
  <c r="BA83" i="27"/>
  <c r="BA75" i="27"/>
  <c r="BA67" i="27"/>
  <c r="BA89" i="27"/>
  <c r="BA65" i="27"/>
  <c r="BA62" i="27"/>
  <c r="BA104" i="27"/>
  <c r="BA96" i="27"/>
  <c r="BA88" i="27"/>
  <c r="BA80" i="27"/>
  <c r="BA72" i="27"/>
  <c r="BA64" i="27"/>
  <c r="BA86" i="27"/>
  <c r="BA109" i="27"/>
  <c r="BA101" i="27"/>
  <c r="BA93" i="27"/>
  <c r="BA85" i="27"/>
  <c r="BA77" i="27"/>
  <c r="BA69" i="27"/>
  <c r="BA61" i="27"/>
  <c r="BA94" i="27"/>
  <c r="BA106" i="27"/>
  <c r="BA98" i="27"/>
  <c r="BA90" i="27"/>
  <c r="BA82" i="27"/>
  <c r="BA74" i="27"/>
  <c r="BA66" i="27"/>
  <c r="BA97" i="27"/>
  <c r="BA81" i="27"/>
  <c r="BA73" i="27"/>
  <c r="BA78" i="27"/>
  <c r="BA103" i="27"/>
  <c r="BA95" i="27"/>
  <c r="BA87" i="27"/>
  <c r="BA79" i="27"/>
  <c r="BA71" i="27"/>
  <c r="BA63" i="27"/>
  <c r="BA105" i="27"/>
  <c r="BA108" i="27"/>
  <c r="BA100" i="27"/>
  <c r="BA92" i="27"/>
  <c r="BA84" i="27"/>
  <c r="BA76" i="27"/>
  <c r="BA68" i="27"/>
  <c r="BA60" i="27"/>
  <c r="BA102" i="27"/>
  <c r="BA70" i="27"/>
  <c r="BA652" i="27"/>
  <c r="BA642" i="27"/>
  <c r="BA631" i="27"/>
  <c r="BA622" i="27"/>
  <c r="BA177" i="27"/>
  <c r="BA114" i="27"/>
  <c r="BA52" i="27"/>
  <c r="BA44" i="27"/>
  <c r="BA25" i="27"/>
  <c r="BA17" i="27"/>
  <c r="BA9" i="27"/>
  <c r="BA115" i="27"/>
  <c r="BA53" i="27"/>
  <c r="BA651" i="27"/>
  <c r="BA641" i="27"/>
  <c r="BA630" i="27"/>
  <c r="BA619" i="27"/>
  <c r="BA176" i="27"/>
  <c r="BA113" i="27"/>
  <c r="BA51" i="27"/>
  <c r="BA43" i="27"/>
  <c r="BA24" i="27"/>
  <c r="BA16" i="27"/>
  <c r="BA8" i="27"/>
  <c r="BA45" i="27"/>
  <c r="BA650" i="27"/>
  <c r="BA637" i="27"/>
  <c r="BA629" i="27"/>
  <c r="BA618" i="27"/>
  <c r="BA365" i="27"/>
  <c r="BA175" i="27"/>
  <c r="BA112" i="27"/>
  <c r="BA50" i="27"/>
  <c r="BA42" i="27"/>
  <c r="BA23" i="27"/>
  <c r="BA15" i="27"/>
  <c r="BA649" i="27"/>
  <c r="BA636" i="27"/>
  <c r="BA628" i="27"/>
  <c r="BA174" i="27"/>
  <c r="BA57" i="27"/>
  <c r="BA49" i="27"/>
  <c r="BA41" i="27"/>
  <c r="BA22" i="27"/>
  <c r="BA14" i="27"/>
  <c r="BA26" i="27"/>
  <c r="BA648" i="27"/>
  <c r="BA635" i="27"/>
  <c r="BA626" i="27"/>
  <c r="BA181" i="27"/>
  <c r="BA173" i="27"/>
  <c r="BA56" i="27"/>
  <c r="BA48" i="27"/>
  <c r="BA40" i="27"/>
  <c r="BA21" i="27"/>
  <c r="BA13" i="27"/>
  <c r="BA623" i="27"/>
  <c r="BA10" i="27"/>
  <c r="BA645" i="27"/>
  <c r="BA634" i="27"/>
  <c r="BA625" i="27"/>
  <c r="BA180" i="27"/>
  <c r="BA55" i="27"/>
  <c r="BA47" i="27"/>
  <c r="BA39" i="27"/>
  <c r="BA20" i="27"/>
  <c r="BA12" i="27"/>
  <c r="BA643" i="27"/>
  <c r="BA18" i="27"/>
  <c r="BA644" i="27"/>
  <c r="BA633" i="27"/>
  <c r="BA624" i="27"/>
  <c r="BA179" i="27"/>
  <c r="BA116" i="27"/>
  <c r="BA54" i="27"/>
  <c r="BA46" i="27"/>
  <c r="BA19" i="27"/>
  <c r="BA11" i="27"/>
  <c r="BA632" i="27"/>
  <c r="BA178" i="27"/>
  <c r="AU365" i="27"/>
  <c r="AV619" i="27" a="1"/>
  <c r="AV619" i="27" s="1"/>
  <c r="AU619" i="27" a="1"/>
  <c r="AU619" i="27" s="1"/>
  <c r="AX619" i="27" a="1"/>
  <c r="AX619" i="27" s="1"/>
  <c r="AW619" i="27" a="1"/>
  <c r="AW619" i="27" s="1"/>
  <c r="AY619" i="27" a="1"/>
  <c r="AY619" i="27" s="1"/>
  <c r="I13" i="40" l="1"/>
  <c r="AW625" i="27"/>
  <c r="AW626" i="27"/>
  <c r="AW623" i="27"/>
  <c r="AW622" i="27"/>
  <c r="AW624" i="27"/>
  <c r="AX626" i="27"/>
  <c r="AX622" i="27"/>
  <c r="AX624" i="27"/>
  <c r="AX623" i="27"/>
  <c r="AX625" i="27"/>
  <c r="AU624" i="27"/>
  <c r="AU622" i="27"/>
  <c r="AU626" i="27"/>
  <c r="AU623" i="27"/>
  <c r="AU625" i="27"/>
  <c r="AY626" i="27"/>
  <c r="AY624" i="27"/>
  <c r="AY625" i="27"/>
  <c r="AY623" i="27"/>
  <c r="AY622" i="27"/>
  <c r="AV626" i="27"/>
  <c r="AV622" i="27"/>
  <c r="AV625" i="27"/>
  <c r="AV623" i="27"/>
  <c r="AV624" i="27"/>
  <c r="AT67" i="15"/>
  <c r="AT12" i="8" s="1"/>
  <c r="AS67" i="15"/>
  <c r="AR67" i="15"/>
  <c r="AQ67" i="15"/>
  <c r="AP67" i="15"/>
  <c r="AO67" i="15"/>
  <c r="AN67" i="15"/>
  <c r="AM67" i="15"/>
  <c r="AL67" i="15"/>
  <c r="AK67" i="15"/>
  <c r="AJ67" i="15"/>
  <c r="AI67" i="15"/>
  <c r="AH67" i="15"/>
  <c r="G478" i="14"/>
  <c r="D12" i="8" a="1"/>
  <c r="I10" i="40" l="1"/>
  <c r="I11" i="40"/>
  <c r="AU32" i="8"/>
  <c r="D12" i="8"/>
  <c r="AY125" i="15"/>
  <c r="AX125" i="15"/>
  <c r="AW125" i="15"/>
  <c r="AV125" i="15"/>
  <c r="AU125" i="15"/>
  <c r="G126" i="15"/>
  <c r="AT19" i="25" l="1"/>
  <c r="AS19" i="25"/>
  <c r="AR19" i="25"/>
  <c r="AQ19" i="25"/>
  <c r="AP19" i="25"/>
  <c r="AO19" i="25"/>
  <c r="AN19" i="25"/>
  <c r="AM19" i="25"/>
  <c r="AL19" i="25"/>
  <c r="AK19" i="25"/>
  <c r="AJ19" i="25"/>
  <c r="AI19" i="25"/>
  <c r="AH19" i="25"/>
  <c r="AG19" i="25"/>
  <c r="AF19" i="25"/>
  <c r="AE19" i="25"/>
  <c r="AD19" i="25"/>
  <c r="AC19" i="25"/>
  <c r="AB19" i="25"/>
  <c r="AA19" i="25"/>
  <c r="Z19" i="25"/>
  <c r="Y19" i="25"/>
  <c r="X19" i="25"/>
  <c r="AG18" i="25"/>
  <c r="AF18" i="25"/>
  <c r="AE18" i="25"/>
  <c r="AD18" i="25"/>
  <c r="AC18" i="25"/>
  <c r="AB18" i="25"/>
  <c r="AA18" i="25"/>
  <c r="Z18" i="25"/>
  <c r="Y18" i="25"/>
  <c r="X18" i="25"/>
  <c r="AY65" i="15"/>
  <c r="AY19" i="25" s="1"/>
  <c r="AX65" i="15"/>
  <c r="AX19" i="25" s="1"/>
  <c r="AW65" i="15"/>
  <c r="AW19" i="25" s="1"/>
  <c r="AV65" i="15"/>
  <c r="AV19" i="25" s="1"/>
  <c r="AU65" i="15"/>
  <c r="AU19" i="25" s="1"/>
  <c r="AY64" i="15"/>
  <c r="AY18" i="25" s="1"/>
  <c r="AX64" i="15"/>
  <c r="AX18" i="25" s="1"/>
  <c r="AW64" i="15"/>
  <c r="AW18" i="25" s="1"/>
  <c r="AV64" i="15"/>
  <c r="AV18" i="25" s="1"/>
  <c r="AU64" i="15"/>
  <c r="AU18" i="25" s="1"/>
  <c r="AT64" i="15"/>
  <c r="AT18" i="25" s="1"/>
  <c r="AS64" i="15"/>
  <c r="AS18" i="25" s="1"/>
  <c r="AR64" i="15"/>
  <c r="AR18" i="25" s="1"/>
  <c r="AQ64" i="15"/>
  <c r="AQ18" i="25" s="1"/>
  <c r="AP64" i="15"/>
  <c r="AP18" i="25" s="1"/>
  <c r="AO64" i="15"/>
  <c r="AO18" i="25" s="1"/>
  <c r="AN64" i="15"/>
  <c r="AN18" i="25" s="1"/>
  <c r="AM64" i="15"/>
  <c r="AM18" i="25" s="1"/>
  <c r="AL64" i="15"/>
  <c r="AL18" i="25" s="1"/>
  <c r="AK64" i="15"/>
  <c r="AK18" i="25" s="1"/>
  <c r="AJ64" i="15"/>
  <c r="AJ18" i="25" s="1"/>
  <c r="AI64" i="15"/>
  <c r="AI18" i="25" s="1"/>
  <c r="AH64" i="15"/>
  <c r="AH18" i="25" s="1"/>
  <c r="I63" i="15"/>
  <c r="I9" i="25" s="1"/>
  <c r="D19" i="25" a="1"/>
  <c r="D18" i="25" a="1"/>
  <c r="AU27" i="25" l="1"/>
  <c r="AW27" i="25"/>
  <c r="AY27" i="25"/>
  <c r="AX27" i="25"/>
  <c r="AV27" i="25"/>
  <c r="D19" i="25"/>
  <c r="D18" i="25"/>
  <c r="AY23" i="13" l="1"/>
  <c r="AX23" i="13"/>
  <c r="AW23" i="13"/>
  <c r="AV23" i="13"/>
  <c r="AU23" i="13"/>
  <c r="H202" i="14"/>
  <c r="H109" i="27" s="1"/>
  <c r="F202" i="14"/>
  <c r="F109" i="27" s="1"/>
  <c r="H201" i="14"/>
  <c r="H108" i="27" s="1"/>
  <c r="F201" i="14"/>
  <c r="F108" i="27" s="1"/>
  <c r="H200" i="14"/>
  <c r="H107" i="27" s="1"/>
  <c r="F200" i="14"/>
  <c r="F107" i="27" s="1"/>
  <c r="H199" i="14"/>
  <c r="H106" i="27" s="1"/>
  <c r="F199" i="14"/>
  <c r="F106" i="27" s="1"/>
  <c r="H198" i="14"/>
  <c r="H105" i="27" s="1"/>
  <c r="F198" i="14"/>
  <c r="F105" i="27" s="1"/>
  <c r="H197" i="14"/>
  <c r="H104" i="27" s="1"/>
  <c r="F197" i="14"/>
  <c r="F104" i="27" s="1"/>
  <c r="H196" i="14"/>
  <c r="H103" i="27" s="1"/>
  <c r="F196" i="14"/>
  <c r="F103" i="27" s="1"/>
  <c r="H195" i="14"/>
  <c r="H102" i="27" s="1"/>
  <c r="F195" i="14"/>
  <c r="F102" i="27" s="1"/>
  <c r="H194" i="14"/>
  <c r="H101" i="27" s="1"/>
  <c r="F194" i="14"/>
  <c r="F101" i="27" s="1"/>
  <c r="H193" i="14"/>
  <c r="H100" i="27" s="1"/>
  <c r="F193" i="14"/>
  <c r="F100" i="27" s="1"/>
  <c r="H192" i="14"/>
  <c r="H99" i="27" s="1"/>
  <c r="F192" i="14"/>
  <c r="F99" i="27" s="1"/>
  <c r="H191" i="14"/>
  <c r="H98" i="27" s="1"/>
  <c r="F191" i="14"/>
  <c r="F98" i="27" s="1"/>
  <c r="H190" i="14"/>
  <c r="H97" i="27" s="1"/>
  <c r="F190" i="14"/>
  <c r="F97" i="27" s="1"/>
  <c r="H189" i="14"/>
  <c r="H96" i="27" s="1"/>
  <c r="F189" i="14"/>
  <c r="F96" i="27" s="1"/>
  <c r="H188" i="14"/>
  <c r="H95" i="27" s="1"/>
  <c r="F188" i="14"/>
  <c r="F95" i="27" s="1"/>
  <c r="H187" i="14"/>
  <c r="H94" i="27" s="1"/>
  <c r="F187" i="14"/>
  <c r="F94" i="27" s="1"/>
  <c r="H186" i="14"/>
  <c r="H93" i="27" s="1"/>
  <c r="F186" i="14"/>
  <c r="F93" i="27" s="1"/>
  <c r="H185" i="14"/>
  <c r="H92" i="27" s="1"/>
  <c r="F185" i="14"/>
  <c r="F92" i="27" s="1"/>
  <c r="H184" i="14"/>
  <c r="H91" i="27" s="1"/>
  <c r="F184" i="14"/>
  <c r="F91" i="27" s="1"/>
  <c r="H183" i="14"/>
  <c r="H90" i="27" s="1"/>
  <c r="F183" i="14"/>
  <c r="F90" i="27" s="1"/>
  <c r="H182" i="14"/>
  <c r="H89" i="27" s="1"/>
  <c r="F182" i="14"/>
  <c r="F89" i="27" s="1"/>
  <c r="H181" i="14"/>
  <c r="H88" i="27" s="1"/>
  <c r="F181" i="14"/>
  <c r="F88" i="27" s="1"/>
  <c r="H180" i="14"/>
  <c r="H87" i="27" s="1"/>
  <c r="F180" i="14"/>
  <c r="F87" i="27" s="1"/>
  <c r="H179" i="14"/>
  <c r="H86" i="27" s="1"/>
  <c r="F179" i="14"/>
  <c r="F86" i="27" s="1"/>
  <c r="H178" i="14"/>
  <c r="H85" i="27" s="1"/>
  <c r="F178" i="14"/>
  <c r="F85" i="27" s="1"/>
  <c r="H177" i="14"/>
  <c r="H84" i="27" s="1"/>
  <c r="F177" i="14"/>
  <c r="F84" i="27" s="1"/>
  <c r="H176" i="14"/>
  <c r="H83" i="27" s="1"/>
  <c r="F176" i="14"/>
  <c r="F83" i="27" s="1"/>
  <c r="H175" i="14"/>
  <c r="H82" i="27" s="1"/>
  <c r="F175" i="14"/>
  <c r="F82" i="27" s="1"/>
  <c r="H174" i="14"/>
  <c r="H81" i="27" s="1"/>
  <c r="F174" i="14"/>
  <c r="F81" i="27" s="1"/>
  <c r="H173" i="14"/>
  <c r="H80" i="27" s="1"/>
  <c r="F173" i="14"/>
  <c r="F80" i="27" s="1"/>
  <c r="H172" i="14"/>
  <c r="H79" i="27" s="1"/>
  <c r="F172" i="14"/>
  <c r="F79" i="27" s="1"/>
  <c r="H171" i="14"/>
  <c r="H78" i="27" s="1"/>
  <c r="F171" i="14"/>
  <c r="F78" i="27" s="1"/>
  <c r="H170" i="14"/>
  <c r="H77" i="27" s="1"/>
  <c r="F170" i="14"/>
  <c r="F77" i="27" s="1"/>
  <c r="H169" i="14"/>
  <c r="H76" i="27" s="1"/>
  <c r="F169" i="14"/>
  <c r="F76" i="27" s="1"/>
  <c r="H168" i="14"/>
  <c r="H75" i="27" s="1"/>
  <c r="F168" i="14"/>
  <c r="F75" i="27" s="1"/>
  <c r="H167" i="14"/>
  <c r="H74" i="27" s="1"/>
  <c r="F167" i="14"/>
  <c r="F74" i="27" s="1"/>
  <c r="H166" i="14"/>
  <c r="H73" i="27" s="1"/>
  <c r="F166" i="14"/>
  <c r="F73" i="27" s="1"/>
  <c r="H165" i="14"/>
  <c r="H72" i="27" s="1"/>
  <c r="F165" i="14"/>
  <c r="F72" i="27" s="1"/>
  <c r="H164" i="14"/>
  <c r="H71" i="27" s="1"/>
  <c r="F164" i="14"/>
  <c r="F71" i="27" s="1"/>
  <c r="H163" i="14"/>
  <c r="H70" i="27" s="1"/>
  <c r="F163" i="14"/>
  <c r="F70" i="27" s="1"/>
  <c r="H162" i="14"/>
  <c r="H69" i="27" s="1"/>
  <c r="F162" i="14"/>
  <c r="F69" i="27" s="1"/>
  <c r="H161" i="14"/>
  <c r="H68" i="27" s="1"/>
  <c r="F161" i="14"/>
  <c r="F68" i="27" s="1"/>
  <c r="H160" i="14"/>
  <c r="H67" i="27" s="1"/>
  <c r="F160" i="14"/>
  <c r="F67" i="27" s="1"/>
  <c r="H159" i="14"/>
  <c r="H66" i="27" s="1"/>
  <c r="F159" i="14"/>
  <c r="F66" i="27" s="1"/>
  <c r="H158" i="14"/>
  <c r="H65" i="27" s="1"/>
  <c r="F158" i="14"/>
  <c r="F65" i="27" s="1"/>
  <c r="H157" i="14"/>
  <c r="H64" i="27" s="1"/>
  <c r="F157" i="14"/>
  <c r="F64" i="27" s="1"/>
  <c r="H156" i="14"/>
  <c r="H63" i="27" s="1"/>
  <c r="F156" i="14"/>
  <c r="F63" i="27" s="1"/>
  <c r="H155" i="14"/>
  <c r="H62" i="27" s="1"/>
  <c r="F155" i="14"/>
  <c r="F62" i="27" s="1"/>
  <c r="H154" i="14"/>
  <c r="H61" i="27" s="1"/>
  <c r="F154" i="14"/>
  <c r="F61" i="27" s="1"/>
  <c r="H153" i="14"/>
  <c r="H60" i="27" s="1"/>
  <c r="F153" i="14"/>
  <c r="F60" i="27" s="1"/>
  <c r="I261" i="15"/>
  <c r="I18" i="26" s="1"/>
  <c r="AY260" i="15"/>
  <c r="AY19" i="26" s="1"/>
  <c r="AX260" i="15"/>
  <c r="AX19" i="26" s="1"/>
  <c r="AW260" i="15"/>
  <c r="AW19" i="26" s="1"/>
  <c r="AV260" i="15"/>
  <c r="AV19" i="26" s="1"/>
  <c r="I259" i="15"/>
  <c r="I14" i="26" s="1"/>
  <c r="AY258" i="15"/>
  <c r="AY16" i="26" s="1"/>
  <c r="AX258" i="15"/>
  <c r="AX16" i="26" s="1"/>
  <c r="AW258" i="15"/>
  <c r="AW16" i="26" s="1"/>
  <c r="AV258" i="15"/>
  <c r="AV16" i="26" s="1"/>
  <c r="I257" i="15"/>
  <c r="I13" i="26" s="1"/>
  <c r="AT251" i="15"/>
  <c r="AT10" i="26" s="1"/>
  <c r="AY250" i="15"/>
  <c r="AX250" i="15"/>
  <c r="AW250" i="15"/>
  <c r="AV250" i="15"/>
  <c r="AU250" i="15"/>
  <c r="AT248" i="15"/>
  <c r="AT7" i="26" s="1"/>
  <c r="AY247" i="15"/>
  <c r="AY8" i="26" s="1"/>
  <c r="AX247" i="15"/>
  <c r="AX8" i="26" s="1"/>
  <c r="AW247" i="15"/>
  <c r="AW8" i="26" s="1"/>
  <c r="AV247" i="15"/>
  <c r="AV8" i="26" s="1"/>
  <c r="AU247" i="15"/>
  <c r="AU8" i="26" s="1"/>
  <c r="AT247" i="15"/>
  <c r="AT8" i="26" s="1"/>
  <c r="AV72" i="26"/>
  <c r="AV123" i="26" s="1"/>
  <c r="AU72" i="26"/>
  <c r="AU123" i="26" s="1"/>
  <c r="AU71" i="26"/>
  <c r="AU122" i="26" s="1"/>
  <c r="A1" i="26" a="1"/>
  <c r="A1" i="26" s="1"/>
  <c r="AY30" i="15"/>
  <c r="AX30" i="15"/>
  <c r="AW30" i="15"/>
  <c r="AV30" i="15"/>
  <c r="AU30" i="15"/>
  <c r="D23" i="13" a="1"/>
  <c r="D613" i="27" l="1"/>
  <c r="I51" i="40" a="1"/>
  <c r="I51" i="40" s="1"/>
  <c r="D462" i="27"/>
  <c r="D478" i="27"/>
  <c r="D454" i="27"/>
  <c r="D464" i="27"/>
  <c r="D471" i="27"/>
  <c r="D473" i="27"/>
  <c r="D443" i="27"/>
  <c r="D456" i="27"/>
  <c r="D481" i="27"/>
  <c r="D459" i="27"/>
  <c r="D441" i="27"/>
  <c r="D451" i="27"/>
  <c r="D470" i="27"/>
  <c r="D480" i="27"/>
  <c r="D479" i="27"/>
  <c r="D457" i="27"/>
  <c r="D435" i="27"/>
  <c r="D474" i="27"/>
  <c r="D472" i="27"/>
  <c r="D488" i="27"/>
  <c r="D440" i="27"/>
  <c r="D449" i="27"/>
  <c r="D487" i="27"/>
  <c r="D455" i="27"/>
  <c r="D448" i="27"/>
  <c r="D442" i="27"/>
  <c r="D444" i="27"/>
  <c r="D463" i="27"/>
  <c r="D465" i="27"/>
  <c r="D477" i="27"/>
  <c r="D439" i="27"/>
  <c r="D466" i="27"/>
  <c r="D460" i="27"/>
  <c r="D486" i="27"/>
  <c r="D489" i="27"/>
  <c r="D468" i="27"/>
  <c r="D467" i="27"/>
  <c r="D437" i="27"/>
  <c r="D484" i="27"/>
  <c r="D469" i="27"/>
  <c r="D461" i="27"/>
  <c r="D485" i="27"/>
  <c r="D445" i="27"/>
  <c r="D458" i="27"/>
  <c r="D475" i="27"/>
  <c r="D453" i="27"/>
  <c r="D450" i="27"/>
  <c r="D447" i="27"/>
  <c r="D452" i="27"/>
  <c r="D436" i="27"/>
  <c r="D483" i="27"/>
  <c r="D476" i="27"/>
  <c r="D446" i="27"/>
  <c r="D438" i="27"/>
  <c r="D482" i="27"/>
  <c r="D549" i="27"/>
  <c r="D407" i="27"/>
  <c r="D599" i="27"/>
  <c r="D433" i="27"/>
  <c r="D569" i="27"/>
  <c r="D371" i="27"/>
  <c r="D519" i="27"/>
  <c r="D570" i="27"/>
  <c r="D380" i="27"/>
  <c r="D494" i="27"/>
  <c r="D498" i="27"/>
  <c r="D397" i="27"/>
  <c r="D511" i="27"/>
  <c r="D505" i="27"/>
  <c r="D502" i="27"/>
  <c r="D538" i="27"/>
  <c r="D514" i="27"/>
  <c r="D574" i="27"/>
  <c r="D499" i="27"/>
  <c r="D545" i="27"/>
  <c r="D404" i="27"/>
  <c r="D603" i="27"/>
  <c r="D596" i="27"/>
  <c r="D434" i="27"/>
  <c r="D566" i="27"/>
  <c r="D372" i="27"/>
  <c r="D515" i="27"/>
  <c r="D573" i="27"/>
  <c r="D575" i="27"/>
  <c r="D382" i="27"/>
  <c r="D495" i="27"/>
  <c r="D398" i="27"/>
  <c r="D513" i="27"/>
  <c r="D509" i="27"/>
  <c r="D536" i="27"/>
  <c r="D492" i="27"/>
  <c r="D507" i="27"/>
  <c r="D547" i="27"/>
  <c r="D400" i="27"/>
  <c r="D604" i="27"/>
  <c r="D598" i="27"/>
  <c r="D430" i="27"/>
  <c r="D565" i="27"/>
  <c r="D374" i="27"/>
  <c r="D516" i="27"/>
  <c r="D577" i="27"/>
  <c r="D381" i="27"/>
  <c r="D496" i="27"/>
  <c r="D399" i="27"/>
  <c r="D510" i="27"/>
  <c r="D508" i="27"/>
  <c r="D537" i="27"/>
  <c r="D503" i="27"/>
  <c r="D546" i="27"/>
  <c r="D401" i="27"/>
  <c r="D601" i="27"/>
  <c r="D431" i="27"/>
  <c r="D391" i="27"/>
  <c r="D370" i="27"/>
  <c r="D518" i="27"/>
  <c r="D576" i="27"/>
  <c r="D395" i="27"/>
  <c r="D582" i="27"/>
  <c r="D512" i="27"/>
  <c r="D548" i="27"/>
  <c r="D408" i="27"/>
  <c r="D402" i="27"/>
  <c r="D602" i="27"/>
  <c r="D432" i="27"/>
  <c r="D392" i="27"/>
  <c r="D373" i="27"/>
  <c r="D517" i="27"/>
  <c r="D578" i="27"/>
  <c r="D490" i="27"/>
  <c r="D580" i="27"/>
  <c r="D405" i="27"/>
  <c r="D595" i="27"/>
  <c r="D567" i="27"/>
  <c r="D409" i="27"/>
  <c r="D403" i="27"/>
  <c r="D600" i="27"/>
  <c r="D390" i="27"/>
  <c r="D572" i="27"/>
  <c r="D579" i="27"/>
  <c r="D493" i="27"/>
  <c r="D583" i="27"/>
  <c r="D501" i="27"/>
  <c r="D393" i="27"/>
  <c r="D581" i="27"/>
  <c r="D535" i="27"/>
  <c r="D406" i="27"/>
  <c r="D597" i="27"/>
  <c r="D568" i="27"/>
  <c r="D394" i="27"/>
  <c r="D571" i="27"/>
  <c r="D384" i="27"/>
  <c r="D491" i="27"/>
  <c r="D497" i="27"/>
  <c r="D396" i="27"/>
  <c r="D584" i="27"/>
  <c r="D506" i="27"/>
  <c r="D504" i="27"/>
  <c r="D539" i="27"/>
  <c r="D383" i="27"/>
  <c r="D500" i="27"/>
  <c r="D606" i="27"/>
  <c r="D587" i="27"/>
  <c r="D531" i="27"/>
  <c r="D558" i="27"/>
  <c r="D563" i="27"/>
  <c r="D423" i="27"/>
  <c r="D385" i="27"/>
  <c r="D550" i="27"/>
  <c r="D429" i="27"/>
  <c r="D527" i="27"/>
  <c r="D586" i="27"/>
  <c r="D530" i="27"/>
  <c r="D556" i="27"/>
  <c r="D414" i="27"/>
  <c r="D560" i="27"/>
  <c r="D421" i="27"/>
  <c r="D386" i="27"/>
  <c r="D553" i="27"/>
  <c r="D425" i="27"/>
  <c r="D529" i="27"/>
  <c r="D588" i="27"/>
  <c r="D534" i="27"/>
  <c r="D523" i="27"/>
  <c r="D412" i="27"/>
  <c r="D562" i="27"/>
  <c r="D424" i="27"/>
  <c r="D389" i="27"/>
  <c r="D428" i="27"/>
  <c r="D525" i="27"/>
  <c r="D585" i="27"/>
  <c r="D593" i="27"/>
  <c r="D532" i="27"/>
  <c r="D521" i="27"/>
  <c r="D413" i="27"/>
  <c r="D379" i="27"/>
  <c r="D420" i="27"/>
  <c r="D541" i="27"/>
  <c r="D418" i="27"/>
  <c r="D607" i="27"/>
  <c r="D528" i="27"/>
  <c r="D611" i="27"/>
  <c r="D589" i="27"/>
  <c r="D591" i="27"/>
  <c r="D533" i="27"/>
  <c r="D522" i="27"/>
  <c r="D410" i="27"/>
  <c r="D375" i="27"/>
  <c r="D543" i="27"/>
  <c r="D419" i="27"/>
  <c r="D608" i="27"/>
  <c r="D526" i="27"/>
  <c r="D612" i="27"/>
  <c r="D590" i="27"/>
  <c r="D555" i="27"/>
  <c r="D520" i="27"/>
  <c r="D411" i="27"/>
  <c r="D376" i="27"/>
  <c r="D544" i="27"/>
  <c r="D551" i="27"/>
  <c r="D416" i="27"/>
  <c r="D415" i="27"/>
  <c r="D609" i="27"/>
  <c r="D614" i="27"/>
  <c r="D594" i="27"/>
  <c r="D559" i="27"/>
  <c r="D524" i="27"/>
  <c r="D561" i="27"/>
  <c r="D377" i="27"/>
  <c r="D387" i="27"/>
  <c r="D542" i="27"/>
  <c r="D554" i="27"/>
  <c r="D426" i="27"/>
  <c r="D417" i="27"/>
  <c r="D605" i="27"/>
  <c r="D610" i="27"/>
  <c r="D592" i="27"/>
  <c r="D557" i="27"/>
  <c r="D564" i="27"/>
  <c r="D378" i="27"/>
  <c r="D422" i="27"/>
  <c r="D388" i="27"/>
  <c r="D540" i="27"/>
  <c r="D552" i="27"/>
  <c r="D427" i="27"/>
  <c r="I66" i="40"/>
  <c r="AT57" i="26"/>
  <c r="BA120" i="26"/>
  <c r="BA124" i="26"/>
  <c r="BA123" i="26"/>
  <c r="BA122" i="26"/>
  <c r="BA121" i="26"/>
  <c r="BA112" i="26"/>
  <c r="BA114" i="26"/>
  <c r="BA115" i="26"/>
  <c r="BA116" i="26"/>
  <c r="BA113" i="26"/>
  <c r="BA106" i="26"/>
  <c r="BA109" i="26"/>
  <c r="BA102" i="26"/>
  <c r="BA104" i="26"/>
  <c r="BA101" i="26"/>
  <c r="BA103" i="26"/>
  <c r="BA99" i="26"/>
  <c r="BA95" i="26"/>
  <c r="BA92" i="26"/>
  <c r="BA94" i="26"/>
  <c r="BA93" i="26"/>
  <c r="BA88" i="26"/>
  <c r="BA91" i="26"/>
  <c r="BA83" i="26"/>
  <c r="BA85" i="26"/>
  <c r="BA81" i="26"/>
  <c r="BA82" i="26"/>
  <c r="BA78" i="26"/>
  <c r="BA80" i="26"/>
  <c r="BA58" i="26"/>
  <c r="BA57" i="26"/>
  <c r="BA48" i="26"/>
  <c r="BA50" i="26"/>
  <c r="BA39" i="26"/>
  <c r="BA47" i="26"/>
  <c r="BA37" i="26"/>
  <c r="BA38" i="26"/>
  <c r="AV12" i="26"/>
  <c r="AV47" i="26" s="1"/>
  <c r="AX12" i="26"/>
  <c r="AX47" i="26" s="1"/>
  <c r="AW12" i="26"/>
  <c r="AW47" i="26" s="1"/>
  <c r="AY12" i="26"/>
  <c r="AY47" i="26" s="1"/>
  <c r="AU12" i="26"/>
  <c r="AU47" i="26" s="1"/>
  <c r="AT45" i="26"/>
  <c r="AT34" i="26"/>
  <c r="AY36" i="26"/>
  <c r="AU36" i="26"/>
  <c r="AW36" i="26"/>
  <c r="AV36" i="26"/>
  <c r="AT36" i="26"/>
  <c r="AX36" i="26"/>
  <c r="D23" i="13"/>
  <c r="BA73" i="26"/>
  <c r="BA72" i="26"/>
  <c r="BA70" i="26"/>
  <c r="BA71" i="26"/>
  <c r="BA66" i="26"/>
  <c r="BA69" i="26"/>
  <c r="BA59" i="26"/>
  <c r="BA62" i="26"/>
  <c r="BA64" i="26"/>
  <c r="BA63" i="26"/>
  <c r="BA49" i="26"/>
  <c r="BA52" i="26"/>
  <c r="BA54" i="26"/>
  <c r="BA53" i="26"/>
  <c r="BA41" i="26"/>
  <c r="BA45" i="26"/>
  <c r="BA34" i="26"/>
  <c r="BA36" i="26"/>
  <c r="D368" i="27"/>
  <c r="D366" i="27"/>
  <c r="D367" i="27"/>
  <c r="D365" i="27"/>
  <c r="D369" i="27"/>
  <c r="D19" i="26" a="1"/>
  <c r="D7" i="26" a="1"/>
  <c r="D12" i="26" a="1"/>
  <c r="D10" i="26" a="1"/>
  <c r="D8" i="26" a="1"/>
  <c r="D16" i="26" a="1"/>
  <c r="AT58" i="26" l="1"/>
  <c r="AT59" i="26" s="1"/>
  <c r="AT102" i="26"/>
  <c r="AT103" i="26" s="1"/>
  <c r="AT104" i="26" s="1"/>
  <c r="AT48" i="26"/>
  <c r="AT49" i="26" s="1"/>
  <c r="AT50" i="26" s="1"/>
  <c r="AT37" i="26"/>
  <c r="AT38" i="26" s="1"/>
  <c r="D16" i="26"/>
  <c r="D19" i="26"/>
  <c r="D10" i="26"/>
  <c r="D12" i="26"/>
  <c r="D7" i="26"/>
  <c r="D8" i="26"/>
  <c r="AT62" i="26" l="1"/>
  <c r="AT63" i="26" s="1"/>
  <c r="AT39" i="26"/>
  <c r="AT60" i="26"/>
  <c r="AT52" i="26"/>
  <c r="AT53" i="26" s="1"/>
  <c r="G14" i="8"/>
  <c r="AT81" i="26" l="1"/>
  <c r="AT82" i="26" s="1"/>
  <c r="AT83" i="26" s="1"/>
  <c r="AT66" i="40" s="1"/>
  <c r="AU38" i="25"/>
  <c r="AV38" i="25"/>
  <c r="AW38" i="25"/>
  <c r="AX38" i="25"/>
  <c r="AY38" i="25"/>
  <c r="AT51" i="40" l="1" a="1"/>
  <c r="AT51" i="40" s="1"/>
  <c r="AY139" i="25"/>
  <c r="AX139" i="25"/>
  <c r="AW139" i="25"/>
  <c r="AV139" i="25"/>
  <c r="AU139" i="25"/>
  <c r="AT139" i="25"/>
  <c r="AS139" i="25"/>
  <c r="AR139" i="25"/>
  <c r="AQ139" i="25"/>
  <c r="AP139" i="25"/>
  <c r="AO139" i="25"/>
  <c r="AN139" i="25"/>
  <c r="AM139" i="25"/>
  <c r="AL139" i="25"/>
  <c r="AK139" i="25"/>
  <c r="AJ139" i="25"/>
  <c r="AI139" i="25"/>
  <c r="AH139" i="25"/>
  <c r="AG139" i="25"/>
  <c r="AF139" i="25"/>
  <c r="AE139" i="25"/>
  <c r="AD139" i="25"/>
  <c r="AC139" i="25"/>
  <c r="AB139" i="25"/>
  <c r="AA139" i="25"/>
  <c r="Z139" i="25"/>
  <c r="Y139" i="25"/>
  <c r="X139" i="25"/>
  <c r="AX138" i="25"/>
  <c r="AW138" i="25"/>
  <c r="AV138" i="25"/>
  <c r="AU138" i="25"/>
  <c r="AT138" i="25"/>
  <c r="AS138" i="25"/>
  <c r="AR138" i="25"/>
  <c r="AQ138" i="25"/>
  <c r="AP138" i="25"/>
  <c r="AO138" i="25"/>
  <c r="AN138" i="25"/>
  <c r="AM138" i="25"/>
  <c r="AL138" i="25"/>
  <c r="AK138" i="25"/>
  <c r="AJ138" i="25"/>
  <c r="AI138" i="25"/>
  <c r="AH138" i="25"/>
  <c r="AG138" i="25"/>
  <c r="AF138" i="25"/>
  <c r="AE138" i="25"/>
  <c r="AD138" i="25"/>
  <c r="AC138" i="25"/>
  <c r="AB138" i="25"/>
  <c r="AA138" i="25"/>
  <c r="Z138" i="25"/>
  <c r="Y138" i="25"/>
  <c r="X138" i="25"/>
  <c r="AW137" i="25"/>
  <c r="AV137" i="25"/>
  <c r="AU137" i="25"/>
  <c r="AT137" i="25"/>
  <c r="AS137" i="25"/>
  <c r="AR137" i="25"/>
  <c r="AQ137" i="25"/>
  <c r="AP137" i="25"/>
  <c r="AO137" i="25"/>
  <c r="AN137" i="25"/>
  <c r="AM137" i="25"/>
  <c r="AL137" i="25"/>
  <c r="AK137" i="25"/>
  <c r="AJ137" i="25"/>
  <c r="AI137" i="25"/>
  <c r="AH137" i="25"/>
  <c r="AG137" i="25"/>
  <c r="AF137" i="25"/>
  <c r="AE137" i="25"/>
  <c r="AD137" i="25"/>
  <c r="AC137" i="25"/>
  <c r="AB137" i="25"/>
  <c r="AA137" i="25"/>
  <c r="Z137" i="25"/>
  <c r="Y137" i="25"/>
  <c r="X137" i="25"/>
  <c r="AV136" i="25"/>
  <c r="AU136" i="25"/>
  <c r="AT136" i="25"/>
  <c r="AS136" i="25"/>
  <c r="AR136" i="25"/>
  <c r="AQ136" i="25"/>
  <c r="AP136" i="25"/>
  <c r="AO136" i="25"/>
  <c r="AN136" i="25"/>
  <c r="AM136" i="25"/>
  <c r="AL136" i="25"/>
  <c r="AK136" i="25"/>
  <c r="AJ136" i="25"/>
  <c r="AI136" i="25"/>
  <c r="AH136" i="25"/>
  <c r="AG136" i="25"/>
  <c r="AF136" i="25"/>
  <c r="AE136" i="25"/>
  <c r="AD136" i="25"/>
  <c r="AC136" i="25"/>
  <c r="AB136" i="25"/>
  <c r="AA136" i="25"/>
  <c r="Z136" i="25"/>
  <c r="Y136" i="25"/>
  <c r="X136" i="25"/>
  <c r="AU135" i="25"/>
  <c r="AT135" i="25"/>
  <c r="AS135" i="25"/>
  <c r="AR135" i="25"/>
  <c r="AQ135" i="25"/>
  <c r="AP135" i="25"/>
  <c r="AO135" i="25"/>
  <c r="AN135" i="25"/>
  <c r="AM135" i="25"/>
  <c r="AL135" i="25"/>
  <c r="AK135" i="25"/>
  <c r="AJ135" i="25"/>
  <c r="AI135" i="25"/>
  <c r="AH135" i="25"/>
  <c r="AG135" i="25"/>
  <c r="AF135" i="25"/>
  <c r="AE135" i="25"/>
  <c r="AD135" i="25"/>
  <c r="AC135" i="25"/>
  <c r="AB135" i="25"/>
  <c r="AA135" i="25"/>
  <c r="Z135" i="25"/>
  <c r="Y135" i="25"/>
  <c r="X135" i="25"/>
  <c r="AT134" i="25"/>
  <c r="AS134" i="25"/>
  <c r="AR134" i="25"/>
  <c r="AQ134" i="25"/>
  <c r="AP134" i="25"/>
  <c r="AO134" i="25"/>
  <c r="AN134" i="25"/>
  <c r="AM134" i="25"/>
  <c r="AL134" i="25"/>
  <c r="AK134" i="25"/>
  <c r="AJ134" i="25"/>
  <c r="AI134" i="25"/>
  <c r="AH134" i="25"/>
  <c r="AG134" i="25"/>
  <c r="AF134" i="25"/>
  <c r="AE134" i="25"/>
  <c r="AD134" i="25"/>
  <c r="AC134" i="25"/>
  <c r="AB134" i="25"/>
  <c r="AA134" i="25"/>
  <c r="Z134" i="25"/>
  <c r="Y134" i="25"/>
  <c r="X134" i="25"/>
  <c r="AT133" i="25"/>
  <c r="AS133" i="25"/>
  <c r="AR133" i="25"/>
  <c r="AQ133" i="25"/>
  <c r="AP133" i="25"/>
  <c r="AO133" i="25"/>
  <c r="AN133" i="25"/>
  <c r="AM133" i="25"/>
  <c r="AL133" i="25"/>
  <c r="AK133" i="25"/>
  <c r="AJ133" i="25"/>
  <c r="AI133" i="25"/>
  <c r="AH133" i="25"/>
  <c r="AG133" i="25"/>
  <c r="AF133" i="25"/>
  <c r="AE133" i="25"/>
  <c r="AD133" i="25"/>
  <c r="AC133" i="25"/>
  <c r="AB133" i="25"/>
  <c r="AA133" i="25"/>
  <c r="Z133" i="25"/>
  <c r="Y133" i="25"/>
  <c r="X133" i="25"/>
  <c r="AT132" i="25"/>
  <c r="AS132" i="25"/>
  <c r="AR132" i="25"/>
  <c r="AQ132" i="25"/>
  <c r="AP132" i="25"/>
  <c r="AO132" i="25"/>
  <c r="AN132" i="25"/>
  <c r="AM132" i="25"/>
  <c r="AL132" i="25"/>
  <c r="AK132" i="25"/>
  <c r="AJ132" i="25"/>
  <c r="AI132" i="25"/>
  <c r="AH132" i="25"/>
  <c r="AG132" i="25"/>
  <c r="AF132" i="25"/>
  <c r="AE132" i="25"/>
  <c r="AD132" i="25"/>
  <c r="AC132" i="25"/>
  <c r="AB132" i="25"/>
  <c r="AA132" i="25"/>
  <c r="Z132" i="25"/>
  <c r="Y132" i="25"/>
  <c r="X132" i="25"/>
  <c r="AT131" i="25"/>
  <c r="AS131" i="25"/>
  <c r="AR131" i="25"/>
  <c r="AQ131" i="25"/>
  <c r="AP131" i="25"/>
  <c r="AO131" i="25"/>
  <c r="AN131" i="25"/>
  <c r="AM131" i="25"/>
  <c r="AL131" i="25"/>
  <c r="AK131" i="25"/>
  <c r="AJ131" i="25"/>
  <c r="AI131" i="25"/>
  <c r="AH131" i="25"/>
  <c r="AG131" i="25"/>
  <c r="AF131" i="25"/>
  <c r="AE131" i="25"/>
  <c r="AD131" i="25"/>
  <c r="AC131" i="25"/>
  <c r="AB131" i="25"/>
  <c r="AA131" i="25"/>
  <c r="Z131" i="25"/>
  <c r="Y131" i="25"/>
  <c r="X131" i="25"/>
  <c r="AT130" i="25"/>
  <c r="AS130" i="25"/>
  <c r="AR130" i="25"/>
  <c r="AQ130" i="25"/>
  <c r="AP130" i="25"/>
  <c r="AO130" i="25"/>
  <c r="AN130" i="25"/>
  <c r="AM130" i="25"/>
  <c r="AL130" i="25"/>
  <c r="AK130" i="25"/>
  <c r="AJ130" i="25"/>
  <c r="AI130" i="25"/>
  <c r="AH130" i="25"/>
  <c r="AG130" i="25"/>
  <c r="AF130" i="25"/>
  <c r="AE130" i="25"/>
  <c r="AD130" i="25"/>
  <c r="AC130" i="25"/>
  <c r="AB130" i="25"/>
  <c r="AA130" i="25"/>
  <c r="Z130" i="25"/>
  <c r="Y130" i="25"/>
  <c r="X130" i="25"/>
  <c r="AT129" i="25"/>
  <c r="AS129" i="25"/>
  <c r="AR129" i="25"/>
  <c r="AQ129" i="25"/>
  <c r="AP129" i="25"/>
  <c r="AO129" i="25"/>
  <c r="AN129" i="25"/>
  <c r="AM129" i="25"/>
  <c r="AL129" i="25"/>
  <c r="AK129" i="25"/>
  <c r="AJ129" i="25"/>
  <c r="AI129" i="25"/>
  <c r="AH129" i="25"/>
  <c r="AG129" i="25"/>
  <c r="AF129" i="25"/>
  <c r="AE129" i="25"/>
  <c r="AD129" i="25"/>
  <c r="AC129" i="25"/>
  <c r="AB129" i="25"/>
  <c r="AA129" i="25"/>
  <c r="Z129" i="25"/>
  <c r="Y129" i="25"/>
  <c r="X129" i="25"/>
  <c r="AT128" i="25"/>
  <c r="AS128" i="25"/>
  <c r="AR128" i="25"/>
  <c r="AQ128" i="25"/>
  <c r="AP128" i="25"/>
  <c r="AO128" i="25"/>
  <c r="AN128" i="25"/>
  <c r="AM128" i="25"/>
  <c r="AL128" i="25"/>
  <c r="AK128" i="25"/>
  <c r="AJ128" i="25"/>
  <c r="AI128" i="25"/>
  <c r="AH128" i="25"/>
  <c r="AG128" i="25"/>
  <c r="AF128" i="25"/>
  <c r="AE128" i="25"/>
  <c r="AD128" i="25"/>
  <c r="AC128" i="25"/>
  <c r="AB128" i="25"/>
  <c r="AA128" i="25"/>
  <c r="Z128" i="25"/>
  <c r="Y128" i="25"/>
  <c r="X128" i="25"/>
  <c r="AT127" i="25"/>
  <c r="AS127" i="25"/>
  <c r="AR127" i="25"/>
  <c r="AQ127" i="25"/>
  <c r="AP127" i="25"/>
  <c r="AO127" i="25"/>
  <c r="AN127" i="25"/>
  <c r="AM127" i="25"/>
  <c r="AL127" i="25"/>
  <c r="AK127" i="25"/>
  <c r="AJ127" i="25"/>
  <c r="AI127" i="25"/>
  <c r="AH127" i="25"/>
  <c r="AG127" i="25"/>
  <c r="AF127" i="25"/>
  <c r="AE127" i="25"/>
  <c r="AD127" i="25"/>
  <c r="AC127" i="25"/>
  <c r="AB127" i="25"/>
  <c r="AA127" i="25"/>
  <c r="Z127" i="25"/>
  <c r="Y127" i="25"/>
  <c r="X127" i="25"/>
  <c r="AT126" i="25"/>
  <c r="AS126" i="25"/>
  <c r="AR126" i="25"/>
  <c r="AQ126" i="25"/>
  <c r="AP126" i="25"/>
  <c r="AO126" i="25"/>
  <c r="AN126" i="25"/>
  <c r="AM126" i="25"/>
  <c r="AL126" i="25"/>
  <c r="AK126" i="25"/>
  <c r="AJ126" i="25"/>
  <c r="AI126" i="25"/>
  <c r="AH126" i="25"/>
  <c r="AG126" i="25"/>
  <c r="AF126" i="25"/>
  <c r="AE126" i="25"/>
  <c r="AD126" i="25"/>
  <c r="AC126" i="25"/>
  <c r="AB126" i="25"/>
  <c r="AA126" i="25"/>
  <c r="Z126" i="25"/>
  <c r="Y126" i="25"/>
  <c r="X126" i="25"/>
  <c r="AT125" i="25"/>
  <c r="AS125" i="25"/>
  <c r="AR125" i="25"/>
  <c r="AQ125" i="25"/>
  <c r="AP125" i="25"/>
  <c r="AO125" i="25"/>
  <c r="AN125" i="25"/>
  <c r="AM125" i="25"/>
  <c r="AL125" i="25"/>
  <c r="AK125" i="25"/>
  <c r="AJ125" i="25"/>
  <c r="AI125" i="25"/>
  <c r="AH125" i="25"/>
  <c r="AG125" i="25"/>
  <c r="AF125" i="25"/>
  <c r="AE125" i="25"/>
  <c r="AD125" i="25"/>
  <c r="AC125" i="25"/>
  <c r="AB125" i="25"/>
  <c r="AA125" i="25"/>
  <c r="Z125" i="25"/>
  <c r="Y125" i="25"/>
  <c r="X125" i="25"/>
  <c r="AT124" i="25"/>
  <c r="AS124" i="25"/>
  <c r="AR124" i="25"/>
  <c r="AQ124" i="25"/>
  <c r="AP124" i="25"/>
  <c r="AO124" i="25"/>
  <c r="AN124" i="25"/>
  <c r="AM124" i="25"/>
  <c r="AL124" i="25"/>
  <c r="AK124" i="25"/>
  <c r="AJ124" i="25"/>
  <c r="AI124" i="25"/>
  <c r="AH124" i="25"/>
  <c r="AG124" i="25"/>
  <c r="AF124" i="25"/>
  <c r="AE124" i="25"/>
  <c r="AD124" i="25"/>
  <c r="AC124" i="25"/>
  <c r="AB124" i="25"/>
  <c r="AA124" i="25"/>
  <c r="Z124" i="25"/>
  <c r="Y124" i="25"/>
  <c r="X124" i="25"/>
  <c r="AT123" i="25"/>
  <c r="AS123" i="25"/>
  <c r="AR123" i="25"/>
  <c r="AQ123" i="25"/>
  <c r="AP123" i="25"/>
  <c r="AO123" i="25"/>
  <c r="AN123" i="25"/>
  <c r="AM123" i="25"/>
  <c r="AL123" i="25"/>
  <c r="AK123" i="25"/>
  <c r="AJ123" i="25"/>
  <c r="AI123" i="25"/>
  <c r="AH123" i="25"/>
  <c r="AG123" i="25"/>
  <c r="AF123" i="25"/>
  <c r="AE123" i="25"/>
  <c r="AD123" i="25"/>
  <c r="AC123" i="25"/>
  <c r="AB123" i="25"/>
  <c r="AA123" i="25"/>
  <c r="Z123" i="25"/>
  <c r="Y123" i="25"/>
  <c r="X123" i="25"/>
  <c r="AT122" i="25"/>
  <c r="AS122" i="25"/>
  <c r="AR122" i="25"/>
  <c r="AQ122" i="25"/>
  <c r="AP122" i="25"/>
  <c r="AO122" i="25"/>
  <c r="AN122" i="25"/>
  <c r="AM122" i="25"/>
  <c r="AL122" i="25"/>
  <c r="AK122" i="25"/>
  <c r="AJ122" i="25"/>
  <c r="AI122" i="25"/>
  <c r="AH122" i="25"/>
  <c r="AG122" i="25"/>
  <c r="AF122" i="25"/>
  <c r="AE122" i="25"/>
  <c r="AD122" i="25"/>
  <c r="AC122" i="25"/>
  <c r="AB122" i="25"/>
  <c r="AA122" i="25"/>
  <c r="Z122" i="25"/>
  <c r="Y122" i="25"/>
  <c r="X122" i="25"/>
  <c r="AT121" i="25"/>
  <c r="AS121" i="25"/>
  <c r="AR121" i="25"/>
  <c r="AQ121" i="25"/>
  <c r="AP121" i="25"/>
  <c r="AO121" i="25"/>
  <c r="AN121" i="25"/>
  <c r="AM121" i="25"/>
  <c r="AL121" i="25"/>
  <c r="AK121" i="25"/>
  <c r="AJ121" i="25"/>
  <c r="AI121" i="25"/>
  <c r="AH121" i="25"/>
  <c r="AG121" i="25"/>
  <c r="AF121" i="25"/>
  <c r="AE121" i="25"/>
  <c r="AD121" i="25"/>
  <c r="AC121" i="25"/>
  <c r="AB121" i="25"/>
  <c r="AA121" i="25"/>
  <c r="Z121" i="25"/>
  <c r="Y121" i="25"/>
  <c r="X121" i="25"/>
  <c r="AT120" i="25"/>
  <c r="AS120" i="25"/>
  <c r="AR120" i="25"/>
  <c r="AQ120" i="25"/>
  <c r="AP120" i="25"/>
  <c r="AO120" i="25"/>
  <c r="AN120" i="25"/>
  <c r="AM120" i="25"/>
  <c r="AL120" i="25"/>
  <c r="AK120" i="25"/>
  <c r="AJ120" i="25"/>
  <c r="AI120" i="25"/>
  <c r="AH120" i="25"/>
  <c r="AG120" i="25"/>
  <c r="AF120" i="25"/>
  <c r="AE120" i="25"/>
  <c r="AD120" i="25"/>
  <c r="AC120" i="25"/>
  <c r="AB120" i="25"/>
  <c r="AA120" i="25"/>
  <c r="Z120" i="25"/>
  <c r="Y120" i="25"/>
  <c r="X120" i="25"/>
  <c r="AT119" i="25"/>
  <c r="AS119" i="25"/>
  <c r="AR119" i="25"/>
  <c r="AQ119" i="25"/>
  <c r="AP119" i="25"/>
  <c r="AO119" i="25"/>
  <c r="AN119" i="25"/>
  <c r="AM119" i="25"/>
  <c r="AL119" i="25"/>
  <c r="AK119" i="25"/>
  <c r="AJ119" i="25"/>
  <c r="AI119" i="25"/>
  <c r="AH119" i="25"/>
  <c r="AG119" i="25"/>
  <c r="AF119" i="25"/>
  <c r="AE119" i="25"/>
  <c r="AD119" i="25"/>
  <c r="AC119" i="25"/>
  <c r="AB119" i="25"/>
  <c r="AA119" i="25"/>
  <c r="Z119" i="25"/>
  <c r="Y119" i="25"/>
  <c r="X119" i="25"/>
  <c r="AT118" i="25"/>
  <c r="AS118" i="25"/>
  <c r="AR118" i="25"/>
  <c r="AQ118" i="25"/>
  <c r="AP118" i="25"/>
  <c r="AO118" i="25"/>
  <c r="AN118" i="25"/>
  <c r="AM118" i="25"/>
  <c r="AL118" i="25"/>
  <c r="AK118" i="25"/>
  <c r="AJ118" i="25"/>
  <c r="AI118" i="25"/>
  <c r="AH118" i="25"/>
  <c r="AG118" i="25"/>
  <c r="AF118" i="25"/>
  <c r="AE118" i="25"/>
  <c r="AD118" i="25"/>
  <c r="AC118" i="25"/>
  <c r="AB118" i="25"/>
  <c r="AA118" i="25"/>
  <c r="Z118" i="25"/>
  <c r="Y118" i="25"/>
  <c r="X118" i="25"/>
  <c r="AT117" i="25"/>
  <c r="AS117" i="25"/>
  <c r="AR117" i="25"/>
  <c r="AQ117" i="25"/>
  <c r="AP117" i="25"/>
  <c r="AO117" i="25"/>
  <c r="AN117" i="25"/>
  <c r="AM117" i="25"/>
  <c r="AL117" i="25"/>
  <c r="AK117" i="25"/>
  <c r="AJ117" i="25"/>
  <c r="AI117" i="25"/>
  <c r="AH117" i="25"/>
  <c r="AG117" i="25"/>
  <c r="AF117" i="25"/>
  <c r="AE117" i="25"/>
  <c r="AD117" i="25"/>
  <c r="AC117" i="25"/>
  <c r="AB117" i="25"/>
  <c r="AA117" i="25"/>
  <c r="Z117" i="25"/>
  <c r="Y117" i="25"/>
  <c r="X117" i="25"/>
  <c r="AT116" i="25"/>
  <c r="AS116" i="25"/>
  <c r="AR116" i="25"/>
  <c r="AQ116" i="25"/>
  <c r="AP116" i="25"/>
  <c r="AO116" i="25"/>
  <c r="AN116" i="25"/>
  <c r="AM116" i="25"/>
  <c r="AL116" i="25"/>
  <c r="AK116" i="25"/>
  <c r="AJ116" i="25"/>
  <c r="AI116" i="25"/>
  <c r="AH116" i="25"/>
  <c r="AG116" i="25"/>
  <c r="AF116" i="25"/>
  <c r="AE116" i="25"/>
  <c r="AD116" i="25"/>
  <c r="AC116" i="25"/>
  <c r="AB116" i="25"/>
  <c r="AA116" i="25"/>
  <c r="Z116" i="25"/>
  <c r="Y116" i="25"/>
  <c r="X116" i="25"/>
  <c r="AT115" i="25"/>
  <c r="AS115" i="25"/>
  <c r="AR115" i="25"/>
  <c r="AQ115" i="25"/>
  <c r="AP115" i="25"/>
  <c r="AO115" i="25"/>
  <c r="AN115" i="25"/>
  <c r="AM115" i="25"/>
  <c r="AL115" i="25"/>
  <c r="AK115" i="25"/>
  <c r="AJ115" i="25"/>
  <c r="AI115" i="25"/>
  <c r="AH115" i="25"/>
  <c r="AG115" i="25"/>
  <c r="AF115" i="25"/>
  <c r="AE115" i="25"/>
  <c r="AD115" i="25"/>
  <c r="AC115" i="25"/>
  <c r="AB115" i="25"/>
  <c r="AA115" i="25"/>
  <c r="Z115" i="25"/>
  <c r="Y115" i="25"/>
  <c r="X115" i="25"/>
  <c r="AT114" i="25"/>
  <c r="AS114" i="25"/>
  <c r="AR114" i="25"/>
  <c r="AQ114" i="25"/>
  <c r="AP114" i="25"/>
  <c r="AO114" i="25"/>
  <c r="AN114" i="25"/>
  <c r="AM114" i="25"/>
  <c r="AL114" i="25"/>
  <c r="AK114" i="25"/>
  <c r="AJ114" i="25"/>
  <c r="AI114" i="25"/>
  <c r="AH114" i="25"/>
  <c r="AG114" i="25"/>
  <c r="AF114" i="25"/>
  <c r="AE114" i="25"/>
  <c r="AD114" i="25"/>
  <c r="AC114" i="25"/>
  <c r="AB114" i="25"/>
  <c r="AA114" i="25"/>
  <c r="Z114" i="25"/>
  <c r="Y114" i="25"/>
  <c r="X114" i="25"/>
  <c r="AT113" i="25"/>
  <c r="AS113" i="25"/>
  <c r="AR113" i="25"/>
  <c r="AQ113" i="25"/>
  <c r="AP113" i="25"/>
  <c r="AO113" i="25"/>
  <c r="AN113" i="25"/>
  <c r="AM113" i="25"/>
  <c r="AL113" i="25"/>
  <c r="AK113" i="25"/>
  <c r="AJ113" i="25"/>
  <c r="AI113" i="25"/>
  <c r="AH113" i="25"/>
  <c r="AG113" i="25"/>
  <c r="AF113" i="25"/>
  <c r="AE113" i="25"/>
  <c r="AD113" i="25"/>
  <c r="AC113" i="25"/>
  <c r="AB113" i="25"/>
  <c r="AA113" i="25"/>
  <c r="Z113" i="25"/>
  <c r="Y113" i="25"/>
  <c r="X113" i="25"/>
  <c r="AT112" i="25"/>
  <c r="AS112" i="25"/>
  <c r="AR112" i="25"/>
  <c r="AQ112" i="25"/>
  <c r="AP112" i="25"/>
  <c r="AO112" i="25"/>
  <c r="AN112" i="25"/>
  <c r="AM112" i="25"/>
  <c r="AL112" i="25"/>
  <c r="AK112" i="25"/>
  <c r="AJ112" i="25"/>
  <c r="AI112" i="25"/>
  <c r="AH112" i="25"/>
  <c r="AG112" i="25"/>
  <c r="AF112" i="25"/>
  <c r="AE112" i="25"/>
  <c r="AD112" i="25"/>
  <c r="AC112" i="25"/>
  <c r="AB112" i="25"/>
  <c r="AA112" i="25"/>
  <c r="Z112" i="25"/>
  <c r="Y112" i="25"/>
  <c r="X112" i="25"/>
  <c r="AT111" i="25"/>
  <c r="AS111" i="25"/>
  <c r="AR111" i="25"/>
  <c r="AQ111" i="25"/>
  <c r="AP111" i="25"/>
  <c r="AO111" i="25"/>
  <c r="AN111" i="25"/>
  <c r="AM111" i="25"/>
  <c r="AL111" i="25"/>
  <c r="AK111" i="25"/>
  <c r="AJ111" i="25"/>
  <c r="AI111" i="25"/>
  <c r="AH111" i="25"/>
  <c r="AG111" i="25"/>
  <c r="AF111" i="25"/>
  <c r="AE111" i="25"/>
  <c r="AD111" i="25"/>
  <c r="AC111" i="25"/>
  <c r="AB111" i="25"/>
  <c r="AA111" i="25"/>
  <c r="Z111" i="25"/>
  <c r="Y111" i="25"/>
  <c r="X111" i="25"/>
  <c r="AX28" i="25" l="1"/>
  <c r="AW28" i="25"/>
  <c r="AV28" i="25"/>
  <c r="AU28" i="25"/>
  <c r="AY74" i="25"/>
  <c r="AT73" i="25"/>
  <c r="AO71" i="25"/>
  <c r="AP70" i="25"/>
  <c r="AN69" i="25"/>
  <c r="AB67" i="25"/>
  <c r="AM66" i="25"/>
  <c r="AP65" i="25"/>
  <c r="AC64" i="25"/>
  <c r="AK63" i="25"/>
  <c r="AK62" i="25"/>
  <c r="AJ61" i="25"/>
  <c r="AA60" i="25"/>
  <c r="AF59" i="25"/>
  <c r="AI58" i="25"/>
  <c r="AD57" i="25"/>
  <c r="AG56" i="25"/>
  <c r="Y55" i="25"/>
  <c r="X53" i="25"/>
  <c r="AC52" i="25"/>
  <c r="AA51" i="25"/>
  <c r="Z49" i="25"/>
  <c r="Y69" i="25" l="1"/>
  <c r="AC61" i="25"/>
  <c r="AP71" i="25"/>
  <c r="AB51" i="25"/>
  <c r="AN66" i="25"/>
  <c r="Y53" i="25"/>
  <c r="Z55" i="25"/>
  <c r="AB58" i="25"/>
  <c r="AO69" i="25"/>
  <c r="Z71" i="25"/>
  <c r="AL63" i="25"/>
  <c r="AB74" i="25"/>
  <c r="X66" i="25"/>
  <c r="AJ74" i="25"/>
  <c r="Z70" i="25"/>
  <c r="AF56" i="25"/>
  <c r="Y56" i="25"/>
  <c r="AJ64" i="25"/>
  <c r="AK64" i="25"/>
  <c r="AV72" i="25"/>
  <c r="Y72" i="25"/>
  <c r="AW72" i="25"/>
  <c r="Y54" i="25"/>
  <c r="Z54" i="25"/>
  <c r="AE59" i="25"/>
  <c r="X59" i="25"/>
  <c r="AQ67" i="25"/>
  <c r="AJ67" i="25"/>
  <c r="AR67" i="25"/>
  <c r="AG72" i="25"/>
  <c r="AH60" i="25"/>
  <c r="AI60" i="25"/>
  <c r="AO70" i="25"/>
  <c r="AH70" i="25"/>
  <c r="AL68" i="25"/>
  <c r="AM68" i="25"/>
  <c r="AD62" i="25"/>
  <c r="AE68" i="25"/>
  <c r="AO72" i="25"/>
  <c r="AL62" i="25"/>
  <c r="X50" i="25"/>
  <c r="AD63" i="25"/>
  <c r="AH71" i="25"/>
  <c r="AR74" i="25"/>
  <c r="AK61" i="25"/>
  <c r="AF66" i="25"/>
  <c r="AG69" i="25"/>
  <c r="Y50" i="25"/>
  <c r="X52" i="25"/>
  <c r="Z53" i="25"/>
  <c r="AA54" i="25"/>
  <c r="AA55" i="25"/>
  <c r="Z56" i="25"/>
  <c r="X57" i="25"/>
  <c r="AF57" i="25"/>
  <c r="AC58" i="25"/>
  <c r="Y59" i="25"/>
  <c r="AG59" i="25"/>
  <c r="AB60" i="25"/>
  <c r="AJ60" i="25"/>
  <c r="AD61" i="25"/>
  <c r="AL61" i="25"/>
  <c r="AE62" i="25"/>
  <c r="AM62" i="25"/>
  <c r="AE63" i="25"/>
  <c r="AM63" i="25"/>
  <c r="AD64" i="25"/>
  <c r="AL64" i="25"/>
  <c r="AB65" i="25"/>
  <c r="AJ65" i="25"/>
  <c r="Y66" i="25"/>
  <c r="AG66" i="25"/>
  <c r="AO66" i="25"/>
  <c r="AC67" i="25"/>
  <c r="AK67" i="25"/>
  <c r="X68" i="25"/>
  <c r="AF68" i="25"/>
  <c r="AN68" i="25"/>
  <c r="Z69" i="25"/>
  <c r="AH69" i="25"/>
  <c r="AP69" i="25"/>
  <c r="AA70" i="25"/>
  <c r="AI70" i="25"/>
  <c r="AQ70" i="25"/>
  <c r="AA71" i="25"/>
  <c r="AI71" i="25"/>
  <c r="AQ71" i="25"/>
  <c r="Z72" i="25"/>
  <c r="AH72" i="25"/>
  <c r="AP72" i="25"/>
  <c r="X73" i="25"/>
  <c r="AF73" i="25"/>
  <c r="AN73" i="25"/>
  <c r="AV73" i="25"/>
  <c r="AC74" i="25"/>
  <c r="AK74" i="25"/>
  <c r="AS74" i="25"/>
  <c r="AE57" i="25"/>
  <c r="X47" i="25"/>
  <c r="Z50" i="25"/>
  <c r="Y52" i="25"/>
  <c r="AA53" i="25"/>
  <c r="AB54" i="25"/>
  <c r="AB55" i="25"/>
  <c r="AA56" i="25"/>
  <c r="Y57" i="25"/>
  <c r="AG57" i="25"/>
  <c r="AD58" i="25"/>
  <c r="Z59" i="25"/>
  <c r="AH59" i="25"/>
  <c r="AC60" i="25"/>
  <c r="AK60" i="25"/>
  <c r="AE61" i="25"/>
  <c r="X62" i="25"/>
  <c r="AF62" i="25"/>
  <c r="X63" i="25"/>
  <c r="AF63" i="25"/>
  <c r="AN63" i="25"/>
  <c r="AE64" i="25"/>
  <c r="AM64" i="25"/>
  <c r="AC65" i="25"/>
  <c r="AK65" i="25"/>
  <c r="Z66" i="25"/>
  <c r="AH66" i="25"/>
  <c r="AP66" i="25"/>
  <c r="AD67" i="25"/>
  <c r="AL67" i="25"/>
  <c r="Y68" i="25"/>
  <c r="AG68" i="25"/>
  <c r="AO68" i="25"/>
  <c r="AA69" i="25"/>
  <c r="AI69" i="25"/>
  <c r="AQ69" i="25"/>
  <c r="AB70" i="25"/>
  <c r="AJ70" i="25"/>
  <c r="AR70" i="25"/>
  <c r="AB71" i="25"/>
  <c r="AJ71" i="25"/>
  <c r="AR71" i="25"/>
  <c r="AA72" i="25"/>
  <c r="AI72" i="25"/>
  <c r="AQ72" i="25"/>
  <c r="Y73" i="25"/>
  <c r="AG73" i="25"/>
  <c r="AO73" i="25"/>
  <c r="AW73" i="25"/>
  <c r="AD74" i="25"/>
  <c r="AL74" i="25"/>
  <c r="AT74" i="25"/>
  <c r="AU73" i="25"/>
  <c r="X48" i="25"/>
  <c r="AA50" i="25"/>
  <c r="Z52" i="25"/>
  <c r="AB53" i="25"/>
  <c r="AC54" i="25"/>
  <c r="AC55" i="25"/>
  <c r="AB56" i="25"/>
  <c r="Z57" i="25"/>
  <c r="AH57" i="25"/>
  <c r="AE58" i="25"/>
  <c r="AA59" i="25"/>
  <c r="AI59" i="25"/>
  <c r="AD60" i="25"/>
  <c r="X61" i="25"/>
  <c r="AF61" i="25"/>
  <c r="Y62" i="25"/>
  <c r="AG62" i="25"/>
  <c r="Y63" i="25"/>
  <c r="AG63" i="25"/>
  <c r="X64" i="25"/>
  <c r="AF64" i="25"/>
  <c r="AN64" i="25"/>
  <c r="AD65" i="25"/>
  <c r="AL65" i="25"/>
  <c r="AA66" i="25"/>
  <c r="AI66" i="25"/>
  <c r="AQ66" i="25"/>
  <c r="AE67" i="25"/>
  <c r="AM67" i="25"/>
  <c r="Z68" i="25"/>
  <c r="AH68" i="25"/>
  <c r="AP68" i="25"/>
  <c r="AB69" i="25"/>
  <c r="AJ69" i="25"/>
  <c r="AR69" i="25"/>
  <c r="AC70" i="25"/>
  <c r="AK70" i="25"/>
  <c r="AS70" i="25"/>
  <c r="AC71" i="25"/>
  <c r="AK71" i="25"/>
  <c r="AS71" i="25"/>
  <c r="AB72" i="25"/>
  <c r="AJ72" i="25"/>
  <c r="AR72" i="25"/>
  <c r="Z73" i="25"/>
  <c r="AH73" i="25"/>
  <c r="AP73" i="25"/>
  <c r="AX73" i="25"/>
  <c r="AE74" i="25"/>
  <c r="AM74" i="25"/>
  <c r="AU74" i="25"/>
  <c r="AE73" i="25"/>
  <c r="Y48" i="25"/>
  <c r="X51" i="25"/>
  <c r="AA52" i="25"/>
  <c r="AC53" i="25"/>
  <c r="AD54" i="25"/>
  <c r="AD55" i="25"/>
  <c r="AC56" i="25"/>
  <c r="AA57" i="25"/>
  <c r="X58" i="25"/>
  <c r="AF58" i="25"/>
  <c r="AB59" i="25"/>
  <c r="AJ59" i="25"/>
  <c r="AE60" i="25"/>
  <c r="Y61" i="25"/>
  <c r="AG61" i="25"/>
  <c r="Z62" i="25"/>
  <c r="AH62" i="25"/>
  <c r="Z63" i="25"/>
  <c r="AH63" i="25"/>
  <c r="Y64" i="25"/>
  <c r="AG64" i="25"/>
  <c r="AO64" i="25"/>
  <c r="AE65" i="25"/>
  <c r="AM65" i="25"/>
  <c r="AB66" i="25"/>
  <c r="AJ66" i="25"/>
  <c r="X67" i="25"/>
  <c r="AF67" i="25"/>
  <c r="AN67" i="25"/>
  <c r="AA68" i="25"/>
  <c r="AI68" i="25"/>
  <c r="AQ68" i="25"/>
  <c r="AC69" i="25"/>
  <c r="AK69" i="25"/>
  <c r="AS69" i="25"/>
  <c r="AD70" i="25"/>
  <c r="AL70" i="25"/>
  <c r="AT70" i="25"/>
  <c r="AD71" i="25"/>
  <c r="AL71" i="25"/>
  <c r="AT71" i="25"/>
  <c r="AC72" i="25"/>
  <c r="AK72" i="25"/>
  <c r="AS72" i="25"/>
  <c r="AA73" i="25"/>
  <c r="AI73" i="25"/>
  <c r="AQ73" i="25"/>
  <c r="X74" i="25"/>
  <c r="AF74" i="25"/>
  <c r="AN74" i="25"/>
  <c r="AV74" i="25"/>
  <c r="AA65" i="25"/>
  <c r="X49" i="25"/>
  <c r="Y51" i="25"/>
  <c r="AB52" i="25"/>
  <c r="AD53" i="25"/>
  <c r="AE54" i="25"/>
  <c r="AE55" i="25"/>
  <c r="AD56" i="25"/>
  <c r="AB57" i="25"/>
  <c r="Y58" i="25"/>
  <c r="AG58" i="25"/>
  <c r="AC59" i="25"/>
  <c r="X60" i="25"/>
  <c r="AF60" i="25"/>
  <c r="Z61" i="25"/>
  <c r="AH61" i="25"/>
  <c r="AA62" i="25"/>
  <c r="AI62" i="25"/>
  <c r="AA63" i="25"/>
  <c r="AI63" i="25"/>
  <c r="Z64" i="25"/>
  <c r="AH64" i="25"/>
  <c r="X65" i="25"/>
  <c r="AF65" i="25"/>
  <c r="AN65" i="25"/>
  <c r="AC66" i="25"/>
  <c r="AK66" i="25"/>
  <c r="Y67" i="25"/>
  <c r="AG67" i="25"/>
  <c r="AO67" i="25"/>
  <c r="AB68" i="25"/>
  <c r="AJ68" i="25"/>
  <c r="AR68" i="25"/>
  <c r="AD69" i="25"/>
  <c r="AL69" i="25"/>
  <c r="AT69" i="25"/>
  <c r="AE70" i="25"/>
  <c r="AM70" i="25"/>
  <c r="AU70" i="25"/>
  <c r="AE71" i="25"/>
  <c r="AM71" i="25"/>
  <c r="AU71" i="25"/>
  <c r="AD72" i="25"/>
  <c r="AL72" i="25"/>
  <c r="AT72" i="25"/>
  <c r="AB73" i="25"/>
  <c r="AJ73" i="25"/>
  <c r="AR73" i="25"/>
  <c r="Y74" i="25"/>
  <c r="AG74" i="25"/>
  <c r="AO74" i="25"/>
  <c r="AW74" i="25"/>
  <c r="AI65" i="25"/>
  <c r="AM73" i="25"/>
  <c r="Y49" i="25"/>
  <c r="Z51" i="25"/>
  <c r="X54" i="25"/>
  <c r="X55" i="25"/>
  <c r="AF55" i="25"/>
  <c r="AE56" i="25"/>
  <c r="AC57" i="25"/>
  <c r="Z58" i="25"/>
  <c r="AH58" i="25"/>
  <c r="AD59" i="25"/>
  <c r="Y60" i="25"/>
  <c r="AG60" i="25"/>
  <c r="AA61" i="25"/>
  <c r="AI61" i="25"/>
  <c r="AB62" i="25"/>
  <c r="AJ62" i="25"/>
  <c r="AB63" i="25"/>
  <c r="AJ63" i="25"/>
  <c r="AA64" i="25"/>
  <c r="AI64" i="25"/>
  <c r="Y65" i="25"/>
  <c r="AG65" i="25"/>
  <c r="AO65" i="25"/>
  <c r="AD66" i="25"/>
  <c r="AL66" i="25"/>
  <c r="Z67" i="25"/>
  <c r="AH67" i="25"/>
  <c r="AP67" i="25"/>
  <c r="AC68" i="25"/>
  <c r="AK68" i="25"/>
  <c r="AS68" i="25"/>
  <c r="AE69" i="25"/>
  <c r="AM69" i="25"/>
  <c r="X70" i="25"/>
  <c r="AF70" i="25"/>
  <c r="AN70" i="25"/>
  <c r="X71" i="25"/>
  <c r="AF71" i="25"/>
  <c r="AN71" i="25"/>
  <c r="AV71" i="25"/>
  <c r="AE72" i="25"/>
  <c r="AM72" i="25"/>
  <c r="AU72" i="25"/>
  <c r="AC73" i="25"/>
  <c r="AK73" i="25"/>
  <c r="AS73" i="25"/>
  <c r="Z74" i="25"/>
  <c r="AH74" i="25"/>
  <c r="AP74" i="25"/>
  <c r="AX74" i="25"/>
  <c r="X56" i="25"/>
  <c r="AA58" i="25"/>
  <c r="Z60" i="25"/>
  <c r="AB61" i="25"/>
  <c r="AC62" i="25"/>
  <c r="AC63" i="25"/>
  <c r="AB64" i="25"/>
  <c r="Z65" i="25"/>
  <c r="AH65" i="25"/>
  <c r="AE66" i="25"/>
  <c r="AA67" i="25"/>
  <c r="AI67" i="25"/>
  <c r="AD68" i="25"/>
  <c r="X69" i="25"/>
  <c r="AF69" i="25"/>
  <c r="Y70" i="25"/>
  <c r="AG70" i="25"/>
  <c r="Y71" i="25"/>
  <c r="AG71" i="25"/>
  <c r="X72" i="25"/>
  <c r="AF72" i="25"/>
  <c r="AN72" i="25"/>
  <c r="AD73" i="25"/>
  <c r="AL73" i="25"/>
  <c r="AA74" i="25"/>
  <c r="AI74" i="25"/>
  <c r="AQ74" i="25"/>
  <c r="AT61" i="15" l="1"/>
  <c r="AS61" i="15"/>
  <c r="AR61" i="15"/>
  <c r="AQ61" i="15"/>
  <c r="AP61" i="15"/>
  <c r="AO61" i="15"/>
  <c r="AN61" i="15"/>
  <c r="AM61" i="15"/>
  <c r="AL61" i="15"/>
  <c r="AK61" i="15"/>
  <c r="AJ61" i="15"/>
  <c r="AI61" i="15"/>
  <c r="AH61" i="15"/>
  <c r="AY28" i="25" l="1"/>
  <c r="AT13" i="25" l="1"/>
  <c r="AS13" i="25"/>
  <c r="AR13" i="25"/>
  <c r="AQ13" i="25"/>
  <c r="AP13" i="25"/>
  <c r="AO13" i="25"/>
  <c r="AN13" i="25"/>
  <c r="AM13" i="25"/>
  <c r="AL13" i="25"/>
  <c r="AK13" i="25"/>
  <c r="AJ13" i="25"/>
  <c r="AI13" i="25"/>
  <c r="AH13" i="25"/>
  <c r="A1" i="25" a="1"/>
  <c r="A1" i="25" s="1"/>
  <c r="AG60" i="15"/>
  <c r="AG12" i="25" s="1"/>
  <c r="AF60" i="15"/>
  <c r="AF12" i="25" s="1"/>
  <c r="AE60" i="15"/>
  <c r="AE12" i="25" s="1"/>
  <c r="AD60" i="15"/>
  <c r="AD12" i="25" s="1"/>
  <c r="AC60" i="15"/>
  <c r="AB60" i="15"/>
  <c r="AA60" i="15"/>
  <c r="Z60" i="15"/>
  <c r="Y60" i="15"/>
  <c r="X60" i="15"/>
  <c r="W60" i="15"/>
  <c r="AO58" i="15"/>
  <c r="AO20" i="25" s="1"/>
  <c r="AN58" i="15"/>
  <c r="AN20" i="25" s="1"/>
  <c r="AM58" i="15"/>
  <c r="AM20" i="25" s="1"/>
  <c r="AL58" i="15"/>
  <c r="AL20" i="25" s="1"/>
  <c r="AK58" i="15"/>
  <c r="AK20" i="25" s="1"/>
  <c r="AJ58" i="15"/>
  <c r="AJ20" i="25" s="1"/>
  <c r="AI58" i="15"/>
  <c r="AI20" i="25" s="1"/>
  <c r="AH58" i="15"/>
  <c r="AH20" i="25" s="1"/>
  <c r="AT54" i="15"/>
  <c r="AS54" i="15"/>
  <c r="AR54" i="15"/>
  <c r="AQ54" i="15"/>
  <c r="AP54" i="15"/>
  <c r="AO54" i="15"/>
  <c r="AO15" i="25" s="1"/>
  <c r="AN54" i="15"/>
  <c r="AN15" i="25" s="1"/>
  <c r="AM54" i="15"/>
  <c r="AM15" i="25" s="1"/>
  <c r="AL54" i="15"/>
  <c r="AL15" i="25" s="1"/>
  <c r="AK54" i="15"/>
  <c r="AK15" i="25" s="1"/>
  <c r="AJ54" i="15"/>
  <c r="AJ15" i="25" s="1"/>
  <c r="AI54" i="15"/>
  <c r="AI15" i="25" s="1"/>
  <c r="AH54" i="15"/>
  <c r="AH15" i="25" s="1"/>
  <c r="D20" i="25" a="1"/>
  <c r="D15" i="25" a="1"/>
  <c r="D13" i="25" a="1"/>
  <c r="AQ15" i="25" l="1"/>
  <c r="AA12" i="25"/>
  <c r="AA31" i="25" s="1"/>
  <c r="AR15" i="25"/>
  <c r="AB12" i="25"/>
  <c r="AB31" i="25" s="1"/>
  <c r="AS15" i="25"/>
  <c r="AC12" i="25"/>
  <c r="AC31" i="25" s="1"/>
  <c r="Y12" i="25"/>
  <c r="Y31" i="25" s="1"/>
  <c r="AP15" i="25"/>
  <c r="Z12" i="25"/>
  <c r="Z31" i="25" s="1"/>
  <c r="AT15" i="25"/>
  <c r="W12" i="25"/>
  <c r="W31" i="25" s="1"/>
  <c r="X12" i="25"/>
  <c r="X31" i="25" s="1"/>
  <c r="AF31" i="25"/>
  <c r="AG31" i="25"/>
  <c r="D15" i="25"/>
  <c r="D13" i="25"/>
  <c r="D20" i="25"/>
  <c r="BA242" i="25"/>
  <c r="BA210" i="25"/>
  <c r="BA231" i="25"/>
  <c r="BA238" i="25"/>
  <c r="BA234" i="25"/>
  <c r="BA230" i="25"/>
  <c r="BA226" i="25"/>
  <c r="BA222" i="25"/>
  <c r="BA218" i="25"/>
  <c r="BA214" i="25"/>
  <c r="BA223" i="25"/>
  <c r="BA211" i="25"/>
  <c r="BA219" i="25"/>
  <c r="BA237" i="25"/>
  <c r="BA233" i="25"/>
  <c r="BA229" i="25"/>
  <c r="BA225" i="25"/>
  <c r="BA221" i="25"/>
  <c r="BA217" i="25"/>
  <c r="BA213" i="25"/>
  <c r="BA215" i="25"/>
  <c r="BA235" i="25"/>
  <c r="BA236" i="25"/>
  <c r="BA232" i="25"/>
  <c r="BA228" i="25"/>
  <c r="BA224" i="25"/>
  <c r="BA220" i="25"/>
  <c r="BA216" i="25"/>
  <c r="BA212" i="25"/>
  <c r="BA227" i="25"/>
  <c r="BA177" i="25"/>
  <c r="BA203" i="25"/>
  <c r="BA195" i="25"/>
  <c r="BA187" i="25"/>
  <c r="BA179" i="25"/>
  <c r="BA200" i="25"/>
  <c r="BA192" i="25"/>
  <c r="BA184" i="25"/>
  <c r="BA205" i="25"/>
  <c r="BA197" i="25"/>
  <c r="BA189" i="25"/>
  <c r="BA181" i="25"/>
  <c r="BA190" i="25"/>
  <c r="BA202" i="25"/>
  <c r="BA194" i="25"/>
  <c r="BA186" i="25"/>
  <c r="BA178" i="25"/>
  <c r="BA199" i="25"/>
  <c r="BA191" i="25"/>
  <c r="BA183" i="25"/>
  <c r="BA198" i="25"/>
  <c r="BA182" i="25"/>
  <c r="BA204" i="25"/>
  <c r="BA196" i="25"/>
  <c r="BA188" i="25"/>
  <c r="BA180" i="25"/>
  <c r="BA201" i="25"/>
  <c r="BA193" i="25"/>
  <c r="BA185" i="25"/>
  <c r="BA143" i="25"/>
  <c r="BA169" i="25"/>
  <c r="BA161" i="25"/>
  <c r="BA153" i="25"/>
  <c r="BA145" i="25"/>
  <c r="BA166" i="25"/>
  <c r="BA158" i="25"/>
  <c r="BA150" i="25"/>
  <c r="BA156" i="25"/>
  <c r="BA148" i="25"/>
  <c r="BA171" i="25"/>
  <c r="BA163" i="25"/>
  <c r="BA155" i="25"/>
  <c r="BA147" i="25"/>
  <c r="BA164" i="25"/>
  <c r="BA168" i="25"/>
  <c r="BA160" i="25"/>
  <c r="BA152" i="25"/>
  <c r="BA144" i="25"/>
  <c r="BA165" i="25"/>
  <c r="BA157" i="25"/>
  <c r="BA149" i="25"/>
  <c r="BA170" i="25"/>
  <c r="BA162" i="25"/>
  <c r="BA154" i="25"/>
  <c r="BA146" i="25"/>
  <c r="BA167" i="25"/>
  <c r="BA159" i="25"/>
  <c r="BA151" i="25"/>
  <c r="BA111" i="25"/>
  <c r="BA137" i="25"/>
  <c r="BA129" i="25"/>
  <c r="BA121" i="25"/>
  <c r="BA113" i="25"/>
  <c r="BA134" i="25"/>
  <c r="BA126" i="25"/>
  <c r="BA118" i="25"/>
  <c r="BA124" i="25"/>
  <c r="BA116" i="25"/>
  <c r="BA139" i="25"/>
  <c r="BA131" i="25"/>
  <c r="BA123" i="25"/>
  <c r="BA115" i="25"/>
  <c r="BA136" i="25"/>
  <c r="BA128" i="25"/>
  <c r="BA120" i="25"/>
  <c r="BA112" i="25"/>
  <c r="BA133" i="25"/>
  <c r="BA125" i="25"/>
  <c r="BA117" i="25"/>
  <c r="BA132" i="25"/>
  <c r="BA138" i="25"/>
  <c r="BA130" i="25"/>
  <c r="BA122" i="25"/>
  <c r="BA114" i="25"/>
  <c r="BA135" i="25"/>
  <c r="BA127" i="25"/>
  <c r="BA119" i="25"/>
  <c r="BA79" i="25"/>
  <c r="BA105" i="25"/>
  <c r="BA97" i="25"/>
  <c r="BA89" i="25"/>
  <c r="BA81" i="25"/>
  <c r="BA102" i="25"/>
  <c r="BA94" i="25"/>
  <c r="BA86" i="25"/>
  <c r="BA106" i="25"/>
  <c r="BA107" i="25"/>
  <c r="BA99" i="25"/>
  <c r="BA91" i="25"/>
  <c r="BA83" i="25"/>
  <c r="BA104" i="25"/>
  <c r="BA96" i="25"/>
  <c r="BA88" i="25"/>
  <c r="BA80" i="25"/>
  <c r="BA90" i="25"/>
  <c r="BA101" i="25"/>
  <c r="BA93" i="25"/>
  <c r="BA85" i="25"/>
  <c r="BA98" i="25"/>
  <c r="BA82" i="25"/>
  <c r="BA103" i="25"/>
  <c r="BA95" i="25"/>
  <c r="BA87" i="25"/>
  <c r="BA100" i="25"/>
  <c r="BA92" i="25"/>
  <c r="BA84" i="25"/>
  <c r="BA72" i="25"/>
  <c r="BA64" i="25"/>
  <c r="BA56" i="25"/>
  <c r="BA48" i="25"/>
  <c r="BA69" i="25"/>
  <c r="BA61" i="25"/>
  <c r="BA53" i="25"/>
  <c r="BA59" i="25"/>
  <c r="BA74" i="25"/>
  <c r="BA66" i="25"/>
  <c r="BA58" i="25"/>
  <c r="BA50" i="25"/>
  <c r="BA67" i="25"/>
  <c r="BA51" i="25"/>
  <c r="BA71" i="25"/>
  <c r="BA63" i="25"/>
  <c r="BA55" i="25"/>
  <c r="BA47" i="25"/>
  <c r="BA68" i="25"/>
  <c r="BA60" i="25"/>
  <c r="BA52" i="25"/>
  <c r="BA73" i="25"/>
  <c r="BA65" i="25"/>
  <c r="BA57" i="25"/>
  <c r="BA49" i="25"/>
  <c r="BA70" i="25"/>
  <c r="BA62" i="25"/>
  <c r="BA54" i="25"/>
  <c r="BA46" i="25"/>
  <c r="BA41" i="25"/>
  <c r="BA39" i="25"/>
  <c r="BA38" i="25"/>
  <c r="BA37" i="25"/>
  <c r="BA34" i="25"/>
  <c r="BA35" i="25"/>
  <c r="BA31" i="25"/>
  <c r="BA30" i="25"/>
  <c r="BA28" i="25"/>
  <c r="BA27" i="25"/>
  <c r="BA23" i="25"/>
  <c r="BA25" i="25"/>
  <c r="BA24" i="25"/>
  <c r="AN31" i="25"/>
  <c r="AO31" i="25"/>
  <c r="AH31" i="25"/>
  <c r="AP31" i="25"/>
  <c r="AI31" i="25"/>
  <c r="AD31" i="25"/>
  <c r="AL31" i="25"/>
  <c r="AQ31" i="25"/>
  <c r="AJ31" i="25"/>
  <c r="AR31" i="25"/>
  <c r="AK31" i="25"/>
  <c r="AS31" i="25"/>
  <c r="AT31" i="25"/>
  <c r="AE31" i="25"/>
  <c r="AM31" i="25"/>
  <c r="BB28" i="11"/>
  <c r="D12" i="25" a="1"/>
  <c r="D12" i="25" l="1"/>
  <c r="AU129" i="25"/>
  <c r="AV129" i="25" s="1"/>
  <c r="AW129" i="25" s="1"/>
  <c r="AU119" i="25"/>
  <c r="AV119" i="25" s="1"/>
  <c r="AW119" i="25" s="1"/>
  <c r="AX119" i="25" s="1"/>
  <c r="AY119" i="25" s="1"/>
  <c r="AU127" i="25"/>
  <c r="AV127" i="25" s="1"/>
  <c r="AU113" i="25"/>
  <c r="AV113" i="25" s="1"/>
  <c r="AW113" i="25" s="1"/>
  <c r="AX113" i="25" s="1"/>
  <c r="AY113" i="25" s="1"/>
  <c r="AU132" i="25"/>
  <c r="AV132" i="25" s="1"/>
  <c r="AW132" i="25" s="1"/>
  <c r="AW136" i="25"/>
  <c r="AX136" i="25" s="1"/>
  <c r="AY136" i="25" s="1"/>
  <c r="AU128" i="25"/>
  <c r="AV128" i="25" s="1"/>
  <c r="AU117" i="25"/>
  <c r="AV117" i="25" s="1"/>
  <c r="AW117" i="25" s="1"/>
  <c r="AX117" i="25" s="1"/>
  <c r="AY117" i="25" s="1"/>
  <c r="AU120" i="25"/>
  <c r="AV120" i="25" s="1"/>
  <c r="AW120" i="25" s="1"/>
  <c r="AV135" i="25"/>
  <c r="AW135" i="25" s="1"/>
  <c r="AX135" i="25" s="1"/>
  <c r="AU116" i="25"/>
  <c r="AV116" i="25" s="1"/>
  <c r="AW116" i="25" s="1"/>
  <c r="AU118" i="25"/>
  <c r="AV118" i="25" s="1"/>
  <c r="AU131" i="25"/>
  <c r="AV131" i="25" s="1"/>
  <c r="AW131" i="25" s="1"/>
  <c r="AX131" i="25" s="1"/>
  <c r="AU133" i="25"/>
  <c r="AV133" i="25" s="1"/>
  <c r="AW133" i="25" s="1"/>
  <c r="AX133" i="25" s="1"/>
  <c r="AY133" i="25" s="1"/>
  <c r="AU121" i="25"/>
  <c r="AV121" i="25" s="1"/>
  <c r="AW121" i="25" s="1"/>
  <c r="AX121" i="25" s="1"/>
  <c r="AU112" i="25"/>
  <c r="AV112" i="25" s="1"/>
  <c r="AW112" i="25" s="1"/>
  <c r="AX112" i="25" s="1"/>
  <c r="AU126" i="25"/>
  <c r="AV126" i="25" s="1"/>
  <c r="AU122" i="25"/>
  <c r="AV122" i="25" s="1"/>
  <c r="AU115" i="25"/>
  <c r="AV115" i="25" s="1"/>
  <c r="AU123" i="25"/>
  <c r="AV123" i="25" s="1"/>
  <c r="AW123" i="25" s="1"/>
  <c r="AX123" i="25" s="1"/>
  <c r="AY123" i="25" s="1"/>
  <c r="AU114" i="25"/>
  <c r="AU125" i="25"/>
  <c r="AV125" i="25" s="1"/>
  <c r="AW125" i="25" s="1"/>
  <c r="AX125" i="25" s="1"/>
  <c r="AY125" i="25" s="1"/>
  <c r="AU130" i="25"/>
  <c r="AU124" i="25"/>
  <c r="AV124" i="25" s="1"/>
  <c r="AU134" i="25"/>
  <c r="BC587" i="14"/>
  <c r="BB587" i="14"/>
  <c r="BC584" i="14"/>
  <c r="BB584" i="14"/>
  <c r="AB140" i="15"/>
  <c r="AB144" i="15" s="1"/>
  <c r="AB146" i="15" s="1"/>
  <c r="AA140" i="15"/>
  <c r="AA144" i="15" s="1"/>
  <c r="AA146" i="15" s="1"/>
  <c r="Z140" i="15"/>
  <c r="Z144" i="15" s="1"/>
  <c r="Z146" i="15" s="1"/>
  <c r="Y140" i="15"/>
  <c r="Y144" i="15" s="1"/>
  <c r="Y146" i="15" s="1"/>
  <c r="X140" i="15"/>
  <c r="X144" i="15" s="1"/>
  <c r="X146" i="15" s="1"/>
  <c r="W140" i="15"/>
  <c r="W144" i="15" s="1"/>
  <c r="W146" i="15" s="1"/>
  <c r="V140" i="15"/>
  <c r="V144" i="15" s="1"/>
  <c r="V146" i="15" s="1"/>
  <c r="AB145" i="15" l="1"/>
  <c r="W145" i="15"/>
  <c r="Y145" i="15"/>
  <c r="Z145" i="15"/>
  <c r="V145" i="15"/>
  <c r="X145" i="15"/>
  <c r="AA145" i="15"/>
  <c r="AW118" i="25"/>
  <c r="AX118" i="25" s="1"/>
  <c r="AY118" i="25" s="1"/>
  <c r="AY135" i="25"/>
  <c r="AW122" i="25"/>
  <c r="AX122" i="25" s="1"/>
  <c r="AY122" i="25" s="1"/>
  <c r="AX132" i="25"/>
  <c r="AY132" i="25" s="1"/>
  <c r="AY121" i="25"/>
  <c r="AW124" i="25"/>
  <c r="AX124" i="25" s="1"/>
  <c r="AY124" i="25" s="1"/>
  <c r="AX116" i="25"/>
  <c r="AY116" i="25" s="1"/>
  <c r="AW126" i="25"/>
  <c r="AX126" i="25" s="1"/>
  <c r="AY126" i="25" s="1"/>
  <c r="AX129" i="25"/>
  <c r="AY129" i="25" s="1"/>
  <c r="AV134" i="25"/>
  <c r="AW134" i="25" s="1"/>
  <c r="AV130" i="25"/>
  <c r="AW130" i="25" s="1"/>
  <c r="AX130" i="25" s="1"/>
  <c r="AY130" i="25" s="1"/>
  <c r="AV114" i="25"/>
  <c r="AW114" i="25" s="1"/>
  <c r="AX114" i="25" s="1"/>
  <c r="AY114" i="25" s="1"/>
  <c r="AY112" i="25"/>
  <c r="AY131" i="25"/>
  <c r="AX120" i="25"/>
  <c r="AY120" i="25" s="1"/>
  <c r="AW127" i="25"/>
  <c r="AX127" i="25" s="1"/>
  <c r="AY127" i="25" s="1"/>
  <c r="AU111" i="25"/>
  <c r="AV111" i="25" s="1"/>
  <c r="AW111" i="25" s="1"/>
  <c r="AX111" i="25" s="1"/>
  <c r="AY111" i="25" s="1"/>
  <c r="AW115" i="25"/>
  <c r="AX115" i="25" s="1"/>
  <c r="AY115" i="25" s="1"/>
  <c r="AW128" i="25"/>
  <c r="AX128" i="25" s="1"/>
  <c r="AY128" i="25" s="1"/>
  <c r="AG48" i="15"/>
  <c r="AF48" i="15"/>
  <c r="AE48" i="15"/>
  <c r="AD48" i="15"/>
  <c r="AG47" i="15"/>
  <c r="AF47" i="15"/>
  <c r="AE47" i="15"/>
  <c r="AD47" i="15"/>
  <c r="AG46" i="15"/>
  <c r="AF46" i="15"/>
  <c r="AE46" i="15"/>
  <c r="AD46" i="15"/>
  <c r="AX134" i="25" l="1"/>
  <c r="AY134" i="25" s="1"/>
  <c r="G107" i="11"/>
  <c r="G106" i="11"/>
  <c r="G103" i="11"/>
  <c r="G102" i="11"/>
  <c r="G101" i="11"/>
  <c r="G100" i="11"/>
  <c r="G97" i="11"/>
  <c r="G96" i="11"/>
  <c r="G91" i="11"/>
  <c r="G87" i="11"/>
  <c r="G86" i="11"/>
  <c r="G84" i="11"/>
  <c r="G83" i="11"/>
  <c r="G82" i="11"/>
  <c r="G79" i="11"/>
  <c r="G78" i="11"/>
  <c r="G77" i="11"/>
  <c r="G76" i="11"/>
  <c r="G73" i="11"/>
  <c r="G72" i="11"/>
  <c r="G59" i="11"/>
  <c r="G45" i="11"/>
  <c r="G38" i="11"/>
  <c r="G37" i="11"/>
  <c r="G36" i="11"/>
  <c r="G35" i="11"/>
  <c r="G34" i="11"/>
  <c r="G33" i="11"/>
  <c r="G32" i="11"/>
  <c r="G31" i="11"/>
  <c r="G12" i="11"/>
  <c r="G11" i="11"/>
  <c r="G22" i="11"/>
  <c r="G24" i="11"/>
  <c r="G21" i="11"/>
  <c r="G19" i="11"/>
  <c r="G18" i="11"/>
  <c r="G25" i="11"/>
  <c r="G14" i="11"/>
  <c r="G105" i="13"/>
  <c r="G104" i="13"/>
  <c r="G102" i="13"/>
  <c r="G101" i="13"/>
  <c r="G100" i="13"/>
  <c r="G99" i="13"/>
  <c r="G98" i="13"/>
  <c r="G96" i="13"/>
  <c r="G89" i="13"/>
  <c r="G63" i="13"/>
  <c r="G57" i="13"/>
  <c r="G53" i="13"/>
  <c r="G52" i="13"/>
  <c r="G51" i="13"/>
  <c r="G50" i="13"/>
  <c r="G49" i="13"/>
  <c r="G48" i="13"/>
  <c r="G47" i="13"/>
  <c r="G44" i="13"/>
  <c r="G43" i="13"/>
  <c r="G42" i="13"/>
  <c r="G41" i="13"/>
  <c r="G40" i="13"/>
  <c r="G39" i="13"/>
  <c r="G38" i="13"/>
  <c r="G37" i="13"/>
  <c r="G36" i="13"/>
  <c r="G35" i="13"/>
  <c r="G19" i="13"/>
  <c r="G17" i="13"/>
  <c r="G16" i="13"/>
  <c r="G15" i="13"/>
  <c r="G14" i="13"/>
  <c r="G106" i="9"/>
  <c r="G105" i="9"/>
  <c r="G104" i="9"/>
  <c r="G103" i="9"/>
  <c r="G102" i="9"/>
  <c r="G99" i="9"/>
  <c r="G98" i="9"/>
  <c r="G97" i="9"/>
  <c r="G96" i="9"/>
  <c r="G95" i="9"/>
  <c r="G92" i="9"/>
  <c r="G91" i="9"/>
  <c r="G90" i="9"/>
  <c r="G89" i="9"/>
  <c r="G88" i="9"/>
  <c r="G85" i="9"/>
  <c r="G84" i="9"/>
  <c r="G83" i="9"/>
  <c r="G82" i="9"/>
  <c r="G81" i="9"/>
  <c r="G80" i="9"/>
  <c r="G78" i="9"/>
  <c r="G77" i="9"/>
  <c r="G76" i="9"/>
  <c r="G75" i="9"/>
  <c r="G74" i="9"/>
  <c r="G73" i="9"/>
  <c r="G72" i="9"/>
  <c r="G71" i="9"/>
  <c r="G68" i="9"/>
  <c r="G67" i="9"/>
  <c r="G66" i="9"/>
  <c r="G65" i="9"/>
  <c r="G64" i="9"/>
  <c r="G63" i="9"/>
  <c r="G61" i="9"/>
  <c r="G60" i="9"/>
  <c r="G59" i="9"/>
  <c r="G58" i="9"/>
  <c r="G57" i="9"/>
  <c r="G56" i="9"/>
  <c r="G55" i="9"/>
  <c r="G54" i="9"/>
  <c r="G37" i="9"/>
  <c r="G36" i="9"/>
  <c r="G33" i="9"/>
  <c r="G28" i="9"/>
  <c r="G23" i="9"/>
  <c r="G29" i="9"/>
  <c r="G24" i="9"/>
  <c r="G52" i="8"/>
  <c r="G51" i="8"/>
  <c r="G48" i="8"/>
  <c r="G46" i="8"/>
  <c r="G37" i="8"/>
  <c r="G36" i="8"/>
  <c r="G35" i="8"/>
  <c r="G34" i="8"/>
  <c r="G33" i="8"/>
  <c r="G32" i="8"/>
  <c r="G29" i="8"/>
  <c r="G28" i="8"/>
  <c r="G27" i="8"/>
  <c r="G26" i="8"/>
  <c r="G25" i="8"/>
  <c r="G24" i="8"/>
  <c r="G20" i="8"/>
  <c r="G19" i="8"/>
  <c r="G8" i="8"/>
  <c r="G10" i="8"/>
  <c r="G9" i="8"/>
  <c r="G7" i="8"/>
  <c r="G16" i="8"/>
  <c r="G43" i="8" s="1"/>
  <c r="G13" i="8"/>
  <c r="G66" i="4"/>
  <c r="G11" i="25" s="1"/>
  <c r="G65" i="4"/>
  <c r="G62" i="4"/>
  <c r="G61" i="4"/>
  <c r="G58" i="4"/>
  <c r="G57" i="4"/>
  <c r="G54" i="4"/>
  <c r="G53" i="4"/>
  <c r="G49" i="4"/>
  <c r="G48" i="4"/>
  <c r="G47" i="4"/>
  <c r="G44" i="4"/>
  <c r="G43" i="4"/>
  <c r="G42" i="4"/>
  <c r="G39" i="4"/>
  <c r="G38" i="4"/>
  <c r="G37" i="4"/>
  <c r="G17" i="4"/>
  <c r="G16" i="4"/>
  <c r="G15" i="4"/>
  <c r="G14" i="4"/>
  <c r="G13" i="4"/>
  <c r="G11" i="4"/>
  <c r="G10" i="4"/>
  <c r="G9" i="4"/>
  <c r="G8" i="4"/>
  <c r="G7" i="4"/>
  <c r="G29" i="4"/>
  <c r="G28" i="4"/>
  <c r="G27" i="4"/>
  <c r="G26" i="4"/>
  <c r="G25" i="4"/>
  <c r="G23" i="4"/>
  <c r="G22" i="4"/>
  <c r="G21" i="4"/>
  <c r="G20" i="4"/>
  <c r="G19" i="4"/>
  <c r="G223" i="15"/>
  <c r="G48" i="15"/>
  <c r="G47" i="15"/>
  <c r="G46" i="15"/>
  <c r="G23" i="14"/>
  <c r="G25" i="15"/>
  <c r="G61" i="15"/>
  <c r="G13" i="25" s="1"/>
  <c r="G60" i="15"/>
  <c r="G12" i="25" s="1"/>
  <c r="G53" i="15"/>
  <c r="G17" i="25" s="1"/>
  <c r="G51" i="15"/>
  <c r="G16" i="25" s="1"/>
  <c r="G208" i="15"/>
  <c r="G101" i="15"/>
  <c r="G95" i="15"/>
  <c r="G200" i="15"/>
  <c r="G199" i="15"/>
  <c r="G198" i="15"/>
  <c r="G202" i="15"/>
  <c r="G111" i="15"/>
  <c r="G110" i="15"/>
  <c r="G106" i="15"/>
  <c r="G100" i="15"/>
  <c r="G94" i="15"/>
  <c r="G95" i="14"/>
  <c r="G94" i="14"/>
  <c r="G90" i="14"/>
  <c r="G89" i="14"/>
  <c r="G88" i="14"/>
  <c r="G87" i="14"/>
  <c r="G92" i="14"/>
  <c r="G91" i="14"/>
  <c r="G85" i="14"/>
  <c r="G84" i="14"/>
  <c r="G83" i="14"/>
  <c r="G36" i="14"/>
  <c r="G34" i="14"/>
  <c r="G33" i="14"/>
  <c r="G32" i="14"/>
  <c r="G31" i="14"/>
  <c r="G28" i="14"/>
  <c r="G27" i="14"/>
  <c r="G26" i="14"/>
  <c r="BC97" i="11" l="1"/>
  <c r="BC96" i="11"/>
  <c r="BC95" i="11"/>
  <c r="BB97" i="11"/>
  <c r="BB96" i="11"/>
  <c r="BB95" i="11"/>
  <c r="BC73" i="11"/>
  <c r="BB73" i="11"/>
  <c r="BB52" i="11"/>
  <c r="A1" i="8" a="1"/>
  <c r="A1" i="8" s="1"/>
  <c r="BA49" i="8" s="1"/>
  <c r="BB104" i="15"/>
  <c r="BB98" i="15"/>
  <c r="BB112" i="15"/>
  <c r="BB108" i="15"/>
  <c r="BB103" i="15"/>
  <c r="BB97" i="15"/>
  <c r="BB102" i="15"/>
  <c r="BB96" i="15"/>
  <c r="BB119" i="15"/>
  <c r="BB118" i="15"/>
  <c r="BB117" i="15"/>
  <c r="BB116" i="15"/>
  <c r="BB115" i="15"/>
  <c r="BB114" i="15"/>
  <c r="BB202" i="15"/>
  <c r="BB111" i="15"/>
  <c r="BB110" i="15"/>
  <c r="BB106" i="15"/>
  <c r="BB100" i="15"/>
  <c r="BB94" i="15"/>
  <c r="BD180" i="15"/>
  <c r="BB191" i="15"/>
  <c r="BD151" i="15"/>
  <c r="BC151" i="15"/>
  <c r="BB151" i="15"/>
  <c r="BD145" i="15"/>
  <c r="BC145" i="15"/>
  <c r="BB145" i="15"/>
  <c r="BD147" i="15"/>
  <c r="BC147" i="15"/>
  <c r="BB147" i="15"/>
  <c r="BD146" i="15"/>
  <c r="BC146" i="15"/>
  <c r="BB146" i="15"/>
  <c r="BD143" i="15"/>
  <c r="BC143" i="15"/>
  <c r="BB143" i="15"/>
  <c r="BD140" i="15"/>
  <c r="BC140" i="15"/>
  <c r="BB140" i="15"/>
  <c r="BB8" i="15"/>
  <c r="BB7" i="15"/>
  <c r="BC595" i="14"/>
  <c r="BB595" i="14"/>
  <c r="BC593" i="14"/>
  <c r="BB593" i="14"/>
  <c r="BC583" i="14"/>
  <c r="BB583" i="14"/>
  <c r="BD542" i="14"/>
  <c r="BC542" i="14"/>
  <c r="BB542" i="14"/>
  <c r="BD541" i="14"/>
  <c r="BC541" i="14"/>
  <c r="BB541" i="14"/>
  <c r="BB512" i="14"/>
  <c r="BB511" i="14"/>
  <c r="BB510" i="14"/>
  <c r="BC85" i="14"/>
  <c r="BB85" i="14"/>
  <c r="AY140" i="15"/>
  <c r="G17" i="11"/>
  <c r="D31" i="4" a="1"/>
  <c r="D11" i="22" a="1"/>
  <c r="D18" i="13" a="1"/>
  <c r="D22" i="11" a="1"/>
  <c r="D10" i="22" a="1"/>
  <c r="D23" i="11" a="1"/>
  <c r="BA19" i="8" l="1"/>
  <c r="BA40" i="8"/>
  <c r="BA44" i="8"/>
  <c r="BA20" i="8"/>
  <c r="BA28" i="8"/>
  <c r="BA36" i="8"/>
  <c r="BA46" i="8"/>
  <c r="BA35" i="8"/>
  <c r="BA29" i="8"/>
  <c r="BA37" i="8"/>
  <c r="BA48" i="8"/>
  <c r="BA34" i="8"/>
  <c r="BA27" i="8"/>
  <c r="BA24" i="8"/>
  <c r="BA32" i="8"/>
  <c r="BA51" i="8"/>
  <c r="BA26" i="8"/>
  <c r="BA25" i="8"/>
  <c r="BA33" i="8"/>
  <c r="BA43" i="8"/>
  <c r="BA52" i="8"/>
  <c r="D31" i="4"/>
  <c r="D10" i="22"/>
  <c r="D11" i="22"/>
  <c r="D22" i="11"/>
  <c r="D23" i="11"/>
  <c r="D18" i="13"/>
  <c r="AY7" i="15" l="1"/>
  <c r="AX7" i="15"/>
  <c r="AW7" i="15"/>
  <c r="AV7" i="15"/>
  <c r="AU7" i="15"/>
  <c r="I89" i="15"/>
  <c r="I88" i="15"/>
  <c r="I87" i="15"/>
  <c r="I86" i="15"/>
  <c r="I85" i="15"/>
  <c r="I84" i="15"/>
  <c r="AX84" i="40" l="1"/>
  <c r="AU84" i="40"/>
  <c r="AV84" i="40"/>
  <c r="AY84" i="40"/>
  <c r="AW84" i="40"/>
  <c r="BD96" i="13"/>
  <c r="AU102" i="15" l="1"/>
  <c r="BB49" i="9" l="1"/>
  <c r="AU154" i="15" l="1"/>
  <c r="E2" i="20"/>
  <c r="E3" i="20"/>
  <c r="E4" i="20"/>
  <c r="E5" i="20"/>
  <c r="E6" i="20"/>
  <c r="E7" i="20"/>
  <c r="E8" i="20"/>
  <c r="E9" i="20"/>
  <c r="E10" i="20"/>
  <c r="E11" i="20"/>
  <c r="E12" i="20"/>
  <c r="E13" i="20"/>
  <c r="E14" i="20"/>
  <c r="E15" i="20"/>
  <c r="E16" i="20"/>
  <c r="E17" i="20"/>
  <c r="E18" i="20"/>
  <c r="E19" i="20"/>
  <c r="E20" i="20"/>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48" i="20"/>
  <c r="E49" i="20"/>
  <c r="E50" i="20"/>
  <c r="E51" i="20"/>
  <c r="E52" i="20"/>
  <c r="E53" i="20"/>
  <c r="E54" i="20"/>
  <c r="E55" i="20"/>
  <c r="E56" i="20"/>
  <c r="E57" i="20"/>
  <c r="E58" i="20"/>
  <c r="E59" i="20"/>
  <c r="E60" i="20"/>
  <c r="E61" i="20"/>
  <c r="E62" i="20"/>
  <c r="E63" i="20"/>
  <c r="E64" i="20"/>
  <c r="E65" i="20"/>
  <c r="E66" i="20"/>
  <c r="E67" i="20"/>
  <c r="E68" i="20"/>
  <c r="E69" i="20"/>
  <c r="E70" i="20"/>
  <c r="E71" i="20"/>
  <c r="E72" i="20"/>
  <c r="E73" i="20"/>
  <c r="E74" i="20"/>
  <c r="E75" i="20"/>
  <c r="E76" i="20"/>
  <c r="E77" i="20"/>
  <c r="E78" i="20"/>
  <c r="E79" i="20"/>
  <c r="E80" i="20"/>
  <c r="E81" i="20"/>
  <c r="E82" i="20"/>
  <c r="E83" i="20"/>
  <c r="E84" i="20"/>
  <c r="E85" i="20"/>
  <c r="E86" i="20"/>
  <c r="E87" i="20"/>
  <c r="E88" i="20"/>
  <c r="E89" i="20"/>
  <c r="E90" i="20"/>
  <c r="E91" i="20"/>
  <c r="E92" i="20"/>
  <c r="E93" i="20"/>
  <c r="E94" i="20"/>
  <c r="E95" i="20"/>
  <c r="E96" i="20"/>
  <c r="E97" i="20"/>
  <c r="E98" i="20"/>
  <c r="E99" i="20"/>
  <c r="E100" i="20"/>
  <c r="E101" i="20"/>
  <c r="E102" i="20"/>
  <c r="E103" i="20"/>
  <c r="E104" i="20"/>
  <c r="E105" i="20"/>
  <c r="E106" i="20"/>
  <c r="E107" i="20"/>
  <c r="E108" i="20"/>
  <c r="E109" i="20"/>
  <c r="E110" i="20"/>
  <c r="E111" i="20"/>
  <c r="E112" i="20"/>
  <c r="E113" i="20"/>
  <c r="E114" i="20"/>
  <c r="E115" i="20"/>
  <c r="E116" i="20"/>
  <c r="E117" i="20"/>
  <c r="E118" i="20"/>
  <c r="E119" i="20"/>
  <c r="E120" i="20"/>
  <c r="E121" i="20"/>
  <c r="E122" i="20"/>
  <c r="E123" i="20"/>
  <c r="E124" i="20"/>
  <c r="E125" i="20"/>
  <c r="E126" i="20"/>
  <c r="E127" i="20"/>
  <c r="E128" i="20"/>
  <c r="E129" i="20"/>
  <c r="E130" i="20"/>
  <c r="E131" i="20"/>
  <c r="E132" i="20"/>
  <c r="E133" i="20"/>
  <c r="E134" i="20"/>
  <c r="E135" i="20"/>
  <c r="E136" i="20"/>
  <c r="E137" i="20"/>
  <c r="E138" i="20"/>
  <c r="E139" i="20"/>
  <c r="E140" i="20"/>
  <c r="E141" i="20"/>
  <c r="E142" i="20"/>
  <c r="E143" i="20"/>
  <c r="E144" i="20"/>
  <c r="E145" i="20"/>
  <c r="E146" i="20"/>
  <c r="E147" i="20"/>
  <c r="E148" i="20"/>
  <c r="E149" i="20"/>
  <c r="E150" i="20"/>
  <c r="E151" i="20"/>
  <c r="E152" i="20"/>
  <c r="E153" i="20"/>
  <c r="E154" i="20"/>
  <c r="E155" i="20"/>
  <c r="E156" i="20"/>
  <c r="E157" i="20"/>
  <c r="E158" i="20"/>
  <c r="E159" i="20"/>
  <c r="E160" i="20"/>
  <c r="E161" i="20"/>
  <c r="E162" i="20"/>
  <c r="E163" i="20"/>
  <c r="E164" i="20"/>
  <c r="E165" i="20"/>
  <c r="E166" i="20"/>
  <c r="E167" i="20"/>
  <c r="E168" i="20"/>
  <c r="E169" i="20"/>
  <c r="E170" i="20"/>
  <c r="E171" i="20"/>
  <c r="E172" i="20"/>
  <c r="E173" i="20"/>
  <c r="E174" i="20"/>
  <c r="E175" i="20"/>
  <c r="E176" i="20"/>
  <c r="E177" i="20"/>
  <c r="E178" i="20"/>
  <c r="E179" i="20"/>
  <c r="E180" i="20"/>
  <c r="E181" i="20"/>
  <c r="E182" i="20"/>
  <c r="E183" i="20"/>
  <c r="E184" i="20"/>
  <c r="E185" i="20"/>
  <c r="E186" i="20"/>
  <c r="E187" i="20"/>
  <c r="E188" i="20"/>
  <c r="E189" i="20"/>
  <c r="E190" i="20"/>
  <c r="E191" i="20"/>
  <c r="E192" i="20"/>
  <c r="E193" i="20"/>
  <c r="E194" i="20"/>
  <c r="E195" i="20"/>
  <c r="E196" i="20"/>
  <c r="E197" i="20"/>
  <c r="E198" i="20"/>
  <c r="E199" i="20"/>
  <c r="E200" i="20"/>
  <c r="E201" i="20"/>
  <c r="E202" i="20"/>
  <c r="E203" i="20"/>
  <c r="E204" i="20"/>
  <c r="E205" i="20"/>
  <c r="E206" i="20"/>
  <c r="E207" i="20"/>
  <c r="E208" i="20"/>
  <c r="E209" i="20"/>
  <c r="E210" i="20"/>
  <c r="E211" i="20"/>
  <c r="E212" i="20"/>
  <c r="E213" i="20"/>
  <c r="E214" i="20"/>
  <c r="E215" i="20"/>
  <c r="E216" i="20"/>
  <c r="E217" i="20"/>
  <c r="E218" i="20"/>
  <c r="E219" i="20"/>
  <c r="E220" i="20"/>
  <c r="E221" i="20"/>
  <c r="E222" i="20"/>
  <c r="E223" i="20"/>
  <c r="E224" i="20"/>
  <c r="E225" i="20"/>
  <c r="E226" i="20"/>
  <c r="E227" i="20"/>
  <c r="E228" i="20"/>
  <c r="E229" i="20"/>
  <c r="E230" i="20"/>
  <c r="E231" i="20"/>
  <c r="E232" i="20"/>
  <c r="E233" i="20"/>
  <c r="E234" i="20"/>
  <c r="E235" i="20"/>
  <c r="E236" i="20"/>
  <c r="E237" i="20"/>
  <c r="E238" i="20"/>
  <c r="E239" i="20"/>
  <c r="E240" i="20"/>
  <c r="E241" i="20"/>
  <c r="E242" i="20"/>
  <c r="E243" i="20"/>
  <c r="E244" i="20"/>
  <c r="E245" i="20"/>
  <c r="E246" i="20"/>
  <c r="E247" i="20"/>
  <c r="E248" i="20"/>
  <c r="E249" i="20"/>
  <c r="E250" i="20"/>
  <c r="E251" i="20"/>
  <c r="E252" i="20"/>
  <c r="E253" i="20"/>
  <c r="E254" i="20"/>
  <c r="E255" i="20"/>
  <c r="E256" i="20"/>
  <c r="E257" i="20"/>
  <c r="E258" i="20"/>
  <c r="E259" i="20"/>
  <c r="E260" i="20"/>
  <c r="E261" i="20"/>
  <c r="E262" i="20"/>
  <c r="E263" i="20"/>
  <c r="E264" i="20"/>
  <c r="E265" i="20"/>
  <c r="E266" i="20"/>
  <c r="E267" i="20"/>
  <c r="E268" i="20"/>
  <c r="E269" i="20"/>
  <c r="E270" i="20"/>
  <c r="E271" i="20"/>
  <c r="E272" i="20"/>
  <c r="E273" i="20"/>
  <c r="E274" i="20"/>
  <c r="E275" i="20"/>
  <c r="E276" i="20"/>
  <c r="E277" i="20"/>
  <c r="E278" i="20"/>
  <c r="E279" i="20"/>
  <c r="E280" i="20"/>
  <c r="E281" i="20"/>
  <c r="E282" i="20"/>
  <c r="E283" i="20"/>
  <c r="E284" i="20"/>
  <c r="E285" i="20"/>
  <c r="E286" i="20"/>
  <c r="E287" i="20"/>
  <c r="E288" i="20"/>
  <c r="E289" i="20"/>
  <c r="E290" i="20"/>
  <c r="E291" i="20"/>
  <c r="E292" i="20"/>
  <c r="E293" i="20"/>
  <c r="E294" i="20"/>
  <c r="E295" i="20"/>
  <c r="E296" i="20"/>
  <c r="E297" i="20"/>
  <c r="E298" i="20"/>
  <c r="E299" i="20"/>
  <c r="E300" i="20"/>
  <c r="E301" i="20"/>
  <c r="E302" i="20"/>
  <c r="E303" i="20"/>
  <c r="E304" i="20"/>
  <c r="AA141" i="15" l="1"/>
  <c r="Y141" i="15"/>
  <c r="W141" i="15"/>
  <c r="AB141" i="15"/>
  <c r="X141" i="15"/>
  <c r="V141" i="15"/>
  <c r="Z141" i="15"/>
  <c r="F267" i="20"/>
  <c r="F268" i="20" s="1"/>
  <c r="Z147" i="15"/>
  <c r="AB147" i="15"/>
  <c r="W147" i="15"/>
  <c r="AA147" i="15"/>
  <c r="X147" i="15"/>
  <c r="Y147" i="15"/>
  <c r="AB142" i="15" l="1"/>
  <c r="Z142" i="15"/>
  <c r="X142" i="15"/>
  <c r="W142" i="15"/>
  <c r="Y142" i="15"/>
  <c r="AA142" i="15"/>
  <c r="F269" i="20"/>
  <c r="F270" i="20" s="1"/>
  <c r="F271" i="20" s="1"/>
  <c r="F272" i="20" s="1"/>
  <c r="F273" i="20" s="1"/>
  <c r="F274" i="20" s="1"/>
  <c r="F275" i="20" s="1"/>
  <c r="F276" i="20" s="1"/>
  <c r="F277" i="20" s="1"/>
  <c r="F278" i="20" s="1"/>
  <c r="F279" i="20" l="1"/>
  <c r="F280" i="20" s="1"/>
  <c r="F281" i="20" s="1"/>
  <c r="F282" i="20" s="1"/>
  <c r="F283" i="20" s="1"/>
  <c r="F284" i="20" s="1"/>
  <c r="F285" i="20" s="1"/>
  <c r="F286" i="20" s="1"/>
  <c r="F287" i="20" s="1"/>
  <c r="F288" i="20" s="1"/>
  <c r="F289" i="20" s="1"/>
  <c r="F290" i="20" l="1"/>
  <c r="F291" i="20" l="1"/>
  <c r="F292" i="20" s="1"/>
  <c r="F293" i="20" s="1"/>
  <c r="F294" i="20" s="1"/>
  <c r="F295" i="20" s="1"/>
  <c r="F296" i="20" s="1"/>
  <c r="F297" i="20" s="1"/>
  <c r="F298" i="20" s="1"/>
  <c r="F299" i="20" s="1"/>
  <c r="F300" i="20" s="1"/>
  <c r="F301" i="20" s="1"/>
  <c r="F302" i="20" l="1"/>
  <c r="F303" i="20" l="1"/>
  <c r="F304" i="20" s="1"/>
  <c r="BC72" i="11"/>
  <c r="BC71" i="11"/>
  <c r="BB72" i="11"/>
  <c r="BB71" i="11"/>
  <c r="AE7" i="22" l="1"/>
  <c r="AF7" i="22"/>
  <c r="AG7" i="22"/>
  <c r="AD8" i="22"/>
  <c r="AE8" i="22"/>
  <c r="AF8" i="22"/>
  <c r="AD9" i="22"/>
  <c r="AE9" i="22"/>
  <c r="AG9" i="22"/>
  <c r="AF9" i="22"/>
  <c r="AG8" i="22"/>
  <c r="AD7" i="22"/>
  <c r="G96" i="22"/>
  <c r="G95" i="22"/>
  <c r="G94" i="22"/>
  <c r="G91" i="22"/>
  <c r="G90" i="22"/>
  <c r="G89" i="22"/>
  <c r="G88" i="22"/>
  <c r="G87" i="22"/>
  <c r="G84" i="22"/>
  <c r="G83" i="22"/>
  <c r="G82" i="22"/>
  <c r="G81" i="22"/>
  <c r="G80" i="22"/>
  <c r="G72" i="22"/>
  <c r="G71" i="22"/>
  <c r="G70" i="22"/>
  <c r="G69" i="22"/>
  <c r="G68" i="22"/>
  <c r="G65" i="22"/>
  <c r="G64" i="22"/>
  <c r="G63" i="22"/>
  <c r="G62" i="22"/>
  <c r="G61" i="22"/>
  <c r="G53" i="22"/>
  <c r="G52" i="22"/>
  <c r="G51" i="22"/>
  <c r="G50" i="22"/>
  <c r="G49" i="22"/>
  <c r="G46" i="22"/>
  <c r="G45" i="22"/>
  <c r="G44" i="22"/>
  <c r="G43" i="22"/>
  <c r="G42" i="22"/>
  <c r="G34" i="22"/>
  <c r="G33" i="22"/>
  <c r="G32" i="22"/>
  <c r="G31" i="22"/>
  <c r="G30" i="22"/>
  <c r="G27" i="22"/>
  <c r="G26" i="22"/>
  <c r="G25" i="22"/>
  <c r="G24" i="22"/>
  <c r="G23" i="22"/>
  <c r="G14" i="22"/>
  <c r="G9" i="22"/>
  <c r="G8" i="22"/>
  <c r="G7" i="22"/>
  <c r="BB96" i="22"/>
  <c r="BB95" i="22"/>
  <c r="BB94" i="22"/>
  <c r="BD91" i="22"/>
  <c r="BC91" i="22"/>
  <c r="BB91" i="22"/>
  <c r="BD90" i="22"/>
  <c r="BC90" i="22"/>
  <c r="BB90" i="22"/>
  <c r="BD89" i="22"/>
  <c r="BC89" i="22"/>
  <c r="BB89" i="22"/>
  <c r="BD88" i="22"/>
  <c r="BC88" i="22"/>
  <c r="BB88" i="22"/>
  <c r="BD87" i="22"/>
  <c r="BC87" i="22"/>
  <c r="BB87" i="22"/>
  <c r="BD84" i="22"/>
  <c r="BC84" i="22"/>
  <c r="BB84" i="22"/>
  <c r="BD83" i="22"/>
  <c r="BC83" i="22"/>
  <c r="BB83" i="22"/>
  <c r="BD82" i="22"/>
  <c r="BC82" i="22"/>
  <c r="BB82" i="22"/>
  <c r="BD81" i="22"/>
  <c r="BC81" i="22"/>
  <c r="BB81" i="22"/>
  <c r="BD80" i="22"/>
  <c r="BC80" i="22"/>
  <c r="BB80" i="22"/>
  <c r="BC76" i="22"/>
  <c r="BB76" i="22"/>
  <c r="BD72" i="22"/>
  <c r="BC72" i="22"/>
  <c r="BB72" i="22"/>
  <c r="BD71" i="22"/>
  <c r="BC71" i="22"/>
  <c r="BB71" i="22"/>
  <c r="BD70" i="22"/>
  <c r="BC70" i="22"/>
  <c r="BB70" i="22"/>
  <c r="BD69" i="22"/>
  <c r="BC69" i="22"/>
  <c r="BB69" i="22"/>
  <c r="BD68" i="22"/>
  <c r="BC68" i="22"/>
  <c r="BB68" i="22"/>
  <c r="BD65" i="22"/>
  <c r="BC65" i="22"/>
  <c r="BB65" i="22"/>
  <c r="BD64" i="22"/>
  <c r="BC64" i="22"/>
  <c r="BB64" i="22"/>
  <c r="BD63" i="22"/>
  <c r="BC63" i="22"/>
  <c r="BB63" i="22"/>
  <c r="BD62" i="22"/>
  <c r="BC62" i="22"/>
  <c r="BB62" i="22"/>
  <c r="BD61" i="22"/>
  <c r="BC61" i="22"/>
  <c r="BB61" i="22"/>
  <c r="BC57" i="22"/>
  <c r="BB57" i="22"/>
  <c r="BD53" i="22"/>
  <c r="BC53" i="22"/>
  <c r="BB53" i="22"/>
  <c r="BD52" i="22"/>
  <c r="BC52" i="22"/>
  <c r="BB52" i="22"/>
  <c r="BD51" i="22"/>
  <c r="BC51" i="22"/>
  <c r="BB51" i="22"/>
  <c r="BD50" i="22"/>
  <c r="BC50" i="22"/>
  <c r="BB50" i="22"/>
  <c r="BD49" i="22"/>
  <c r="BC49" i="22"/>
  <c r="BB49" i="22"/>
  <c r="BD46" i="22"/>
  <c r="BC46" i="22"/>
  <c r="BB46" i="22"/>
  <c r="BD45" i="22"/>
  <c r="BC45" i="22"/>
  <c r="BB45" i="22"/>
  <c r="BD44" i="22"/>
  <c r="BC44" i="22"/>
  <c r="BB44" i="22"/>
  <c r="BD43" i="22"/>
  <c r="BC43" i="22"/>
  <c r="BB43" i="22"/>
  <c r="BD42" i="22"/>
  <c r="BC42" i="22"/>
  <c r="BB42" i="22"/>
  <c r="BC38" i="22"/>
  <c r="BB38" i="22"/>
  <c r="BD34" i="22"/>
  <c r="BC34" i="22"/>
  <c r="BB34" i="22"/>
  <c r="BB19" i="22"/>
  <c r="BC19" i="22"/>
  <c r="BB23" i="22"/>
  <c r="BC23" i="22"/>
  <c r="BD33" i="22"/>
  <c r="BC33" i="22"/>
  <c r="BB33" i="22"/>
  <c r="BD32" i="22"/>
  <c r="BC32" i="22"/>
  <c r="BB32" i="22"/>
  <c r="BD31" i="22"/>
  <c r="BC31" i="22"/>
  <c r="BB31" i="22"/>
  <c r="BD30" i="22"/>
  <c r="BC30" i="22"/>
  <c r="BB30" i="22"/>
  <c r="BD27" i="22"/>
  <c r="BC27" i="22"/>
  <c r="BB27" i="22"/>
  <c r="BD26" i="22"/>
  <c r="BC26" i="22"/>
  <c r="BB26" i="22"/>
  <c r="BD25" i="22"/>
  <c r="BC25" i="22"/>
  <c r="BB25" i="22"/>
  <c r="BD24" i="22"/>
  <c r="BC24" i="22"/>
  <c r="BB24" i="22"/>
  <c r="BD23" i="22"/>
  <c r="BB15" i="22"/>
  <c r="BB14" i="22"/>
  <c r="AD23" i="22"/>
  <c r="AD30" i="22"/>
  <c r="AD42" i="22"/>
  <c r="AD49" i="22"/>
  <c r="AD61" i="22"/>
  <c r="AD68" i="22"/>
  <c r="AD80" i="22"/>
  <c r="AD87" i="22"/>
  <c r="I76" i="22"/>
  <c r="I57" i="22"/>
  <c r="I38" i="22"/>
  <c r="I19" i="22"/>
  <c r="A1" i="22" a="1"/>
  <c r="A1" i="22" s="1"/>
  <c r="D9" i="22" a="1"/>
  <c r="D8" i="22" a="1"/>
  <c r="D7" i="22" a="1"/>
  <c r="BA97" i="22" l="1"/>
  <c r="AR64" i="22"/>
  <c r="AJ64" i="22"/>
  <c r="AS63" i="22"/>
  <c r="AK63" i="22"/>
  <c r="AT62" i="22"/>
  <c r="AL62" i="22"/>
  <c r="AO64" i="22"/>
  <c r="AQ62" i="22"/>
  <c r="AQ64" i="22"/>
  <c r="AI64" i="22"/>
  <c r="AR63" i="22"/>
  <c r="AJ63" i="22"/>
  <c r="AS62" i="22"/>
  <c r="AK62" i="22"/>
  <c r="AW64" i="22"/>
  <c r="AH63" i="22"/>
  <c r="AX64" i="22"/>
  <c r="AP64" i="22"/>
  <c r="AH64" i="22"/>
  <c r="AQ63" i="22"/>
  <c r="AI63" i="22"/>
  <c r="AR62" i="22"/>
  <c r="AJ62" i="22"/>
  <c r="AP63" i="22"/>
  <c r="AV64" i="22"/>
  <c r="AN64" i="22"/>
  <c r="AW63" i="22"/>
  <c r="AO63" i="22"/>
  <c r="AX62" i="22"/>
  <c r="AP62" i="22"/>
  <c r="AH62" i="22"/>
  <c r="AL64" i="22"/>
  <c r="AU63" i="22"/>
  <c r="AV62" i="22"/>
  <c r="AY63" i="22"/>
  <c r="AU64" i="22"/>
  <c r="AM64" i="22"/>
  <c r="AV63" i="22"/>
  <c r="AN63" i="22"/>
  <c r="AW62" i="22"/>
  <c r="AO62" i="22"/>
  <c r="AY64" i="22"/>
  <c r="AT64" i="22"/>
  <c r="AM63" i="22"/>
  <c r="AN62" i="22"/>
  <c r="AS64" i="22"/>
  <c r="AK64" i="22"/>
  <c r="AT63" i="22"/>
  <c r="AL63" i="22"/>
  <c r="AU62" i="22"/>
  <c r="AM62" i="22"/>
  <c r="AY62" i="22"/>
  <c r="AX63" i="22"/>
  <c r="AI62" i="22"/>
  <c r="AV26" i="22"/>
  <c r="AN26" i="22"/>
  <c r="AX25" i="22"/>
  <c r="AP25" i="22"/>
  <c r="AH25" i="22"/>
  <c r="AR24" i="22"/>
  <c r="AJ24" i="22"/>
  <c r="AS26" i="22"/>
  <c r="AX24" i="22"/>
  <c r="AU26" i="22"/>
  <c r="AM26" i="22"/>
  <c r="AW25" i="22"/>
  <c r="AO25" i="22"/>
  <c r="AY25" i="22"/>
  <c r="AQ24" i="22"/>
  <c r="AI24" i="22"/>
  <c r="AK26" i="22"/>
  <c r="AT26" i="22"/>
  <c r="AL26" i="22"/>
  <c r="AV25" i="22"/>
  <c r="AN25" i="22"/>
  <c r="AY24" i="22"/>
  <c r="AP24" i="22"/>
  <c r="AH24" i="22"/>
  <c r="AM25" i="22"/>
  <c r="AV24" i="22"/>
  <c r="AR26" i="22"/>
  <c r="AJ26" i="22"/>
  <c r="AT25" i="22"/>
  <c r="AL25" i="22"/>
  <c r="AW24" i="22"/>
  <c r="AN24" i="22"/>
  <c r="AP26" i="22"/>
  <c r="AJ25" i="22"/>
  <c r="AL24" i="22"/>
  <c r="AQ26" i="22"/>
  <c r="AI26" i="22"/>
  <c r="AS25" i="22"/>
  <c r="AK25" i="22"/>
  <c r="AU24" i="22"/>
  <c r="AM24" i="22"/>
  <c r="AX26" i="22"/>
  <c r="AH26" i="22"/>
  <c r="AR25" i="22"/>
  <c r="AT24" i="22"/>
  <c r="AW26" i="22"/>
  <c r="AO26" i="22"/>
  <c r="AY26" i="22"/>
  <c r="AQ25" i="22"/>
  <c r="AI25" i="22"/>
  <c r="AS24" i="22"/>
  <c r="AK24" i="22"/>
  <c r="AU25" i="22"/>
  <c r="AO24" i="22"/>
  <c r="AX45" i="22"/>
  <c r="AP45" i="22"/>
  <c r="AH45" i="22"/>
  <c r="AQ44" i="22"/>
  <c r="AI44" i="22"/>
  <c r="AR43" i="22"/>
  <c r="AJ43" i="22"/>
  <c r="AN44" i="22"/>
  <c r="AW45" i="22"/>
  <c r="AO45" i="22"/>
  <c r="AX44" i="22"/>
  <c r="AP44" i="22"/>
  <c r="AH44" i="22"/>
  <c r="AQ43" i="22"/>
  <c r="AI43" i="22"/>
  <c r="AM45" i="22"/>
  <c r="AV45" i="22"/>
  <c r="AN45" i="22"/>
  <c r="AW44" i="22"/>
  <c r="AO44" i="22"/>
  <c r="AX43" i="22"/>
  <c r="AP43" i="22"/>
  <c r="AH43" i="22"/>
  <c r="AU45" i="22"/>
  <c r="AW43" i="22"/>
  <c r="AY45" i="22"/>
  <c r="AT45" i="22"/>
  <c r="AL45" i="22"/>
  <c r="AU44" i="22"/>
  <c r="AM44" i="22"/>
  <c r="AV43" i="22"/>
  <c r="AN43" i="22"/>
  <c r="AY44" i="22"/>
  <c r="AJ45" i="22"/>
  <c r="AK44" i="22"/>
  <c r="AL43" i="22"/>
  <c r="AS45" i="22"/>
  <c r="AK45" i="22"/>
  <c r="AT44" i="22"/>
  <c r="AL44" i="22"/>
  <c r="AU43" i="22"/>
  <c r="AM43" i="22"/>
  <c r="AY43" i="22"/>
  <c r="AR45" i="22"/>
  <c r="AS44" i="22"/>
  <c r="AT43" i="22"/>
  <c r="AQ45" i="22"/>
  <c r="AI45" i="22"/>
  <c r="AR44" i="22"/>
  <c r="AJ44" i="22"/>
  <c r="AS43" i="22"/>
  <c r="AK43" i="22"/>
  <c r="AV44" i="22"/>
  <c r="AO43" i="22"/>
  <c r="AT83" i="22"/>
  <c r="AL83" i="22"/>
  <c r="AU82" i="22"/>
  <c r="AM82" i="22"/>
  <c r="AV81" i="22"/>
  <c r="AN81" i="22"/>
  <c r="AY82" i="22"/>
  <c r="AQ83" i="22"/>
  <c r="AS81" i="22"/>
  <c r="AS83" i="22"/>
  <c r="AK83" i="22"/>
  <c r="AT82" i="22"/>
  <c r="AL82" i="22"/>
  <c r="AU81" i="22"/>
  <c r="AM81" i="22"/>
  <c r="AY81" i="22"/>
  <c r="AI83" i="22"/>
  <c r="AR83" i="22"/>
  <c r="AJ83" i="22"/>
  <c r="AS82" i="22"/>
  <c r="AK82" i="22"/>
  <c r="AT81" i="22"/>
  <c r="AL81" i="22"/>
  <c r="AJ82" i="22"/>
  <c r="AK81" i="22"/>
  <c r="AX83" i="22"/>
  <c r="AP83" i="22"/>
  <c r="AH83" i="22"/>
  <c r="AQ82" i="22"/>
  <c r="AI82" i="22"/>
  <c r="AR81" i="22"/>
  <c r="AJ81" i="22"/>
  <c r="AV83" i="22"/>
  <c r="AW82" i="22"/>
  <c r="AX81" i="22"/>
  <c r="AH81" i="22"/>
  <c r="AW83" i="22"/>
  <c r="AO83" i="22"/>
  <c r="AX82" i="22"/>
  <c r="AP82" i="22"/>
  <c r="AH82" i="22"/>
  <c r="AQ81" i="22"/>
  <c r="AI81" i="22"/>
  <c r="AN83" i="22"/>
  <c r="AO82" i="22"/>
  <c r="AP81" i="22"/>
  <c r="AU83" i="22"/>
  <c r="AM83" i="22"/>
  <c r="AV82" i="22"/>
  <c r="AN82" i="22"/>
  <c r="AW81" i="22"/>
  <c r="AO81" i="22"/>
  <c r="AY83" i="22"/>
  <c r="AR82" i="22"/>
  <c r="AD83" i="22"/>
  <c r="AD64" i="22"/>
  <c r="AD45" i="22"/>
  <c r="AD26" i="22"/>
  <c r="AF81" i="22"/>
  <c r="AF62" i="22"/>
  <c r="AF43" i="22"/>
  <c r="AF24" i="22"/>
  <c r="AE81" i="22"/>
  <c r="AE62" i="22"/>
  <c r="AE43" i="22"/>
  <c r="AE24" i="22"/>
  <c r="AD81" i="22"/>
  <c r="AD62" i="22"/>
  <c r="AD43" i="22"/>
  <c r="AD24" i="22"/>
  <c r="AG24" i="22"/>
  <c r="AG81" i="22"/>
  <c r="AG62" i="22"/>
  <c r="AG43" i="22"/>
  <c r="AE83" i="22"/>
  <c r="AE64" i="22"/>
  <c r="AE45" i="22"/>
  <c r="AE26" i="22"/>
  <c r="AF45" i="22"/>
  <c r="AF26" i="22"/>
  <c r="AF83" i="22"/>
  <c r="AF64" i="22"/>
  <c r="AG83" i="22"/>
  <c r="AG64" i="22"/>
  <c r="AG45" i="22"/>
  <c r="AG26" i="22"/>
  <c r="D7" i="22"/>
  <c r="D9" i="22"/>
  <c r="D8" i="22"/>
  <c r="BA88" i="22"/>
  <c r="BA80" i="22"/>
  <c r="BA72" i="22"/>
  <c r="BA64" i="22"/>
  <c r="BA32" i="22"/>
  <c r="BA24" i="22"/>
  <c r="BA50" i="22"/>
  <c r="BA49" i="22"/>
  <c r="BA25" i="22"/>
  <c r="BA96" i="22"/>
  <c r="BA87" i="22"/>
  <c r="BA71" i="22"/>
  <c r="BA63" i="22"/>
  <c r="BA31" i="22"/>
  <c r="BA23" i="22"/>
  <c r="BA65" i="22"/>
  <c r="BA95" i="22"/>
  <c r="BA70" i="22"/>
  <c r="BA62" i="22"/>
  <c r="BA46" i="22"/>
  <c r="BA38" i="22"/>
  <c r="BA30" i="22"/>
  <c r="BA83" i="22"/>
  <c r="BA90" i="22"/>
  <c r="BA26" i="22"/>
  <c r="BA81" i="22"/>
  <c r="BA33" i="22"/>
  <c r="BA94" i="22"/>
  <c r="BA69" i="22"/>
  <c r="BA61" i="22"/>
  <c r="BA53" i="22"/>
  <c r="BA45" i="22"/>
  <c r="BA91" i="22"/>
  <c r="BA43" i="22"/>
  <c r="BA27" i="22"/>
  <c r="BA42" i="22"/>
  <c r="BA89" i="22"/>
  <c r="BA57" i="22"/>
  <c r="BA84" i="22"/>
  <c r="BA76" i="22"/>
  <c r="BA68" i="22"/>
  <c r="BA52" i="22"/>
  <c r="BA44" i="22"/>
  <c r="BA51" i="22"/>
  <c r="BA19" i="22"/>
  <c r="BA82" i="22"/>
  <c r="BA34" i="22"/>
  <c r="BA14" i="22"/>
  <c r="BA15" i="22"/>
  <c r="AG14" i="22"/>
  <c r="AF14" i="22"/>
  <c r="AD14" i="22"/>
  <c r="AE14" i="22"/>
  <c r="AD25" i="22" l="1"/>
  <c r="AD82" i="22"/>
  <c r="AD84" i="22" s="1"/>
  <c r="AE80" i="22" s="1"/>
  <c r="AD63" i="22"/>
  <c r="AD65" i="22" s="1"/>
  <c r="AE61" i="22" s="1"/>
  <c r="AD44" i="22"/>
  <c r="AD46" i="22" s="1"/>
  <c r="AE42" i="22" s="1"/>
  <c r="AF82" i="22"/>
  <c r="AF63" i="22"/>
  <c r="AF44" i="22"/>
  <c r="AF25" i="22"/>
  <c r="AG82" i="22"/>
  <c r="AG63" i="22"/>
  <c r="AG44" i="22"/>
  <c r="AG25" i="22"/>
  <c r="AE82" i="22"/>
  <c r="AE63" i="22"/>
  <c r="AE44" i="22"/>
  <c r="AE25" i="22"/>
  <c r="AD27" i="22" l="1"/>
  <c r="AE65" i="22"/>
  <c r="AF61" i="22" s="1"/>
  <c r="AF65" i="22" s="1"/>
  <c r="AG61" i="22" s="1"/>
  <c r="AG65" i="22" s="1"/>
  <c r="AH61" i="22" s="1"/>
  <c r="AH65" i="22" s="1"/>
  <c r="AI61" i="22" s="1"/>
  <c r="AI65" i="22" s="1"/>
  <c r="AJ61" i="22" s="1"/>
  <c r="AJ65" i="22" s="1"/>
  <c r="AK61" i="22" s="1"/>
  <c r="AK65" i="22" s="1"/>
  <c r="AL61" i="22" s="1"/>
  <c r="AL65" i="22" s="1"/>
  <c r="AM61" i="22" s="1"/>
  <c r="AM65" i="22" s="1"/>
  <c r="AN61" i="22" s="1"/>
  <c r="AN65" i="22" s="1"/>
  <c r="AO61" i="22" s="1"/>
  <c r="AO65" i="22" s="1"/>
  <c r="AP61" i="22" s="1"/>
  <c r="AP65" i="22" s="1"/>
  <c r="AQ61" i="22" s="1"/>
  <c r="AQ65" i="22" s="1"/>
  <c r="AR61" i="22" s="1"/>
  <c r="AR65" i="22" s="1"/>
  <c r="AS61" i="22" s="1"/>
  <c r="AS65" i="22" s="1"/>
  <c r="AT61" i="22" s="1"/>
  <c r="AT65" i="22" s="1"/>
  <c r="AE84" i="22"/>
  <c r="AF80" i="22" s="1"/>
  <c r="AF84" i="22" s="1"/>
  <c r="AG80" i="22" s="1"/>
  <c r="AG84" i="22" s="1"/>
  <c r="AH80" i="22" s="1"/>
  <c r="AH84" i="22" s="1"/>
  <c r="AI80" i="22" s="1"/>
  <c r="AI84" i="22" s="1"/>
  <c r="AJ80" i="22" s="1"/>
  <c r="AJ84" i="22" s="1"/>
  <c r="AK80" i="22" s="1"/>
  <c r="AK84" i="22" s="1"/>
  <c r="AL80" i="22" s="1"/>
  <c r="AL84" i="22" s="1"/>
  <c r="AM80" i="22" s="1"/>
  <c r="AM84" i="22" s="1"/>
  <c r="AN80" i="22" s="1"/>
  <c r="AN84" i="22" s="1"/>
  <c r="AO80" i="22" s="1"/>
  <c r="AO84" i="22" s="1"/>
  <c r="AP80" i="22" s="1"/>
  <c r="AP84" i="22" s="1"/>
  <c r="AQ80" i="22" s="1"/>
  <c r="AQ84" i="22" s="1"/>
  <c r="AR80" i="22" s="1"/>
  <c r="AR84" i="22" s="1"/>
  <c r="AS80" i="22" s="1"/>
  <c r="AS84" i="22" s="1"/>
  <c r="AT80" i="22" s="1"/>
  <c r="AT84" i="22" s="1"/>
  <c r="AE46" i="22"/>
  <c r="AF42" i="22" s="1"/>
  <c r="AF46" i="22" s="1"/>
  <c r="AG42" i="22" s="1"/>
  <c r="AG46" i="22" s="1"/>
  <c r="AH42" i="22" s="1"/>
  <c r="AH46" i="22" s="1"/>
  <c r="AI42" i="22" s="1"/>
  <c r="AI46" i="22" s="1"/>
  <c r="AJ42" i="22" s="1"/>
  <c r="AJ46" i="22" s="1"/>
  <c r="AK42" i="22" s="1"/>
  <c r="AK46" i="22" s="1"/>
  <c r="AL42" i="22" s="1"/>
  <c r="AL46" i="22" s="1"/>
  <c r="AM42" i="22" s="1"/>
  <c r="AM46" i="22" s="1"/>
  <c r="AN42" i="22" s="1"/>
  <c r="AN46" i="22" s="1"/>
  <c r="AO42" i="22" s="1"/>
  <c r="AO46" i="22" s="1"/>
  <c r="AP42" i="22" s="1"/>
  <c r="AP46" i="22" s="1"/>
  <c r="AQ42" i="22" s="1"/>
  <c r="AQ46" i="22" s="1"/>
  <c r="AR42" i="22" s="1"/>
  <c r="AR46" i="22" s="1"/>
  <c r="AS42" i="22" s="1"/>
  <c r="AS46" i="22" s="1"/>
  <c r="AT42" i="22" s="1"/>
  <c r="AT46" i="22" s="1"/>
  <c r="AU80" i="22" l="1"/>
  <c r="AU84" i="22" s="1"/>
  <c r="AV80" i="22" s="1"/>
  <c r="AV84" i="22" s="1"/>
  <c r="AW80" i="22" s="1"/>
  <c r="AW84" i="22" s="1"/>
  <c r="AX80" i="22" s="1"/>
  <c r="AX84" i="22" s="1"/>
  <c r="AY80" i="22" s="1"/>
  <c r="AY84" i="22" s="1"/>
  <c r="AU61" i="22"/>
  <c r="AU65" i="22" s="1"/>
  <c r="AV61" i="22" s="1"/>
  <c r="AV65" i="22" s="1"/>
  <c r="AW61" i="22" s="1"/>
  <c r="AW65" i="22" s="1"/>
  <c r="AX61" i="22" s="1"/>
  <c r="AX65" i="22" s="1"/>
  <c r="AY61" i="22" s="1"/>
  <c r="AY65" i="22" s="1"/>
  <c r="AU42" i="22"/>
  <c r="AU46" i="22" s="1"/>
  <c r="AV42" i="22" s="1"/>
  <c r="AV46" i="22" s="1"/>
  <c r="AW42" i="22" s="1"/>
  <c r="AW46" i="22" s="1"/>
  <c r="AX42" i="22" s="1"/>
  <c r="AX46" i="22" s="1"/>
  <c r="AY42" i="22" s="1"/>
  <c r="AY46" i="22" s="1"/>
  <c r="AE23" i="22"/>
  <c r="AE27" i="22" l="1"/>
  <c r="AF23" i="22" s="1"/>
  <c r="AF27" i="22" s="1"/>
  <c r="AG23" i="22" s="1"/>
  <c r="AG27" i="22" l="1"/>
  <c r="AH23" i="22" s="1"/>
  <c r="AH27" i="22" l="1"/>
  <c r="AI23" i="22" s="1"/>
  <c r="AI27" i="22" l="1"/>
  <c r="AJ23" i="22" s="1"/>
  <c r="AJ27" i="22" l="1"/>
  <c r="AK23" i="22" s="1"/>
  <c r="AK27" i="22" l="1"/>
  <c r="AL23" i="22" s="1"/>
  <c r="AL27" i="22" l="1"/>
  <c r="AM23" i="22" s="1"/>
  <c r="AM27" i="22" l="1"/>
  <c r="AN23" i="22" s="1"/>
  <c r="AN27" i="22" l="1"/>
  <c r="AO23" i="22" s="1"/>
  <c r="AO27" i="22" l="1"/>
  <c r="AP23" i="22" s="1"/>
  <c r="AP27" i="22" l="1"/>
  <c r="AQ23" i="22" s="1"/>
  <c r="AQ27" i="22" l="1"/>
  <c r="AR23" i="22" s="1"/>
  <c r="AR27" i="22" l="1"/>
  <c r="AS23" i="22" s="1"/>
  <c r="AS27" i="22" l="1"/>
  <c r="AT23" i="22" s="1"/>
  <c r="AT27" i="22" l="1"/>
  <c r="AU23" i="22" l="1"/>
  <c r="AU27" i="22" l="1"/>
  <c r="AV23" i="22" s="1"/>
  <c r="AV27" i="22" s="1"/>
  <c r="AW23" i="22" s="1"/>
  <c r="AW27" i="22" l="1"/>
  <c r="AX23" i="22" s="1"/>
  <c r="AX27" i="22" l="1"/>
  <c r="AY23" i="22" s="1"/>
  <c r="AY27" i="22" l="1"/>
  <c r="I191" i="15" l="1"/>
  <c r="I18" i="13" s="1"/>
  <c r="I47" i="40" s="1" a="1"/>
  <c r="I47" i="40" s="1"/>
  <c r="I63" i="40" l="1"/>
  <c r="BB37" i="11"/>
  <c r="BB36" i="11"/>
  <c r="BB35" i="11"/>
  <c r="BB34" i="11"/>
  <c r="BB33" i="11"/>
  <c r="BB32" i="11"/>
  <c r="BB31" i="11"/>
  <c r="A1" i="12" a="1"/>
  <c r="A1" i="12" s="1"/>
  <c r="A1" i="11" a="1"/>
  <c r="A1" i="11" s="1"/>
  <c r="A1" i="13" a="1"/>
  <c r="A1" i="13" s="1"/>
  <c r="BA64" i="13" s="1"/>
  <c r="A1" i="9" a="1"/>
  <c r="A1" i="9" s="1"/>
  <c r="A1" i="4" a="1"/>
  <c r="A1" i="4" s="1"/>
  <c r="A1" i="14" a="1"/>
  <c r="A1" i="14" s="1"/>
  <c r="BA44" i="14" s="1"/>
  <c r="A1" i="15" a="1"/>
  <c r="A1" i="15" s="1"/>
  <c r="A1" i="2" a="1"/>
  <c r="A1" i="2" s="1"/>
  <c r="AY223" i="15"/>
  <c r="AY10" i="11" s="1"/>
  <c r="AX223" i="15"/>
  <c r="AX10" i="11" s="1"/>
  <c r="AW223" i="15"/>
  <c r="AW10" i="11" s="1"/>
  <c r="AV223" i="15"/>
  <c r="AV10" i="11" s="1"/>
  <c r="AU223" i="15"/>
  <c r="AU10" i="11" s="1"/>
  <c r="BA590" i="14" l="1"/>
  <c r="BA591" i="14"/>
  <c r="BA55" i="14"/>
  <c r="BA60" i="14"/>
  <c r="BA265" i="15"/>
  <c r="BA25" i="15"/>
  <c r="BA49" i="11"/>
  <c r="BA48" i="11"/>
  <c r="BA46" i="11"/>
  <c r="BA229" i="15"/>
  <c r="BA227" i="15"/>
  <c r="BA228" i="15"/>
  <c r="BA39" i="15"/>
  <c r="BA226" i="15"/>
  <c r="BA562" i="14"/>
  <c r="BA563" i="14"/>
  <c r="BA565" i="14"/>
  <c r="BA564" i="14"/>
  <c r="BA270" i="14"/>
  <c r="BA268" i="14"/>
  <c r="BA266" i="14"/>
  <c r="BA264" i="14"/>
  <c r="BA262" i="14"/>
  <c r="BA260" i="14"/>
  <c r="BA258" i="14"/>
  <c r="BA256" i="14"/>
  <c r="BA254" i="14"/>
  <c r="BA252" i="14"/>
  <c r="BA250" i="14"/>
  <c r="BA248" i="14"/>
  <c r="BA246" i="14"/>
  <c r="BA244" i="14"/>
  <c r="BA242" i="14"/>
  <c r="BA240" i="14"/>
  <c r="BA238" i="14"/>
  <c r="BA236" i="14"/>
  <c r="BA234" i="14"/>
  <c r="BA232" i="14"/>
  <c r="BA230" i="14"/>
  <c r="BA228" i="14"/>
  <c r="BA226" i="14"/>
  <c r="BA224" i="14"/>
  <c r="BA222" i="14"/>
  <c r="BA220" i="14"/>
  <c r="BA218" i="14"/>
  <c r="BA216" i="14"/>
  <c r="BA269" i="14"/>
  <c r="BA267" i="14"/>
  <c r="BA265" i="14"/>
  <c r="BA263" i="14"/>
  <c r="BA261" i="14"/>
  <c r="BA259" i="14"/>
  <c r="BA257" i="14"/>
  <c r="BA255" i="14"/>
  <c r="BA253" i="14"/>
  <c r="BA251" i="14"/>
  <c r="BA249" i="14"/>
  <c r="BA247" i="14"/>
  <c r="BA245" i="14"/>
  <c r="BA243" i="14"/>
  <c r="BA241" i="14"/>
  <c r="BA239" i="14"/>
  <c r="BA237" i="14"/>
  <c r="BA235" i="14"/>
  <c r="BA233" i="14"/>
  <c r="BA231" i="14"/>
  <c r="BA229" i="14"/>
  <c r="BA227" i="14"/>
  <c r="BA225" i="14"/>
  <c r="BA223" i="14"/>
  <c r="BA221" i="14"/>
  <c r="BA219" i="14"/>
  <c r="BA217" i="14"/>
  <c r="BA215" i="14"/>
  <c r="BA201" i="14"/>
  <c r="BA177" i="14"/>
  <c r="BA163" i="14"/>
  <c r="BA195" i="14"/>
  <c r="BA175" i="14"/>
  <c r="BA171" i="14"/>
  <c r="BA167" i="14"/>
  <c r="BA159" i="14"/>
  <c r="BA153" i="14"/>
  <c r="BA193" i="14"/>
  <c r="BA202" i="14"/>
  <c r="BA200" i="14"/>
  <c r="BA198" i="14"/>
  <c r="BA196" i="14"/>
  <c r="BA194" i="14"/>
  <c r="BA192" i="14"/>
  <c r="BA190" i="14"/>
  <c r="BA188" i="14"/>
  <c r="BA186" i="14"/>
  <c r="BA184" i="14"/>
  <c r="BA182" i="14"/>
  <c r="BA180" i="14"/>
  <c r="BA178" i="14"/>
  <c r="BA176" i="14"/>
  <c r="BA174" i="14"/>
  <c r="BA172" i="14"/>
  <c r="BA170" i="14"/>
  <c r="BA168" i="14"/>
  <c r="BA166" i="14"/>
  <c r="BA164" i="14"/>
  <c r="BA162" i="14"/>
  <c r="BA160" i="14"/>
  <c r="BA158" i="14"/>
  <c r="BA156" i="14"/>
  <c r="BA154" i="14"/>
  <c r="BA197" i="14"/>
  <c r="BA189" i="14"/>
  <c r="BA187" i="14"/>
  <c r="BA185" i="14"/>
  <c r="BA183" i="14"/>
  <c r="BA181" i="14"/>
  <c r="BA173" i="14"/>
  <c r="BA169" i="14"/>
  <c r="BA165" i="14"/>
  <c r="BA157" i="14"/>
  <c r="BA191" i="14"/>
  <c r="BA199" i="14"/>
  <c r="BA179" i="14"/>
  <c r="BA161" i="14"/>
  <c r="BA155" i="14"/>
  <c r="BA539" i="14"/>
  <c r="BA588" i="14"/>
  <c r="BA67" i="11"/>
  <c r="BA92" i="11"/>
  <c r="BA63" i="11"/>
  <c r="BA65" i="11"/>
  <c r="BA64" i="11"/>
  <c r="BA28" i="11"/>
  <c r="BA62" i="11"/>
  <c r="BA280" i="15"/>
  <c r="BA282" i="15"/>
  <c r="BA279" i="15"/>
  <c r="BA281" i="15"/>
  <c r="BA278" i="15"/>
  <c r="BA255" i="15"/>
  <c r="BA276" i="15"/>
  <c r="BA275" i="15"/>
  <c r="BA272" i="15"/>
  <c r="BA274" i="15"/>
  <c r="BA273" i="15"/>
  <c r="BA144" i="15"/>
  <c r="BA254" i="15"/>
  <c r="BA580" i="14"/>
  <c r="BA579" i="14"/>
  <c r="BA74" i="14"/>
  <c r="BA71" i="14"/>
  <c r="BA73" i="14"/>
  <c r="BA72" i="14"/>
  <c r="BA65" i="14"/>
  <c r="BA66" i="14"/>
  <c r="BA63" i="14"/>
  <c r="BA64" i="14"/>
  <c r="BA181" i="15"/>
  <c r="BA267" i="15"/>
  <c r="BA141" i="15"/>
  <c r="BA142" i="15"/>
  <c r="BA79" i="15"/>
  <c r="BA107" i="15"/>
  <c r="BA35" i="14"/>
  <c r="BA93" i="14"/>
  <c r="BA67" i="15"/>
  <c r="BA86" i="13"/>
  <c r="BA92" i="13"/>
  <c r="BA91" i="13"/>
  <c r="BA82" i="13"/>
  <c r="BA84" i="13"/>
  <c r="BA83" i="13"/>
  <c r="BA78" i="13"/>
  <c r="BA80" i="13"/>
  <c r="BA77" i="13"/>
  <c r="BA79" i="13"/>
  <c r="BA76" i="13"/>
  <c r="BA72" i="13"/>
  <c r="BA74" i="13"/>
  <c r="BA73" i="13"/>
  <c r="BA68" i="13"/>
  <c r="BA70" i="13"/>
  <c r="BA69" i="13"/>
  <c r="BA45" i="13"/>
  <c r="BA46" i="13"/>
  <c r="BA65" i="15"/>
  <c r="BA64" i="15"/>
  <c r="BA62" i="15"/>
  <c r="BA264" i="15"/>
  <c r="BA268" i="15"/>
  <c r="BA270" i="15"/>
  <c r="BA269" i="15"/>
  <c r="BA266" i="15"/>
  <c r="BA251" i="15"/>
  <c r="BA259" i="15"/>
  <c r="BA261" i="15"/>
  <c r="BA258" i="15"/>
  <c r="BA260" i="15"/>
  <c r="BA257" i="15"/>
  <c r="BA247" i="15"/>
  <c r="BA250" i="15"/>
  <c r="BA248" i="15"/>
  <c r="BA159" i="15"/>
  <c r="BA160" i="15"/>
  <c r="BA126" i="15"/>
  <c r="BA132" i="15"/>
  <c r="BA128" i="15"/>
  <c r="BA130" i="15"/>
  <c r="BA131" i="15"/>
  <c r="BA129" i="15"/>
  <c r="BA576" i="14"/>
  <c r="BA578" i="14"/>
  <c r="BA577" i="14"/>
  <c r="BA486" i="14"/>
  <c r="BA488" i="14"/>
  <c r="BA487" i="14"/>
  <c r="BA478" i="14"/>
  <c r="BA453" i="14"/>
  <c r="BA451" i="14"/>
  <c r="BA449" i="14"/>
  <c r="BA447" i="14"/>
  <c r="BA445" i="14"/>
  <c r="BA443" i="14"/>
  <c r="BA441" i="14"/>
  <c r="BA439" i="14"/>
  <c r="BA437" i="14"/>
  <c r="BA435" i="14"/>
  <c r="BA433" i="14"/>
  <c r="BA431" i="14"/>
  <c r="BA429" i="14"/>
  <c r="BA427" i="14"/>
  <c r="BA425" i="14"/>
  <c r="BA423" i="14"/>
  <c r="BA421" i="14"/>
  <c r="BA419" i="14"/>
  <c r="BA417" i="14"/>
  <c r="BA415" i="14"/>
  <c r="BA413" i="14"/>
  <c r="BA411" i="14"/>
  <c r="BA409" i="14"/>
  <c r="BA407" i="14"/>
  <c r="BA405" i="14"/>
  <c r="BA403" i="14"/>
  <c r="BA401" i="14"/>
  <c r="BA399" i="14"/>
  <c r="BA397" i="14"/>
  <c r="BA395" i="14"/>
  <c r="BA393" i="14"/>
  <c r="BA391" i="14"/>
  <c r="BA389" i="14"/>
  <c r="BA387" i="14"/>
  <c r="BA385" i="14"/>
  <c r="BA383" i="14"/>
  <c r="BA381" i="14"/>
  <c r="BA379" i="14"/>
  <c r="BA377" i="14"/>
  <c r="BA375" i="14"/>
  <c r="BA373" i="14"/>
  <c r="BA371" i="14"/>
  <c r="BA369" i="14"/>
  <c r="BA367" i="14"/>
  <c r="BA365" i="14"/>
  <c r="BA363" i="14"/>
  <c r="BA361" i="14"/>
  <c r="BA359" i="14"/>
  <c r="BA357" i="14"/>
  <c r="BA355" i="14"/>
  <c r="BA353" i="14"/>
  <c r="BA351" i="14"/>
  <c r="BA349" i="14"/>
  <c r="BA347" i="14"/>
  <c r="BA345" i="14"/>
  <c r="BA343" i="14"/>
  <c r="BA341" i="14"/>
  <c r="BA339" i="14"/>
  <c r="BA337" i="14"/>
  <c r="BA335" i="14"/>
  <c r="BA333" i="14"/>
  <c r="BA331" i="14"/>
  <c r="BA329" i="14"/>
  <c r="BA327" i="14"/>
  <c r="BA325" i="14"/>
  <c r="BA323" i="14"/>
  <c r="BA321" i="14"/>
  <c r="BA319" i="14"/>
  <c r="BA317" i="14"/>
  <c r="BA315" i="14"/>
  <c r="BA313" i="14"/>
  <c r="BA311" i="14"/>
  <c r="BA309" i="14"/>
  <c r="BA307" i="14"/>
  <c r="BA305" i="14"/>
  <c r="BA303" i="14"/>
  <c r="BA301" i="14"/>
  <c r="BA299" i="14"/>
  <c r="BA297" i="14"/>
  <c r="BA452" i="14"/>
  <c r="BA436" i="14"/>
  <c r="BA420" i="14"/>
  <c r="BA404" i="14"/>
  <c r="BA388" i="14"/>
  <c r="BA372" i="14"/>
  <c r="BA356" i="14"/>
  <c r="BA340" i="14"/>
  <c r="BA324" i="14"/>
  <c r="BA308" i="14"/>
  <c r="BA446" i="14"/>
  <c r="BA350" i="14"/>
  <c r="BA318" i="14"/>
  <c r="BA302" i="14"/>
  <c r="BA454" i="14"/>
  <c r="BA438" i="14"/>
  <c r="BA422" i="14"/>
  <c r="BA406" i="14"/>
  <c r="BA390" i="14"/>
  <c r="BA374" i="14"/>
  <c r="BA358" i="14"/>
  <c r="BA342" i="14"/>
  <c r="BA326" i="14"/>
  <c r="BA310" i="14"/>
  <c r="BA440" i="14"/>
  <c r="BA424" i="14"/>
  <c r="BA408" i="14"/>
  <c r="BA392" i="14"/>
  <c r="BA376" i="14"/>
  <c r="BA360" i="14"/>
  <c r="BA344" i="14"/>
  <c r="BA328" i="14"/>
  <c r="BA312" i="14"/>
  <c r="BA296" i="14"/>
  <c r="BA294" i="14"/>
  <c r="BA292" i="14"/>
  <c r="BA290" i="14"/>
  <c r="BA288" i="14"/>
  <c r="BA286" i="14"/>
  <c r="BA284" i="14"/>
  <c r="BA282" i="14"/>
  <c r="BA280" i="14"/>
  <c r="BA278" i="14"/>
  <c r="BA276" i="14"/>
  <c r="BA274" i="14"/>
  <c r="BA272" i="14"/>
  <c r="BA213" i="14"/>
  <c r="BA211" i="14"/>
  <c r="BA430" i="14"/>
  <c r="BA398" i="14"/>
  <c r="BA366" i="14"/>
  <c r="BA442" i="14"/>
  <c r="BA426" i="14"/>
  <c r="BA410" i="14"/>
  <c r="BA394" i="14"/>
  <c r="BA378" i="14"/>
  <c r="BA362" i="14"/>
  <c r="BA346" i="14"/>
  <c r="BA330" i="14"/>
  <c r="BA314" i="14"/>
  <c r="BA298" i="14"/>
  <c r="BA334" i="14"/>
  <c r="BA444" i="14"/>
  <c r="BA428" i="14"/>
  <c r="BA412" i="14"/>
  <c r="BA396" i="14"/>
  <c r="BA380" i="14"/>
  <c r="BA364" i="14"/>
  <c r="BA348" i="14"/>
  <c r="BA332" i="14"/>
  <c r="BA316" i="14"/>
  <c r="BA300" i="14"/>
  <c r="BA448" i="14"/>
  <c r="BA432" i="14"/>
  <c r="BA416" i="14"/>
  <c r="BA400" i="14"/>
  <c r="BA384" i="14"/>
  <c r="BA368" i="14"/>
  <c r="BA352" i="14"/>
  <c r="BA336" i="14"/>
  <c r="BA320" i="14"/>
  <c r="BA304" i="14"/>
  <c r="BA295" i="14"/>
  <c r="BA293" i="14"/>
  <c r="BA291" i="14"/>
  <c r="BA289" i="14"/>
  <c r="BA287" i="14"/>
  <c r="BA285" i="14"/>
  <c r="BA283" i="14"/>
  <c r="BA281" i="14"/>
  <c r="BA279" i="14"/>
  <c r="BA277" i="14"/>
  <c r="BA275" i="14"/>
  <c r="BA273" i="14"/>
  <c r="BA271" i="14"/>
  <c r="BA214" i="14"/>
  <c r="BA212" i="14"/>
  <c r="BA210" i="14"/>
  <c r="BA450" i="14"/>
  <c r="BA434" i="14"/>
  <c r="BA418" i="14"/>
  <c r="BA402" i="14"/>
  <c r="BA386" i="14"/>
  <c r="BA370" i="14"/>
  <c r="BA354" i="14"/>
  <c r="BA338" i="14"/>
  <c r="BA322" i="14"/>
  <c r="BA306" i="14"/>
  <c r="BA414" i="14"/>
  <c r="BA382" i="14"/>
  <c r="BA139" i="14"/>
  <c r="BA113" i="14"/>
  <c r="BA99" i="14"/>
  <c r="BA135" i="14"/>
  <c r="BA115" i="14"/>
  <c r="BA103" i="14"/>
  <c r="BA137" i="14"/>
  <c r="BA127" i="14"/>
  <c r="BA121" i="14"/>
  <c r="BA111" i="14"/>
  <c r="BA105" i="14"/>
  <c r="BA148" i="14"/>
  <c r="BA146" i="14"/>
  <c r="BA144" i="14"/>
  <c r="BA142" i="14"/>
  <c r="BA140" i="14"/>
  <c r="BA138" i="14"/>
  <c r="BA136" i="14"/>
  <c r="BA134" i="14"/>
  <c r="BA132" i="14"/>
  <c r="BA130" i="14"/>
  <c r="BA128" i="14"/>
  <c r="BA126" i="14"/>
  <c r="BA124" i="14"/>
  <c r="BA122" i="14"/>
  <c r="BA120" i="14"/>
  <c r="BA118" i="14"/>
  <c r="BA116" i="14"/>
  <c r="BA114" i="14"/>
  <c r="BA112" i="14"/>
  <c r="BA110" i="14"/>
  <c r="BA108" i="14"/>
  <c r="BA106" i="14"/>
  <c r="BA104" i="14"/>
  <c r="BA102" i="14"/>
  <c r="BA100" i="14"/>
  <c r="BA141" i="14"/>
  <c r="BA133" i="14"/>
  <c r="BA131" i="14"/>
  <c r="BA129" i="14"/>
  <c r="BA125" i="14"/>
  <c r="BA117" i="14"/>
  <c r="BA107" i="14"/>
  <c r="BA143" i="14"/>
  <c r="BA119" i="14"/>
  <c r="BA101" i="14"/>
  <c r="BA145" i="14"/>
  <c r="BA147" i="14"/>
  <c r="BA123" i="14"/>
  <c r="BA109" i="14"/>
  <c r="BA69" i="14"/>
  <c r="BA70" i="14"/>
  <c r="BA62" i="14"/>
  <c r="BA531" i="14"/>
  <c r="BA530" i="14"/>
  <c r="BA61" i="14"/>
  <c r="BA59" i="14"/>
  <c r="BA58" i="14"/>
  <c r="BA584" i="14"/>
  <c r="BA587" i="14"/>
  <c r="BA8" i="12"/>
  <c r="BA27" i="12"/>
  <c r="BA18" i="12"/>
  <c r="BA10" i="12"/>
  <c r="BA26" i="12"/>
  <c r="BA17" i="12"/>
  <c r="BA9" i="12"/>
  <c r="BA25" i="12"/>
  <c r="BA16" i="12"/>
  <c r="BA24" i="12"/>
  <c r="BA15" i="12"/>
  <c r="BA12" i="12"/>
  <c r="BA20" i="12"/>
  <c r="BA22" i="12"/>
  <c r="BA13" i="12"/>
  <c r="BA21" i="12"/>
  <c r="BA19" i="12"/>
  <c r="BA14" i="12"/>
  <c r="BA11" i="12"/>
  <c r="BA31" i="11"/>
  <c r="BA107" i="11"/>
  <c r="BA101" i="11"/>
  <c r="BA71" i="11"/>
  <c r="BA42" i="11"/>
  <c r="BA34" i="11"/>
  <c r="BA106" i="11"/>
  <c r="BA100" i="11"/>
  <c r="BA91" i="11"/>
  <c r="BA84" i="11"/>
  <c r="BA54" i="11"/>
  <c r="BA41" i="11"/>
  <c r="BA33" i="11"/>
  <c r="BA83" i="11"/>
  <c r="BA77" i="11"/>
  <c r="BA53" i="11"/>
  <c r="BA32" i="11"/>
  <c r="BA82" i="11"/>
  <c r="BA76" i="11"/>
  <c r="BA52" i="11"/>
  <c r="BA86" i="11"/>
  <c r="BA103" i="11"/>
  <c r="BA97" i="11"/>
  <c r="BA59" i="11"/>
  <c r="BA38" i="11"/>
  <c r="BA79" i="11"/>
  <c r="BA73" i="11"/>
  <c r="BA36" i="11"/>
  <c r="BA102" i="11"/>
  <c r="BA96" i="11"/>
  <c r="BA87" i="11"/>
  <c r="BA58" i="11"/>
  <c r="BA45" i="11"/>
  <c r="BA37" i="11"/>
  <c r="BA95" i="11"/>
  <c r="BA78" i="11"/>
  <c r="BA72" i="11"/>
  <c r="BA56" i="11"/>
  <c r="BA43" i="11"/>
  <c r="BA35" i="11"/>
  <c r="BA35" i="13"/>
  <c r="BA105" i="13"/>
  <c r="BA63" i="13"/>
  <c r="BA52" i="13"/>
  <c r="BA43" i="13"/>
  <c r="BA36" i="13"/>
  <c r="BA104" i="13"/>
  <c r="BA96" i="13"/>
  <c r="BA89" i="13"/>
  <c r="BA58" i="13"/>
  <c r="BA51" i="13"/>
  <c r="BA42" i="13"/>
  <c r="BA62" i="13"/>
  <c r="BA50" i="13"/>
  <c r="BA41" i="13"/>
  <c r="BA102" i="13"/>
  <c r="BA61" i="13"/>
  <c r="BA57" i="13"/>
  <c r="BA49" i="13"/>
  <c r="BA40" i="13"/>
  <c r="BA101" i="13"/>
  <c r="BA48" i="13"/>
  <c r="BA39" i="13"/>
  <c r="BA99" i="13"/>
  <c r="BA37" i="13"/>
  <c r="BA100" i="13"/>
  <c r="BA47" i="13"/>
  <c r="BA38" i="13"/>
  <c r="BA98" i="13"/>
  <c r="BA53" i="13"/>
  <c r="BA44" i="13"/>
  <c r="BA41" i="9"/>
  <c r="BA106" i="9"/>
  <c r="BA98" i="9"/>
  <c r="BA90" i="9"/>
  <c r="BA82" i="9"/>
  <c r="BA74" i="9"/>
  <c r="BA66" i="9"/>
  <c r="BA58" i="9"/>
  <c r="BA50" i="9"/>
  <c r="BA42" i="9"/>
  <c r="BA84" i="9"/>
  <c r="BA75" i="9"/>
  <c r="BA59" i="9"/>
  <c r="BA105" i="9"/>
  <c r="BA97" i="9"/>
  <c r="BA89" i="9"/>
  <c r="BA81" i="9"/>
  <c r="BA73" i="9"/>
  <c r="BA65" i="9"/>
  <c r="BA57" i="9"/>
  <c r="BA49" i="9"/>
  <c r="BA60" i="9"/>
  <c r="BA99" i="9"/>
  <c r="BA104" i="9"/>
  <c r="BA96" i="9"/>
  <c r="BA88" i="9"/>
  <c r="BA80" i="9"/>
  <c r="BA72" i="9"/>
  <c r="BA64" i="9"/>
  <c r="BA56" i="9"/>
  <c r="BA48" i="9"/>
  <c r="BA76" i="9"/>
  <c r="BA83" i="9"/>
  <c r="BA103" i="9"/>
  <c r="BA95" i="9"/>
  <c r="BA71" i="9"/>
  <c r="BA63" i="9"/>
  <c r="BA55" i="9"/>
  <c r="BA47" i="9"/>
  <c r="BA68" i="9"/>
  <c r="BA102" i="9"/>
  <c r="BA78" i="9"/>
  <c r="BA54" i="9"/>
  <c r="BA46" i="9"/>
  <c r="BA92" i="9"/>
  <c r="BA67" i="9"/>
  <c r="BA85" i="9"/>
  <c r="BA77" i="9"/>
  <c r="BA61" i="9"/>
  <c r="BA45" i="9"/>
  <c r="BA91" i="9"/>
  <c r="BA37" i="4"/>
  <c r="BA66" i="4"/>
  <c r="BA58" i="4"/>
  <c r="BA42" i="4"/>
  <c r="BA65" i="4"/>
  <c r="BA57" i="4"/>
  <c r="BA49" i="4"/>
  <c r="BA48" i="4"/>
  <c r="BA47" i="4"/>
  <c r="BA39" i="4"/>
  <c r="BA44" i="4"/>
  <c r="BA62" i="4"/>
  <c r="BA54" i="4"/>
  <c r="BA38" i="4"/>
  <c r="BA61" i="4"/>
  <c r="BA53" i="4"/>
  <c r="BA43" i="4"/>
  <c r="BA43" i="2"/>
  <c r="BA85" i="2"/>
  <c r="BA83" i="2"/>
  <c r="BA75" i="2"/>
  <c r="BA67" i="2"/>
  <c r="BA59" i="2"/>
  <c r="BA51" i="2"/>
  <c r="BA82" i="2"/>
  <c r="BA66" i="2"/>
  <c r="BA58" i="2"/>
  <c r="BA50" i="2"/>
  <c r="BA47" i="2"/>
  <c r="BA74" i="2"/>
  <c r="BA81" i="2"/>
  <c r="BA73" i="2"/>
  <c r="BA57" i="2"/>
  <c r="BA80" i="2"/>
  <c r="BA70" i="2"/>
  <c r="BA62" i="2"/>
  <c r="BA54" i="2"/>
  <c r="BA46" i="2"/>
  <c r="BA77" i="2"/>
  <c r="BA69" i="2"/>
  <c r="BA61" i="2"/>
  <c r="BA53" i="2"/>
  <c r="BA45" i="2"/>
  <c r="BA84" i="2"/>
  <c r="BA76" i="2"/>
  <c r="BA68" i="2"/>
  <c r="BA60" i="2"/>
  <c r="BA52" i="2"/>
  <c r="BA44" i="2"/>
  <c r="BA223" i="15"/>
  <c r="BA44" i="15"/>
  <c r="BA48" i="15"/>
  <c r="BA60" i="15"/>
  <c r="BA53" i="15"/>
  <c r="BA215" i="15"/>
  <c r="BA208" i="15"/>
  <c r="BA116" i="15"/>
  <c r="BA100" i="15"/>
  <c r="BA184" i="15"/>
  <c r="BA177" i="15"/>
  <c r="BA163" i="15"/>
  <c r="BA147" i="15"/>
  <c r="BA139" i="15"/>
  <c r="BA124" i="15"/>
  <c r="BA90" i="15"/>
  <c r="BA74" i="15"/>
  <c r="BA47" i="15"/>
  <c r="BA59" i="15"/>
  <c r="BA52" i="15"/>
  <c r="BA214" i="15"/>
  <c r="BA207" i="15"/>
  <c r="BA201" i="15"/>
  <c r="BA104" i="15"/>
  <c r="BA102" i="15"/>
  <c r="BA115" i="15"/>
  <c r="BA94" i="15"/>
  <c r="BA176" i="15"/>
  <c r="BA151" i="15"/>
  <c r="BA146" i="15"/>
  <c r="BA123" i="15"/>
  <c r="BA89" i="15"/>
  <c r="BA40" i="15"/>
  <c r="BA23" i="15"/>
  <c r="BA45" i="15"/>
  <c r="BA57" i="15"/>
  <c r="BA51" i="15"/>
  <c r="BA220" i="15"/>
  <c r="BA212" i="15"/>
  <c r="BA205" i="15"/>
  <c r="BA199" i="15"/>
  <c r="BA194" i="15"/>
  <c r="BA143" i="15"/>
  <c r="BA87" i="15"/>
  <c r="BA80" i="15"/>
  <c r="BA72" i="15"/>
  <c r="BA37" i="15"/>
  <c r="BA21" i="15"/>
  <c r="BA15" i="15"/>
  <c r="BA58" i="15"/>
  <c r="BA218" i="15"/>
  <c r="BA209" i="15"/>
  <c r="BA98" i="15"/>
  <c r="BA118" i="15"/>
  <c r="BA188" i="15"/>
  <c r="BA170" i="15"/>
  <c r="BA145" i="15"/>
  <c r="BA77" i="15"/>
  <c r="BA38" i="15"/>
  <c r="BA46" i="15"/>
  <c r="BA217" i="15"/>
  <c r="BA204" i="15"/>
  <c r="BA195" i="15"/>
  <c r="BA108" i="15"/>
  <c r="BA114" i="15"/>
  <c r="BA186" i="15"/>
  <c r="BA155" i="15"/>
  <c r="BA134" i="15"/>
  <c r="BA86" i="15"/>
  <c r="BA75" i="15"/>
  <c r="BA16" i="15"/>
  <c r="BA216" i="15"/>
  <c r="BA103" i="15"/>
  <c r="BA202" i="15"/>
  <c r="BA185" i="15"/>
  <c r="BA154" i="15"/>
  <c r="BA125" i="15"/>
  <c r="BA85" i="15"/>
  <c r="BA73" i="15"/>
  <c r="BA14" i="15"/>
  <c r="BA54" i="15"/>
  <c r="BA101" i="15"/>
  <c r="BA193" i="15"/>
  <c r="BA97" i="15"/>
  <c r="BA111" i="15"/>
  <c r="BA140" i="15"/>
  <c r="BA122" i="15"/>
  <c r="BA84" i="15"/>
  <c r="BA71" i="15"/>
  <c r="BA13" i="15"/>
  <c r="BA95" i="15"/>
  <c r="BA192" i="15"/>
  <c r="BA96" i="15"/>
  <c r="BA110" i="15"/>
  <c r="BA180" i="15"/>
  <c r="BA171" i="15"/>
  <c r="BA150" i="15"/>
  <c r="BA70" i="15"/>
  <c r="BA22" i="15"/>
  <c r="BA12" i="15"/>
  <c r="BA33" i="15"/>
  <c r="BA78" i="15"/>
  <c r="BA61" i="15"/>
  <c r="BA200" i="15"/>
  <c r="BA106" i="15"/>
  <c r="BA165" i="15"/>
  <c r="BA81" i="15"/>
  <c r="BA20" i="15"/>
  <c r="BA32" i="15"/>
  <c r="BA198" i="15"/>
  <c r="BA119" i="15"/>
  <c r="BA167" i="15"/>
  <c r="BA164" i="15"/>
  <c r="BA91" i="15"/>
  <c r="BA19" i="15"/>
  <c r="BA30" i="15"/>
  <c r="BA112" i="15"/>
  <c r="BA175" i="15"/>
  <c r="BA191" i="15"/>
  <c r="BA88" i="15"/>
  <c r="BA31" i="15"/>
  <c r="BA117" i="15"/>
  <c r="BA76" i="15"/>
  <c r="BA187" i="15"/>
  <c r="BA36" i="15"/>
  <c r="BA156" i="15"/>
  <c r="BA29" i="15"/>
  <c r="BA8" i="15"/>
  <c r="BA7" i="15"/>
  <c r="BA595" i="14"/>
  <c r="BA85" i="14"/>
  <c r="BA593" i="14"/>
  <c r="BA586" i="14"/>
  <c r="BA583" i="14"/>
  <c r="BA585" i="14"/>
  <c r="BA559" i="14"/>
  <c r="BA558" i="14"/>
  <c r="BA557" i="14"/>
  <c r="BA556" i="14"/>
  <c r="BA541" i="14"/>
  <c r="BA542" i="14"/>
  <c r="BA538" i="14"/>
  <c r="BA537" i="14"/>
  <c r="BA540" i="14"/>
  <c r="BA512" i="14"/>
  <c r="BA548" i="14"/>
  <c r="BA536" i="14"/>
  <c r="BA547" i="14"/>
  <c r="BA546" i="14"/>
  <c r="BA545" i="14"/>
  <c r="BA510" i="14"/>
  <c r="BA511" i="14"/>
  <c r="BA498" i="14"/>
  <c r="BA507" i="14"/>
  <c r="BA519" i="14"/>
  <c r="BA506" i="14"/>
  <c r="BA518" i="14"/>
  <c r="BA517" i="14"/>
  <c r="BA516" i="14"/>
  <c r="BA515" i="14"/>
  <c r="BA502" i="14"/>
  <c r="BA491" i="14"/>
  <c r="BA494" i="14"/>
  <c r="BA493" i="14"/>
  <c r="BA495" i="14"/>
  <c r="BA492" i="14"/>
  <c r="BA23" i="14"/>
  <c r="BA481" i="14"/>
  <c r="BA480" i="14"/>
  <c r="BA484" i="14"/>
  <c r="BA483" i="14"/>
  <c r="BA482" i="14"/>
  <c r="BA474" i="14"/>
  <c r="BA473" i="14"/>
  <c r="BA472" i="14"/>
  <c r="BA475" i="14"/>
  <c r="BA573" i="14"/>
  <c r="BA572" i="14"/>
  <c r="BA571" i="14"/>
  <c r="BA570" i="14"/>
  <c r="BA569" i="14"/>
  <c r="BA568" i="14"/>
  <c r="BA465" i="14"/>
  <c r="BA553" i="14"/>
  <c r="BA552" i="14"/>
  <c r="BA521" i="14"/>
  <c r="BA520" i="14"/>
  <c r="BA468" i="14"/>
  <c r="BA551" i="14"/>
  <c r="BA461" i="14"/>
  <c r="BA460" i="14"/>
  <c r="BA459" i="14"/>
  <c r="BA458" i="14"/>
  <c r="BA462" i="14"/>
  <c r="BA209" i="14"/>
  <c r="BA208" i="14"/>
  <c r="BA207" i="14"/>
  <c r="BA206" i="14"/>
  <c r="BA205" i="14"/>
  <c r="BA94" i="14"/>
  <c r="BA527" i="14"/>
  <c r="BA526" i="14"/>
  <c r="BA525" i="14"/>
  <c r="BA523" i="14"/>
  <c r="BA524" i="14"/>
  <c r="BA522" i="14"/>
  <c r="BA95" i="14"/>
  <c r="BA90" i="14"/>
  <c r="BA89" i="14"/>
  <c r="BA87" i="14"/>
  <c r="BA88" i="14"/>
  <c r="BA92" i="14"/>
  <c r="BA91" i="14"/>
  <c r="BA86" i="14"/>
  <c r="BA84" i="14"/>
  <c r="BA83" i="14"/>
  <c r="BA79" i="14"/>
  <c r="BA78" i="14"/>
  <c r="BA77" i="14"/>
  <c r="BA80" i="14"/>
  <c r="BA52" i="14"/>
  <c r="BA51" i="14"/>
  <c r="BA50" i="14"/>
  <c r="BA49" i="14"/>
  <c r="BA48" i="14"/>
  <c r="BA47" i="14"/>
  <c r="BA42" i="14"/>
  <c r="BA41" i="14"/>
  <c r="BA40" i="14"/>
  <c r="BA39" i="14"/>
  <c r="BA43" i="14"/>
  <c r="BA36" i="14"/>
  <c r="BA28" i="14"/>
  <c r="BA34" i="14"/>
  <c r="BA33" i="14"/>
  <c r="BA26" i="14"/>
  <c r="BA32" i="14"/>
  <c r="BA31" i="14"/>
  <c r="BA30" i="14"/>
  <c r="BA29" i="14"/>
  <c r="BA27" i="14"/>
  <c r="BA20" i="14"/>
  <c r="BA18" i="14"/>
  <c r="BA19" i="14"/>
  <c r="BA16" i="14"/>
  <c r="BA17" i="14"/>
  <c r="BA9" i="14"/>
  <c r="BA10" i="14"/>
  <c r="BA12" i="14"/>
  <c r="BA11" i="14"/>
  <c r="BA13" i="14"/>
  <c r="I209" i="15"/>
  <c r="I208" i="15"/>
  <c r="AY104" i="15"/>
  <c r="AY32" i="9" s="1"/>
  <c r="AX104" i="15"/>
  <c r="AX32" i="9" s="1"/>
  <c r="AW104" i="15"/>
  <c r="AW32" i="9" s="1"/>
  <c r="AV104" i="15"/>
  <c r="AV32" i="9" s="1"/>
  <c r="AU104" i="15"/>
  <c r="AU32" i="9" s="1"/>
  <c r="AY98" i="15"/>
  <c r="AX98" i="15"/>
  <c r="AW98" i="15"/>
  <c r="AV98" i="15"/>
  <c r="AU98" i="15"/>
  <c r="AU27" i="9" s="1"/>
  <c r="AY102" i="15"/>
  <c r="AX102" i="15"/>
  <c r="AW102" i="15"/>
  <c r="AV102" i="15"/>
  <c r="AY96" i="15"/>
  <c r="AX96" i="15"/>
  <c r="AW96" i="15"/>
  <c r="AV96" i="15"/>
  <c r="AU96" i="15"/>
  <c r="D32" i="9" a="1"/>
  <c r="I23" i="11" l="1"/>
  <c r="D32" i="9"/>
  <c r="AU25" i="2" l="1"/>
  <c r="AU8" i="15"/>
  <c r="AW8" i="15"/>
  <c r="AW25" i="2"/>
  <c r="AX8" i="15"/>
  <c r="AX25" i="2"/>
  <c r="AV8" i="15"/>
  <c r="AV25" i="2"/>
  <c r="AY8" i="15"/>
  <c r="AY25" i="2"/>
  <c r="D25" i="2" a="1"/>
  <c r="AX26" i="2" l="1"/>
  <c r="AW26" i="2"/>
  <c r="AU26" i="2"/>
  <c r="AV26" i="2"/>
  <c r="AY26" i="2"/>
  <c r="D25" i="2"/>
  <c r="AU38" i="15"/>
  <c r="AU34" i="4" s="1"/>
  <c r="AU37" i="15"/>
  <c r="AU33" i="4" s="1"/>
  <c r="AU36" i="15"/>
  <c r="AU32" i="4" s="1"/>
  <c r="D33" i="4" a="1"/>
  <c r="D34" i="4" a="1"/>
  <c r="D32" i="4" a="1"/>
  <c r="D26" i="2" a="1"/>
  <c r="D26" i="2" l="1"/>
  <c r="D33" i="4"/>
  <c r="D34" i="4"/>
  <c r="D32" i="4"/>
  <c r="BB40" i="15"/>
  <c r="BB38" i="15"/>
  <c r="BB37" i="15"/>
  <c r="BB36" i="15"/>
  <c r="G16" i="11"/>
  <c r="G15" i="11"/>
  <c r="G13" i="11"/>
  <c r="G10" i="11"/>
  <c r="G9" i="11"/>
  <c r="G8" i="11"/>
  <c r="G13" i="13"/>
  <c r="G12" i="13"/>
  <c r="G9" i="13"/>
  <c r="G11" i="13"/>
  <c r="G10" i="13"/>
  <c r="G7" i="13"/>
  <c r="G27" i="12"/>
  <c r="G26" i="12"/>
  <c r="G25" i="12"/>
  <c r="G24" i="12"/>
  <c r="G22" i="12"/>
  <c r="G21" i="12"/>
  <c r="G20" i="12"/>
  <c r="G19" i="12"/>
  <c r="G18" i="12"/>
  <c r="G17" i="12"/>
  <c r="G16" i="12"/>
  <c r="G15" i="12"/>
  <c r="G13" i="12"/>
  <c r="G12" i="12"/>
  <c r="G14" i="12"/>
  <c r="G10" i="12"/>
  <c r="G9" i="12"/>
  <c r="G11" i="12"/>
  <c r="G8" i="12"/>
  <c r="G43" i="11"/>
  <c r="G42" i="11"/>
  <c r="G50" i="9"/>
  <c r="G49" i="9"/>
  <c r="G48" i="9"/>
  <c r="G47" i="9"/>
  <c r="G46" i="9"/>
  <c r="G45" i="9"/>
  <c r="G42" i="9"/>
  <c r="G41" i="9"/>
  <c r="G14" i="9"/>
  <c r="G13" i="9"/>
  <c r="G11" i="9"/>
  <c r="G10" i="9"/>
  <c r="G9" i="9"/>
  <c r="G8" i="9"/>
  <c r="G7" i="9"/>
  <c r="G84" i="2"/>
  <c r="G83" i="2"/>
  <c r="G82" i="2"/>
  <c r="G81" i="2"/>
  <c r="G80" i="2"/>
  <c r="G77" i="2"/>
  <c r="G76" i="2"/>
  <c r="G75" i="2"/>
  <c r="G74" i="2"/>
  <c r="G73" i="2"/>
  <c r="G70" i="2"/>
  <c r="G69" i="2"/>
  <c r="G68" i="2"/>
  <c r="G67" i="2"/>
  <c r="G66" i="2"/>
  <c r="G61" i="2"/>
  <c r="G60" i="2"/>
  <c r="G59" i="2"/>
  <c r="G58" i="2"/>
  <c r="G57" i="2"/>
  <c r="G23" i="2"/>
  <c r="G22" i="2"/>
  <c r="G21" i="2"/>
  <c r="G20" i="2"/>
  <c r="G19" i="2"/>
  <c r="G17" i="2"/>
  <c r="G16" i="2"/>
  <c r="G15" i="2"/>
  <c r="G14" i="2"/>
  <c r="G13" i="2"/>
  <c r="G39" i="2"/>
  <c r="G38" i="2"/>
  <c r="G37" i="2"/>
  <c r="G36" i="2"/>
  <c r="G35" i="2"/>
  <c r="G32" i="2"/>
  <c r="G31" i="2"/>
  <c r="G30" i="2"/>
  <c r="G29" i="2"/>
  <c r="G28" i="2"/>
  <c r="G11" i="2"/>
  <c r="G10" i="2"/>
  <c r="G9" i="2"/>
  <c r="G8" i="2"/>
  <c r="G7" i="2"/>
  <c r="AT111" i="15"/>
  <c r="G11" i="26" l="1"/>
  <c r="G20" i="26"/>
  <c r="AT37" i="9"/>
  <c r="D37" i="9" a="1"/>
  <c r="D37" i="9" l="1"/>
  <c r="BB586" i="14"/>
  <c r="BB585" i="14"/>
  <c r="BB556" i="14"/>
  <c r="BB540" i="14"/>
  <c r="BB538" i="14"/>
  <c r="BB537" i="14"/>
  <c r="BB548" i="14"/>
  <c r="BB536" i="14"/>
  <c r="BB547" i="14"/>
  <c r="BB546" i="14"/>
  <c r="BB545" i="14"/>
  <c r="AC140" i="15" l="1"/>
  <c r="AD140" i="15"/>
  <c r="AE140" i="15"/>
  <c r="AF140" i="15"/>
  <c r="AG140" i="15"/>
  <c r="AH140" i="15"/>
  <c r="AI140" i="15"/>
  <c r="AJ140" i="15"/>
  <c r="AK140" i="15"/>
  <c r="AL140" i="15"/>
  <c r="AM140" i="15"/>
  <c r="AN140" i="15"/>
  <c r="AO140" i="15"/>
  <c r="AY143" i="15"/>
  <c r="AX143" i="15"/>
  <c r="AW143" i="15"/>
  <c r="AV143" i="15"/>
  <c r="AU143" i="15"/>
  <c r="AT140" i="15"/>
  <c r="AS140" i="15"/>
  <c r="AR140" i="15"/>
  <c r="AQ140" i="15"/>
  <c r="AP140" i="15"/>
  <c r="AX140" i="15"/>
  <c r="AW140" i="15"/>
  <c r="AV140" i="15"/>
  <c r="AU140" i="15"/>
  <c r="AJ141" i="15" l="1"/>
  <c r="AJ144" i="15"/>
  <c r="AJ146" i="15" s="1"/>
  <c r="AI141" i="15"/>
  <c r="AI144" i="15"/>
  <c r="AI146" i="15" s="1"/>
  <c r="AP141" i="15"/>
  <c r="AP144" i="15"/>
  <c r="AP146" i="15" s="1"/>
  <c r="AH141" i="15"/>
  <c r="AH144" i="15"/>
  <c r="AH146" i="15" s="1"/>
  <c r="AQ141" i="15"/>
  <c r="AQ144" i="15"/>
  <c r="AQ146" i="15" s="1"/>
  <c r="AR141" i="15"/>
  <c r="AR144" i="15"/>
  <c r="AR146" i="15" s="1"/>
  <c r="AO141" i="15"/>
  <c r="AO144" i="15"/>
  <c r="AO146" i="15" s="1"/>
  <c r="AG141" i="15"/>
  <c r="AG144" i="15"/>
  <c r="AG146" i="15" s="1"/>
  <c r="AN141" i="15"/>
  <c r="AN144" i="15"/>
  <c r="AN146" i="15" s="1"/>
  <c r="AF141" i="15"/>
  <c r="AF144" i="15"/>
  <c r="AF146" i="15" s="1"/>
  <c r="AM141" i="15"/>
  <c r="AM144" i="15"/>
  <c r="AM146" i="15" s="1"/>
  <c r="AE141" i="15"/>
  <c r="AE144" i="15"/>
  <c r="AE146" i="15" s="1"/>
  <c r="AL141" i="15"/>
  <c r="AL144" i="15"/>
  <c r="AL146" i="15" s="1"/>
  <c r="AD141" i="15"/>
  <c r="AD144" i="15"/>
  <c r="AD146" i="15" s="1"/>
  <c r="AK141" i="15"/>
  <c r="AK144" i="15"/>
  <c r="AK146" i="15" s="1"/>
  <c r="AC141" i="15"/>
  <c r="AC144" i="15"/>
  <c r="AC146" i="15" s="1"/>
  <c r="AJ145" i="15"/>
  <c r="AR145" i="15"/>
  <c r="AF145" i="15"/>
  <c r="AP145" i="15"/>
  <c r="AQ145" i="15"/>
  <c r="AG145" i="15"/>
  <c r="AE145" i="15"/>
  <c r="AH145" i="15"/>
  <c r="AM145" i="15"/>
  <c r="AL145" i="15"/>
  <c r="AD145" i="15"/>
  <c r="AI145" i="15"/>
  <c r="AO145" i="15"/>
  <c r="AN145" i="15"/>
  <c r="AK145" i="15"/>
  <c r="AC145" i="15"/>
  <c r="E305" i="20"/>
  <c r="AC142" i="15" l="1"/>
  <c r="AP142" i="15"/>
  <c r="AM142" i="15"/>
  <c r="AO142" i="15"/>
  <c r="AQ142" i="15"/>
  <c r="AF142" i="15"/>
  <c r="AG142" i="15"/>
  <c r="AH142" i="15"/>
  <c r="AI142" i="15"/>
  <c r="AE142" i="15"/>
  <c r="AK142" i="15"/>
  <c r="AN142" i="15"/>
  <c r="AR142" i="15"/>
  <c r="AJ142" i="15"/>
  <c r="AL142" i="15"/>
  <c r="AD142" i="15"/>
  <c r="F305" i="20"/>
  <c r="E306" i="20"/>
  <c r="E307" i="20" s="1"/>
  <c r="E308" i="20" s="1"/>
  <c r="E309" i="20" s="1"/>
  <c r="E310" i="20" s="1"/>
  <c r="E311" i="20" s="1"/>
  <c r="E312" i="20" s="1"/>
  <c r="E313" i="20" s="1"/>
  <c r="E314" i="20" s="1"/>
  <c r="AS141" i="15" l="1"/>
  <c r="F306" i="20"/>
  <c r="AC147" i="15"/>
  <c r="E315" i="20"/>
  <c r="E316" i="20" s="1"/>
  <c r="E317" i="20" s="1"/>
  <c r="AM147" i="15"/>
  <c r="AF147" i="15"/>
  <c r="AE147" i="15"/>
  <c r="AD147" i="15"/>
  <c r="AH147" i="15"/>
  <c r="AG147" i="15"/>
  <c r="AI147" i="15"/>
  <c r="AJ147" i="15"/>
  <c r="AO147" i="15"/>
  <c r="AK147" i="15"/>
  <c r="AL147" i="15"/>
  <c r="AQ147" i="15"/>
  <c r="AN147" i="15"/>
  <c r="AP147" i="15"/>
  <c r="AR147" i="15"/>
  <c r="AS142" i="15" l="1"/>
  <c r="F307" i="20"/>
  <c r="AR184" i="15"/>
  <c r="AR185" i="15" s="1"/>
  <c r="E318" i="20"/>
  <c r="AY16" i="12"/>
  <c r="AX16" i="12"/>
  <c r="AW16" i="12"/>
  <c r="AV16" i="12"/>
  <c r="AU16" i="12"/>
  <c r="F308" i="20" l="1"/>
  <c r="F309" i="20" s="1"/>
  <c r="F310" i="20" s="1"/>
  <c r="F311" i="20" s="1"/>
  <c r="F312" i="20" s="1"/>
  <c r="F313" i="20" s="1"/>
  <c r="F314" i="20" s="1"/>
  <c r="AW25" i="13"/>
  <c r="AU25" i="13"/>
  <c r="AV25" i="13"/>
  <c r="AX25" i="13"/>
  <c r="AY25" i="13"/>
  <c r="E319" i="20"/>
  <c r="G205" i="15"/>
  <c r="G201" i="15"/>
  <c r="G134" i="15"/>
  <c r="G125" i="15"/>
  <c r="G124" i="15"/>
  <c r="G123" i="15"/>
  <c r="G122" i="15"/>
  <c r="G91" i="15"/>
  <c r="G90" i="15"/>
  <c r="G89" i="15"/>
  <c r="G88" i="15"/>
  <c r="G87" i="15"/>
  <c r="G86" i="15"/>
  <c r="G85" i="15"/>
  <c r="G84" i="15"/>
  <c r="G220" i="15"/>
  <c r="G218" i="15"/>
  <c r="G217" i="15"/>
  <c r="G216" i="15"/>
  <c r="G215" i="15"/>
  <c r="G214" i="15"/>
  <c r="G212" i="15"/>
  <c r="G81" i="15"/>
  <c r="G80" i="15"/>
  <c r="G78" i="15"/>
  <c r="G77" i="15"/>
  <c r="G76" i="15"/>
  <c r="G75" i="15"/>
  <c r="G74" i="15"/>
  <c r="G73" i="15"/>
  <c r="G72" i="15"/>
  <c r="G71" i="15"/>
  <c r="G70" i="15"/>
  <c r="G23" i="15"/>
  <c r="G22" i="15"/>
  <c r="G21" i="15"/>
  <c r="G20" i="15"/>
  <c r="G19" i="15"/>
  <c r="G16" i="15"/>
  <c r="G15" i="15"/>
  <c r="G14" i="15"/>
  <c r="G13" i="15"/>
  <c r="G12" i="15"/>
  <c r="G33" i="15"/>
  <c r="G32" i="15"/>
  <c r="G31" i="15"/>
  <c r="G30" i="15"/>
  <c r="G29" i="15"/>
  <c r="G498" i="14"/>
  <c r="G495" i="14"/>
  <c r="G494" i="14"/>
  <c r="G493" i="14"/>
  <c r="G484" i="14"/>
  <c r="G483" i="14"/>
  <c r="G474" i="14"/>
  <c r="G472" i="14"/>
  <c r="G468" i="14"/>
  <c r="G465" i="14"/>
  <c r="G462" i="14"/>
  <c r="G461" i="14"/>
  <c r="G460" i="14"/>
  <c r="G459" i="14"/>
  <c r="G458" i="14"/>
  <c r="G86" i="14"/>
  <c r="G80" i="14"/>
  <c r="G79" i="14"/>
  <c r="G78" i="14"/>
  <c r="G77" i="14"/>
  <c r="G52" i="14"/>
  <c r="G51" i="14"/>
  <c r="G50" i="14"/>
  <c r="G49" i="14"/>
  <c r="G48" i="14"/>
  <c r="G47" i="14"/>
  <c r="G43" i="14"/>
  <c r="G42" i="14"/>
  <c r="G41" i="14"/>
  <c r="G40" i="14"/>
  <c r="G39" i="14"/>
  <c r="G30" i="14"/>
  <c r="G29" i="14"/>
  <c r="G20" i="14"/>
  <c r="G19" i="14"/>
  <c r="G18" i="14"/>
  <c r="G17" i="14"/>
  <c r="G16" i="14"/>
  <c r="G13" i="14"/>
  <c r="G12" i="14"/>
  <c r="G11" i="14"/>
  <c r="G10" i="14"/>
  <c r="G9" i="14"/>
  <c r="D25" i="13" a="1"/>
  <c r="AS144" i="15" l="1"/>
  <c r="AS145" i="15"/>
  <c r="D25" i="13"/>
  <c r="F315" i="20"/>
  <c r="F316" i="20" s="1"/>
  <c r="F317" i="20" s="1"/>
  <c r="F318" i="20" s="1"/>
  <c r="E320" i="20"/>
  <c r="BC85" i="2"/>
  <c r="BC84" i="2"/>
  <c r="BC83" i="2"/>
  <c r="BC82" i="2"/>
  <c r="BC81" i="2"/>
  <c r="BC80" i="2"/>
  <c r="BC77" i="2"/>
  <c r="BC76" i="2"/>
  <c r="BC75" i="2"/>
  <c r="BC74" i="2"/>
  <c r="BC73" i="2"/>
  <c r="BC70" i="2"/>
  <c r="BC69" i="2"/>
  <c r="BC68" i="2"/>
  <c r="BC67" i="2"/>
  <c r="BC66" i="2"/>
  <c r="BC62" i="2"/>
  <c r="BC61" i="2"/>
  <c r="BC60" i="2"/>
  <c r="BC59" i="2"/>
  <c r="BC58" i="2"/>
  <c r="BC57" i="2"/>
  <c r="BC54" i="2"/>
  <c r="BC53" i="2"/>
  <c r="BC52" i="2"/>
  <c r="BC51" i="2"/>
  <c r="BC50" i="2"/>
  <c r="BC47" i="2"/>
  <c r="BC46" i="2"/>
  <c r="BC45" i="2"/>
  <c r="BC44" i="2"/>
  <c r="BC43" i="2"/>
  <c r="BB85" i="2"/>
  <c r="BB84" i="2"/>
  <c r="BB83" i="2"/>
  <c r="BB82" i="2"/>
  <c r="BB81" i="2"/>
  <c r="BB80" i="2"/>
  <c r="BB77" i="2"/>
  <c r="BB76" i="2"/>
  <c r="BB75" i="2"/>
  <c r="BB74" i="2"/>
  <c r="BB73" i="2"/>
  <c r="BB70" i="2"/>
  <c r="BB69" i="2"/>
  <c r="BB68" i="2"/>
  <c r="BB67" i="2"/>
  <c r="BB66" i="2"/>
  <c r="BB62" i="2"/>
  <c r="BB61" i="2"/>
  <c r="BB60" i="2"/>
  <c r="BB59" i="2"/>
  <c r="BB58" i="2"/>
  <c r="BB57" i="2"/>
  <c r="BB54" i="2"/>
  <c r="BB53" i="2"/>
  <c r="BB52" i="2"/>
  <c r="BB51" i="2"/>
  <c r="BB50" i="2"/>
  <c r="BB47" i="2"/>
  <c r="BB46" i="2"/>
  <c r="BB45" i="2"/>
  <c r="BB44" i="2"/>
  <c r="BB43" i="2"/>
  <c r="BB66" i="4"/>
  <c r="BB65" i="4"/>
  <c r="BC62" i="4"/>
  <c r="BC61" i="4"/>
  <c r="BC57" i="4"/>
  <c r="BC58" i="4"/>
  <c r="BC54" i="4"/>
  <c r="BC53" i="4"/>
  <c r="BB62" i="4"/>
  <c r="BB61" i="4"/>
  <c r="BB58" i="4"/>
  <c r="BB57" i="4"/>
  <c r="BB54" i="4"/>
  <c r="BB53" i="4"/>
  <c r="BB49" i="4"/>
  <c r="BB48" i="4"/>
  <c r="BB47" i="4"/>
  <c r="BB44" i="4"/>
  <c r="BB43" i="4"/>
  <c r="BB42" i="4"/>
  <c r="BB39" i="4"/>
  <c r="BB38" i="4"/>
  <c r="BB37" i="4"/>
  <c r="BA38" i="14" a="1"/>
  <c r="BA38" i="14" s="1"/>
  <c r="BA37" i="14" a="1"/>
  <c r="BA37" i="14" s="1"/>
  <c r="BC37" i="8"/>
  <c r="BC36" i="8"/>
  <c r="BC35" i="8"/>
  <c r="BC34" i="8"/>
  <c r="BC33" i="8"/>
  <c r="BC32" i="8"/>
  <c r="BC29" i="8"/>
  <c r="BC28" i="8"/>
  <c r="BC27" i="8"/>
  <c r="BC26" i="8"/>
  <c r="BC25" i="8"/>
  <c r="BC24" i="8"/>
  <c r="BB52" i="8"/>
  <c r="BB51" i="8"/>
  <c r="BB48" i="8"/>
  <c r="BB46" i="8"/>
  <c r="BB44" i="8"/>
  <c r="BB43" i="8"/>
  <c r="BB37" i="8"/>
  <c r="BB36" i="8"/>
  <c r="BB35" i="8"/>
  <c r="BB34" i="8"/>
  <c r="BB33" i="8"/>
  <c r="BB32" i="8"/>
  <c r="BB29" i="8"/>
  <c r="BB28" i="8"/>
  <c r="BB27" i="8"/>
  <c r="BB26" i="8"/>
  <c r="BB25" i="8"/>
  <c r="BB24" i="8"/>
  <c r="BB20" i="8"/>
  <c r="BB19" i="8"/>
  <c r="BC106" i="9"/>
  <c r="BC105" i="9"/>
  <c r="BC104" i="9"/>
  <c r="BC103" i="9"/>
  <c r="BC102" i="9"/>
  <c r="BC99" i="9"/>
  <c r="BC98" i="9"/>
  <c r="BC97" i="9"/>
  <c r="BC96" i="9"/>
  <c r="BC95" i="9"/>
  <c r="BC92" i="9"/>
  <c r="BC91" i="9"/>
  <c r="BC90" i="9"/>
  <c r="BC89" i="9"/>
  <c r="BC88" i="9"/>
  <c r="BC85" i="9"/>
  <c r="BC84" i="9"/>
  <c r="BC83" i="9"/>
  <c r="BC82" i="9"/>
  <c r="BC81" i="9"/>
  <c r="BC80" i="9"/>
  <c r="BC78" i="9"/>
  <c r="BC77" i="9"/>
  <c r="BC76" i="9"/>
  <c r="BC75" i="9"/>
  <c r="BC74" i="9"/>
  <c r="BC73" i="9"/>
  <c r="BC72" i="9"/>
  <c r="BC71" i="9"/>
  <c r="BC68" i="9"/>
  <c r="BC67" i="9"/>
  <c r="BC66" i="9"/>
  <c r="BC65" i="9"/>
  <c r="BC64" i="9"/>
  <c r="BC63" i="9"/>
  <c r="BC61" i="9"/>
  <c r="BC60" i="9"/>
  <c r="BC59" i="9"/>
  <c r="BC58" i="9"/>
  <c r="BC57" i="9"/>
  <c r="BC56" i="9"/>
  <c r="BC55" i="9"/>
  <c r="BC54" i="9"/>
  <c r="BB106" i="9"/>
  <c r="BB105" i="9"/>
  <c r="BB104" i="9"/>
  <c r="BB103" i="9"/>
  <c r="BB102" i="9"/>
  <c r="BB99" i="9"/>
  <c r="BB98" i="9"/>
  <c r="BB97" i="9"/>
  <c r="BB96" i="9"/>
  <c r="BB95" i="9"/>
  <c r="BB92" i="9"/>
  <c r="BB91" i="9"/>
  <c r="BB90" i="9"/>
  <c r="BB89" i="9"/>
  <c r="BB88" i="9"/>
  <c r="BB85" i="9"/>
  <c r="BB84" i="9"/>
  <c r="BB83" i="9"/>
  <c r="BB82" i="9"/>
  <c r="BB81" i="9"/>
  <c r="BB80" i="9"/>
  <c r="BB78" i="9"/>
  <c r="BB77" i="9"/>
  <c r="BB76" i="9"/>
  <c r="BB75" i="9"/>
  <c r="BB74" i="9"/>
  <c r="BB73" i="9"/>
  <c r="BB72" i="9"/>
  <c r="BB71" i="9"/>
  <c r="BB68" i="9"/>
  <c r="BB67" i="9"/>
  <c r="BB66" i="9"/>
  <c r="BB65" i="9"/>
  <c r="BB64" i="9"/>
  <c r="BB63" i="9"/>
  <c r="BB61" i="9"/>
  <c r="BB60" i="9"/>
  <c r="BB59" i="9"/>
  <c r="BB58" i="9"/>
  <c r="BB57" i="9"/>
  <c r="BB56" i="9"/>
  <c r="BB55" i="9"/>
  <c r="BB54" i="9"/>
  <c r="BB50" i="9"/>
  <c r="BB48" i="9"/>
  <c r="BB47" i="9"/>
  <c r="BB46" i="9"/>
  <c r="BB45" i="9"/>
  <c r="BB42" i="9"/>
  <c r="BB41" i="9"/>
  <c r="BD105" i="13"/>
  <c r="BD104" i="13"/>
  <c r="BD102" i="13"/>
  <c r="BD101" i="13"/>
  <c r="BD100" i="13"/>
  <c r="BD99" i="13"/>
  <c r="BD98" i="13"/>
  <c r="BC105" i="13"/>
  <c r="BC104" i="13"/>
  <c r="BC102" i="13"/>
  <c r="BC101" i="13"/>
  <c r="BC100" i="13"/>
  <c r="BC99" i="13"/>
  <c r="BC98" i="13"/>
  <c r="BC96" i="13"/>
  <c r="BC89" i="13"/>
  <c r="BC63" i="13"/>
  <c r="BC62" i="13"/>
  <c r="BC61" i="13"/>
  <c r="BC58" i="13"/>
  <c r="BC57" i="13"/>
  <c r="BB105" i="13"/>
  <c r="BB104" i="13"/>
  <c r="BB102" i="13"/>
  <c r="BB101" i="13"/>
  <c r="BB100" i="13"/>
  <c r="BB99" i="13"/>
  <c r="BB98" i="13"/>
  <c r="BB96" i="13"/>
  <c r="BB89" i="13"/>
  <c r="BB63" i="13"/>
  <c r="BB62" i="13"/>
  <c r="BB61" i="13"/>
  <c r="BB58" i="13"/>
  <c r="BB57" i="13"/>
  <c r="BB53" i="13"/>
  <c r="BB52" i="13"/>
  <c r="BB51" i="13"/>
  <c r="BB50" i="13"/>
  <c r="BB49" i="13"/>
  <c r="BB48" i="13"/>
  <c r="BB47" i="13"/>
  <c r="BB44" i="13"/>
  <c r="BB43" i="13"/>
  <c r="BB42" i="13"/>
  <c r="BB41" i="13"/>
  <c r="BB40" i="13"/>
  <c r="BB39" i="13"/>
  <c r="BB38" i="13"/>
  <c r="BB37" i="13"/>
  <c r="BB36" i="13"/>
  <c r="BB35" i="13"/>
  <c r="BC107" i="11"/>
  <c r="BC106" i="11"/>
  <c r="BC103" i="11"/>
  <c r="BC102" i="11"/>
  <c r="BC101" i="11"/>
  <c r="BC100" i="11"/>
  <c r="BC91" i="11"/>
  <c r="BC87" i="11"/>
  <c r="BC86" i="11"/>
  <c r="BC84" i="11"/>
  <c r="BC83" i="11"/>
  <c r="BC82" i="11"/>
  <c r="BC79" i="11"/>
  <c r="BC78" i="11"/>
  <c r="BC77" i="11"/>
  <c r="BC76" i="11"/>
  <c r="BB107" i="11"/>
  <c r="BB106" i="11"/>
  <c r="BB103" i="11"/>
  <c r="BB102" i="11"/>
  <c r="BB101" i="11"/>
  <c r="BB100" i="11"/>
  <c r="BB91" i="11"/>
  <c r="BB87" i="11"/>
  <c r="BB86" i="11"/>
  <c r="BB84" i="11"/>
  <c r="BB83" i="11"/>
  <c r="BB82" i="11"/>
  <c r="BB79" i="11"/>
  <c r="BB78" i="11"/>
  <c r="BB77" i="11"/>
  <c r="BB76" i="11"/>
  <c r="BB59" i="11"/>
  <c r="BB58" i="11"/>
  <c r="BB56" i="11"/>
  <c r="BB54" i="11"/>
  <c r="BB53" i="11"/>
  <c r="BB45" i="11"/>
  <c r="BB43" i="11"/>
  <c r="BB42" i="11"/>
  <c r="BB41" i="11"/>
  <c r="BB38" i="11"/>
  <c r="BB27" i="12"/>
  <c r="BB26" i="12"/>
  <c r="BB25" i="12"/>
  <c r="BB24" i="12"/>
  <c r="BB22" i="12"/>
  <c r="BB21" i="12"/>
  <c r="BB20" i="12"/>
  <c r="BB19" i="12"/>
  <c r="BB18" i="12"/>
  <c r="BB17" i="12"/>
  <c r="BB16" i="12"/>
  <c r="BB15" i="12"/>
  <c r="BB13" i="12"/>
  <c r="BB12" i="12"/>
  <c r="BB14" i="12"/>
  <c r="BB10" i="12"/>
  <c r="BB9" i="12"/>
  <c r="BB11" i="12"/>
  <c r="BB8" i="12"/>
  <c r="BD188" i="15"/>
  <c r="BD187" i="15"/>
  <c r="BD186" i="15"/>
  <c r="BD185" i="15"/>
  <c r="BD184" i="15"/>
  <c r="BD177" i="15"/>
  <c r="BD176" i="15"/>
  <c r="BD175" i="15"/>
  <c r="BD150" i="15"/>
  <c r="BD139" i="15"/>
  <c r="BC48" i="15"/>
  <c r="BC47" i="15"/>
  <c r="BC46" i="15"/>
  <c r="BC45" i="15"/>
  <c r="BC44" i="15"/>
  <c r="BC61" i="15"/>
  <c r="BC60" i="15"/>
  <c r="BC59" i="15"/>
  <c r="BC58" i="15"/>
  <c r="BC57" i="15"/>
  <c r="BC54" i="15"/>
  <c r="BC53" i="15"/>
  <c r="BC52" i="15"/>
  <c r="BC51" i="15"/>
  <c r="BC195" i="15"/>
  <c r="BC194" i="15"/>
  <c r="BC193" i="15"/>
  <c r="BC192" i="15"/>
  <c r="BB209" i="15"/>
  <c r="BB208" i="15"/>
  <c r="BC209" i="15"/>
  <c r="BC208" i="15"/>
  <c r="BC207" i="15"/>
  <c r="BC205" i="15"/>
  <c r="BC204" i="15"/>
  <c r="BC101" i="15"/>
  <c r="BC95" i="15"/>
  <c r="BC201" i="15"/>
  <c r="BC200" i="15"/>
  <c r="BC199" i="15"/>
  <c r="BC198" i="15"/>
  <c r="BC188" i="15"/>
  <c r="BC187" i="15"/>
  <c r="BC186" i="15"/>
  <c r="BC185" i="15"/>
  <c r="BC184" i="15"/>
  <c r="BC180" i="15"/>
  <c r="BC177" i="15"/>
  <c r="BC176" i="15"/>
  <c r="BC175" i="15"/>
  <c r="BC171" i="15"/>
  <c r="BC167" i="15"/>
  <c r="BC170" i="15"/>
  <c r="BC165" i="15"/>
  <c r="BC164" i="15"/>
  <c r="BC163" i="15"/>
  <c r="BC156" i="15"/>
  <c r="BC155" i="15"/>
  <c r="BC154" i="15"/>
  <c r="BC150" i="15"/>
  <c r="BC139" i="15"/>
  <c r="BC23" i="15"/>
  <c r="BC22" i="15"/>
  <c r="BC21" i="15"/>
  <c r="BC20" i="15"/>
  <c r="BC19" i="15"/>
  <c r="BC16" i="15"/>
  <c r="BC15" i="15"/>
  <c r="BC14" i="15"/>
  <c r="BC13" i="15"/>
  <c r="BC12" i="15"/>
  <c r="BC33" i="15"/>
  <c r="BC32" i="15"/>
  <c r="BC31" i="15"/>
  <c r="BC30" i="15"/>
  <c r="BC29" i="15"/>
  <c r="BB223" i="15"/>
  <c r="BB48" i="15"/>
  <c r="BB47" i="15"/>
  <c r="BB46" i="15"/>
  <c r="BB45" i="15"/>
  <c r="BB44" i="15"/>
  <c r="BB61" i="15"/>
  <c r="BB60" i="15"/>
  <c r="BB59" i="15"/>
  <c r="BB58" i="15"/>
  <c r="BB57" i="15"/>
  <c r="BB54" i="15"/>
  <c r="BB53" i="15"/>
  <c r="BB52" i="15"/>
  <c r="BB51" i="15"/>
  <c r="BB139" i="15"/>
  <c r="BB150" i="15"/>
  <c r="BB156" i="15"/>
  <c r="BB155" i="15"/>
  <c r="BB154" i="15"/>
  <c r="BB165" i="15"/>
  <c r="BB164" i="15"/>
  <c r="BB163" i="15"/>
  <c r="BB167" i="15"/>
  <c r="BB170" i="15"/>
  <c r="BB171" i="15"/>
  <c r="BB177" i="15"/>
  <c r="BB176" i="15"/>
  <c r="BB175" i="15"/>
  <c r="BB180" i="15"/>
  <c r="BB186" i="15"/>
  <c r="BB185" i="15"/>
  <c r="BB184" i="15"/>
  <c r="BB188" i="15"/>
  <c r="BB187" i="15"/>
  <c r="BB201" i="15"/>
  <c r="BB200" i="15"/>
  <c r="BB199" i="15"/>
  <c r="BB198" i="15"/>
  <c r="BB101" i="15"/>
  <c r="BB95" i="15"/>
  <c r="BB205" i="15"/>
  <c r="BB204" i="15"/>
  <c r="BB207" i="15"/>
  <c r="BB194" i="15"/>
  <c r="BB193" i="15"/>
  <c r="BB192" i="15"/>
  <c r="BB195" i="15"/>
  <c r="BB134" i="15"/>
  <c r="BB125" i="15"/>
  <c r="BB124" i="15"/>
  <c r="BB123" i="15"/>
  <c r="BB122" i="15"/>
  <c r="BB91" i="15"/>
  <c r="BB90" i="15"/>
  <c r="BB89" i="15"/>
  <c r="BB88" i="15"/>
  <c r="BB87" i="15"/>
  <c r="BB86" i="15"/>
  <c r="BB85" i="15"/>
  <c r="BB84" i="15"/>
  <c r="BB220" i="15"/>
  <c r="BB218" i="15"/>
  <c r="BB217" i="15"/>
  <c r="BB216" i="15"/>
  <c r="BB215" i="15"/>
  <c r="BB214" i="15"/>
  <c r="BB212" i="15"/>
  <c r="BB81" i="15"/>
  <c r="BB80" i="15"/>
  <c r="BB78" i="15"/>
  <c r="BB77" i="15"/>
  <c r="BB76" i="15"/>
  <c r="BB75" i="15"/>
  <c r="BB74" i="15"/>
  <c r="BB73" i="15"/>
  <c r="BB72" i="15"/>
  <c r="BB71" i="15"/>
  <c r="BB70" i="15"/>
  <c r="BB16" i="15"/>
  <c r="BB15" i="15"/>
  <c r="BB14" i="15"/>
  <c r="BB13" i="15"/>
  <c r="BB23" i="15"/>
  <c r="BB22" i="15"/>
  <c r="BB21" i="15"/>
  <c r="BB20" i="15"/>
  <c r="BB19" i="15"/>
  <c r="BB12" i="15"/>
  <c r="BB33" i="15"/>
  <c r="BB32" i="15"/>
  <c r="BB31" i="15"/>
  <c r="BB30" i="15"/>
  <c r="BB29" i="15"/>
  <c r="BD540" i="14"/>
  <c r="BD538" i="14"/>
  <c r="BD537" i="14"/>
  <c r="BD548" i="14"/>
  <c r="BD547" i="14"/>
  <c r="BD546" i="14"/>
  <c r="BD545" i="14"/>
  <c r="BD495" i="14"/>
  <c r="BD494" i="14"/>
  <c r="BD493" i="14"/>
  <c r="BD492" i="14"/>
  <c r="BD491" i="14"/>
  <c r="BD484" i="14"/>
  <c r="BD483" i="14"/>
  <c r="BD482" i="14"/>
  <c r="BD481" i="14"/>
  <c r="BD480" i="14"/>
  <c r="BD475" i="14"/>
  <c r="BD474" i="14"/>
  <c r="BD473" i="14"/>
  <c r="BD472" i="14"/>
  <c r="BD462" i="14"/>
  <c r="BD461" i="14"/>
  <c r="BD460" i="14"/>
  <c r="BD459" i="14"/>
  <c r="BD458" i="14"/>
  <c r="BD209" i="14"/>
  <c r="BD208" i="14"/>
  <c r="BD207" i="14"/>
  <c r="BD206" i="14"/>
  <c r="BD205" i="14"/>
  <c r="BD20" i="14"/>
  <c r="BD19" i="14"/>
  <c r="BD18" i="14"/>
  <c r="BD17" i="14"/>
  <c r="BD16" i="14"/>
  <c r="BD13" i="14"/>
  <c r="BD12" i="14"/>
  <c r="BD11" i="14"/>
  <c r="BD10" i="14"/>
  <c r="BD9" i="14"/>
  <c r="BC586" i="14"/>
  <c r="BC585" i="14"/>
  <c r="BC540" i="14"/>
  <c r="BC538" i="14"/>
  <c r="BC537" i="14"/>
  <c r="BC548" i="14"/>
  <c r="BC536" i="14"/>
  <c r="BC547" i="14"/>
  <c r="BC546" i="14"/>
  <c r="BC545" i="14"/>
  <c r="BC507" i="14"/>
  <c r="BC506" i="14"/>
  <c r="BC498" i="14"/>
  <c r="BC495" i="14"/>
  <c r="BC494" i="14"/>
  <c r="BC493" i="14"/>
  <c r="BC492" i="14"/>
  <c r="BC491" i="14"/>
  <c r="BC484" i="14"/>
  <c r="BC483" i="14"/>
  <c r="BC482" i="14"/>
  <c r="BC481" i="14"/>
  <c r="BC480" i="14"/>
  <c r="BC475" i="14"/>
  <c r="BC474" i="14"/>
  <c r="BC473" i="14"/>
  <c r="BC472" i="14"/>
  <c r="BC573" i="14"/>
  <c r="BC572" i="14"/>
  <c r="BC571" i="14"/>
  <c r="BC570" i="14"/>
  <c r="BC569" i="14"/>
  <c r="BC568" i="14"/>
  <c r="BC468" i="14"/>
  <c r="BC465" i="14"/>
  <c r="BC462" i="14"/>
  <c r="BC461" i="14"/>
  <c r="BC460" i="14"/>
  <c r="BC459" i="14"/>
  <c r="BC458" i="14"/>
  <c r="BC95" i="14"/>
  <c r="BC94" i="14"/>
  <c r="BC90" i="14"/>
  <c r="BC89" i="14"/>
  <c r="BC88" i="14"/>
  <c r="BC87" i="14"/>
  <c r="BC92" i="14"/>
  <c r="BC91" i="14"/>
  <c r="BC86" i="14"/>
  <c r="BC84" i="14"/>
  <c r="BC83" i="14"/>
  <c r="BC80" i="14"/>
  <c r="BC79" i="14"/>
  <c r="BC78" i="14"/>
  <c r="BC77" i="14"/>
  <c r="BC52" i="14"/>
  <c r="BC51" i="14"/>
  <c r="BC50" i="14"/>
  <c r="BC49" i="14"/>
  <c r="BC48" i="14"/>
  <c r="BC47" i="14"/>
  <c r="BC43" i="14"/>
  <c r="BC42" i="14"/>
  <c r="BC41" i="14"/>
  <c r="BC40" i="14"/>
  <c r="BC39" i="14"/>
  <c r="BC36" i="14"/>
  <c r="BC34" i="14"/>
  <c r="BC33" i="14"/>
  <c r="BC32" i="14"/>
  <c r="BC31" i="14"/>
  <c r="BC30" i="14"/>
  <c r="BC29" i="14"/>
  <c r="BC28" i="14"/>
  <c r="BC27" i="14"/>
  <c r="BC26" i="14"/>
  <c r="BC20" i="14"/>
  <c r="BC19" i="14"/>
  <c r="BC18" i="14"/>
  <c r="BC17" i="14"/>
  <c r="BC16" i="14"/>
  <c r="BC13" i="14"/>
  <c r="BC12" i="14"/>
  <c r="BC11" i="14"/>
  <c r="BC10" i="14"/>
  <c r="BC9" i="14"/>
  <c r="BB515" i="14"/>
  <c r="BB502" i="14"/>
  <c r="BB507" i="14"/>
  <c r="BB506" i="14"/>
  <c r="BB498" i="14"/>
  <c r="BB495" i="14"/>
  <c r="BB494" i="14"/>
  <c r="BB493" i="14"/>
  <c r="BB492" i="14"/>
  <c r="BB491" i="14"/>
  <c r="BB484" i="14"/>
  <c r="BB483" i="14"/>
  <c r="BB482" i="14"/>
  <c r="BB481" i="14"/>
  <c r="BB480" i="14"/>
  <c r="BB475" i="14"/>
  <c r="BB474" i="14"/>
  <c r="BB473" i="14"/>
  <c r="BB472" i="14"/>
  <c r="BB468" i="14"/>
  <c r="BB465" i="14"/>
  <c r="BB462" i="14"/>
  <c r="BB461" i="14"/>
  <c r="BB460" i="14"/>
  <c r="BB459" i="14"/>
  <c r="BB458" i="14"/>
  <c r="BB209" i="14"/>
  <c r="BB208" i="14"/>
  <c r="BB207" i="14"/>
  <c r="BB206" i="14"/>
  <c r="BB205" i="14"/>
  <c r="BB95" i="14"/>
  <c r="BB94" i="14"/>
  <c r="BB90" i="14"/>
  <c r="BB89" i="14"/>
  <c r="BB88" i="14"/>
  <c r="BB87" i="14"/>
  <c r="BB92" i="14"/>
  <c r="BB91" i="14"/>
  <c r="BB86" i="14"/>
  <c r="BB84" i="14"/>
  <c r="BB83" i="14"/>
  <c r="BB80" i="14"/>
  <c r="BB79" i="14"/>
  <c r="BB78" i="14"/>
  <c r="BB77" i="14"/>
  <c r="BB52" i="14"/>
  <c r="BB51" i="14"/>
  <c r="BB50" i="14"/>
  <c r="BB49" i="14"/>
  <c r="BB48" i="14"/>
  <c r="BB47" i="14"/>
  <c r="BB43" i="14"/>
  <c r="BB42" i="14"/>
  <c r="BB41" i="14"/>
  <c r="BB40" i="14"/>
  <c r="BB39" i="14"/>
  <c r="BB36" i="14"/>
  <c r="BB34" i="14"/>
  <c r="BB33" i="14"/>
  <c r="BB32" i="14"/>
  <c r="BB31" i="14"/>
  <c r="BB30" i="14"/>
  <c r="BB29" i="14"/>
  <c r="BB28" i="14"/>
  <c r="BB27" i="14"/>
  <c r="BB26" i="14"/>
  <c r="BB20" i="14"/>
  <c r="BB19" i="14"/>
  <c r="BB18" i="14"/>
  <c r="BB17" i="14"/>
  <c r="BB16" i="14"/>
  <c r="BB13" i="14"/>
  <c r="BB12" i="14"/>
  <c r="BB11" i="14"/>
  <c r="BB10" i="14"/>
  <c r="BB9" i="14"/>
  <c r="AS146" i="15" l="1"/>
  <c r="F319" i="20"/>
  <c r="E321" i="20"/>
  <c r="I45" i="15"/>
  <c r="I44" i="15"/>
  <c r="I59" i="15"/>
  <c r="I7" i="25" s="1"/>
  <c r="I57" i="15"/>
  <c r="I8" i="25" s="1"/>
  <c r="AY54" i="15"/>
  <c r="AY15" i="25" s="1"/>
  <c r="AX54" i="15"/>
  <c r="AX15" i="25" s="1"/>
  <c r="AW54" i="15"/>
  <c r="AW15" i="25" s="1"/>
  <c r="AV54" i="15"/>
  <c r="AV15" i="25" s="1"/>
  <c r="AU54" i="15"/>
  <c r="AU15" i="25" s="1"/>
  <c r="AO53" i="15"/>
  <c r="AN53" i="15"/>
  <c r="AM53" i="15"/>
  <c r="AL53" i="15"/>
  <c r="AK53" i="15"/>
  <c r="AJ53" i="15"/>
  <c r="AI53" i="15"/>
  <c r="AH53" i="15"/>
  <c r="I52" i="15"/>
  <c r="I14" i="25" s="1"/>
  <c r="I34" i="25" s="1"/>
  <c r="AH51" i="15"/>
  <c r="AY38" i="15"/>
  <c r="AY34" i="4" s="1"/>
  <c r="AX38" i="15"/>
  <c r="AX34" i="4" s="1"/>
  <c r="AW38" i="15"/>
  <c r="AW34" i="4" s="1"/>
  <c r="AV38" i="15"/>
  <c r="AV34" i="4" s="1"/>
  <c r="AY37" i="15"/>
  <c r="AY33" i="4" s="1"/>
  <c r="AX37" i="15"/>
  <c r="AX33" i="4" s="1"/>
  <c r="AW37" i="15"/>
  <c r="AW33" i="4" s="1"/>
  <c r="AV37" i="15"/>
  <c r="AV33" i="4" s="1"/>
  <c r="AY36" i="15"/>
  <c r="AY32" i="4" s="1"/>
  <c r="AX36" i="15"/>
  <c r="AX32" i="4" s="1"/>
  <c r="AW36" i="15"/>
  <c r="AW32" i="4" s="1"/>
  <c r="AV36" i="15"/>
  <c r="AV32" i="4" s="1"/>
  <c r="AY195" i="15"/>
  <c r="AY29" i="13" s="1"/>
  <c r="AX195" i="15"/>
  <c r="AX29" i="13" s="1"/>
  <c r="AW195" i="15"/>
  <c r="AW29" i="13" s="1"/>
  <c r="AV195" i="15"/>
  <c r="AV29" i="13" s="1"/>
  <c r="AU195" i="15"/>
  <c r="AU29" i="13" s="1"/>
  <c r="AY194" i="15"/>
  <c r="AX194" i="15"/>
  <c r="AW194" i="15"/>
  <c r="AV194" i="15"/>
  <c r="AU194" i="15"/>
  <c r="AY193" i="15"/>
  <c r="AX193" i="15"/>
  <c r="AW193" i="15"/>
  <c r="AV193" i="15"/>
  <c r="AU193" i="15"/>
  <c r="AY192" i="15"/>
  <c r="AY30" i="13" s="1"/>
  <c r="AX192" i="15"/>
  <c r="AX30" i="13" s="1"/>
  <c r="AW192" i="15"/>
  <c r="AW30" i="13" s="1"/>
  <c r="AV192" i="15"/>
  <c r="AV30" i="13" s="1"/>
  <c r="AU192" i="15"/>
  <c r="AU30" i="13" s="1"/>
  <c r="AY112" i="15"/>
  <c r="AX112" i="15"/>
  <c r="AW112" i="15"/>
  <c r="AV112" i="15"/>
  <c r="AU112" i="15"/>
  <c r="AY108" i="15"/>
  <c r="AX108" i="15"/>
  <c r="AW108" i="15"/>
  <c r="AV108" i="15"/>
  <c r="AU108" i="15"/>
  <c r="AY103" i="15"/>
  <c r="AX103" i="15"/>
  <c r="AW103" i="15"/>
  <c r="AV103" i="15"/>
  <c r="AU103" i="15"/>
  <c r="AY97" i="15"/>
  <c r="AX97" i="15"/>
  <c r="AW97" i="15"/>
  <c r="AV97" i="15"/>
  <c r="AU97" i="15"/>
  <c r="AY207" i="15"/>
  <c r="AY7" i="11" s="1"/>
  <c r="AX207" i="15"/>
  <c r="AX7" i="11" s="1"/>
  <c r="AW207" i="15"/>
  <c r="AW7" i="11" s="1"/>
  <c r="AV207" i="15"/>
  <c r="AV7" i="11" s="1"/>
  <c r="AU207" i="15"/>
  <c r="AU7" i="11" s="1"/>
  <c r="AY119" i="15"/>
  <c r="AX119" i="15"/>
  <c r="AW119" i="15"/>
  <c r="AV119" i="15"/>
  <c r="AU119" i="15"/>
  <c r="AY118" i="15"/>
  <c r="AX118" i="15"/>
  <c r="AW118" i="15"/>
  <c r="AV118" i="15"/>
  <c r="AV20" i="9" s="1"/>
  <c r="AU118" i="15"/>
  <c r="AY117" i="15"/>
  <c r="AX117" i="15"/>
  <c r="AW117" i="15"/>
  <c r="AV117" i="15"/>
  <c r="AU117" i="15"/>
  <c r="AY116" i="15"/>
  <c r="AX116" i="15"/>
  <c r="AW116" i="15"/>
  <c r="AV116" i="15"/>
  <c r="AU116" i="15"/>
  <c r="AY115" i="15"/>
  <c r="AX115" i="15"/>
  <c r="AW115" i="15"/>
  <c r="AV115" i="15"/>
  <c r="AU115" i="15"/>
  <c r="AY114" i="15"/>
  <c r="AX114" i="15"/>
  <c r="AW114" i="15"/>
  <c r="AV114" i="15"/>
  <c r="AU114" i="15"/>
  <c r="AU202" i="15"/>
  <c r="AU24" i="11" s="1"/>
  <c r="AU110" i="15"/>
  <c r="AU106" i="15"/>
  <c r="AU100" i="15"/>
  <c r="AU94" i="15"/>
  <c r="AY205" i="15"/>
  <c r="AY16" i="11" s="1"/>
  <c r="AX205" i="15"/>
  <c r="AX16" i="11" s="1"/>
  <c r="AW205" i="15"/>
  <c r="AW16" i="11" s="1"/>
  <c r="AV205" i="15"/>
  <c r="AV16" i="11" s="1"/>
  <c r="AU205" i="15"/>
  <c r="AU16" i="11" s="1"/>
  <c r="AY204" i="15"/>
  <c r="AY20" i="11" s="1"/>
  <c r="AX204" i="15"/>
  <c r="AX20" i="11" s="1"/>
  <c r="AW204" i="15"/>
  <c r="AW20" i="11" s="1"/>
  <c r="AV204" i="15"/>
  <c r="AV20" i="11" s="1"/>
  <c r="AU204" i="15"/>
  <c r="AU20" i="11" s="1"/>
  <c r="AU101" i="15"/>
  <c r="AU95" i="15"/>
  <c r="AY201" i="15"/>
  <c r="AY15" i="11" s="1"/>
  <c r="AX201" i="15"/>
  <c r="AX15" i="11" s="1"/>
  <c r="AW201" i="15"/>
  <c r="AW15" i="11" s="1"/>
  <c r="AV201" i="15"/>
  <c r="AV15" i="11" s="1"/>
  <c r="AU201" i="15"/>
  <c r="AU15" i="11" s="1"/>
  <c r="AY200" i="15"/>
  <c r="AY25" i="11" s="1"/>
  <c r="AY86" i="11" s="1"/>
  <c r="AX200" i="15"/>
  <c r="AX25" i="11" s="1"/>
  <c r="AX86" i="11" s="1"/>
  <c r="AW200" i="15"/>
  <c r="AW25" i="11" s="1"/>
  <c r="AW86" i="11" s="1"/>
  <c r="AV200" i="15"/>
  <c r="AV25" i="11" s="1"/>
  <c r="AV86" i="11" s="1"/>
  <c r="AU200" i="15"/>
  <c r="AU25" i="11" s="1"/>
  <c r="AU86" i="11" s="1"/>
  <c r="AY199" i="15"/>
  <c r="AY21" i="11" s="1"/>
  <c r="AX199" i="15"/>
  <c r="AX21" i="11" s="1"/>
  <c r="AW199" i="15"/>
  <c r="AW21" i="11" s="1"/>
  <c r="AV199" i="15"/>
  <c r="AV21" i="11" s="1"/>
  <c r="AU199" i="15"/>
  <c r="AU21" i="11" s="1"/>
  <c r="AY198" i="15"/>
  <c r="AY19" i="11" s="1"/>
  <c r="AX198" i="15"/>
  <c r="AX19" i="11" s="1"/>
  <c r="AW198" i="15"/>
  <c r="AW19" i="11" s="1"/>
  <c r="AV198" i="15"/>
  <c r="AV19" i="11" s="1"/>
  <c r="AU198" i="15"/>
  <c r="AU19" i="11" s="1"/>
  <c r="D29" i="13" a="1"/>
  <c r="I40" i="40" l="1" a="1"/>
  <c r="I40" i="40" s="1"/>
  <c r="AX94" i="40"/>
  <c r="AS147" i="15"/>
  <c r="I56" i="40"/>
  <c r="AU94" i="40"/>
  <c r="AV94" i="40"/>
  <c r="AW94" i="40"/>
  <c r="AY94" i="40"/>
  <c r="AU42" i="11"/>
  <c r="AV42" i="11"/>
  <c r="AY42" i="11"/>
  <c r="AX42" i="11"/>
  <c r="AW42" i="11"/>
  <c r="AU100" i="11"/>
  <c r="AU76" i="11"/>
  <c r="I11" i="22"/>
  <c r="AV70" i="22" s="1"/>
  <c r="AX22" i="12"/>
  <c r="AY22" i="12"/>
  <c r="AU22" i="12"/>
  <c r="AV22" i="12"/>
  <c r="AW22" i="12"/>
  <c r="F320" i="20"/>
  <c r="W24" i="25"/>
  <c r="W23" i="25"/>
  <c r="W25" i="25"/>
  <c r="E322" i="20"/>
  <c r="AN23" i="25"/>
  <c r="Z23" i="25"/>
  <c r="AH23" i="25"/>
  <c r="AP23" i="25"/>
  <c r="AX23" i="25"/>
  <c r="AA23" i="25"/>
  <c r="AI23" i="25"/>
  <c r="AQ23" i="25"/>
  <c r="AY23" i="25"/>
  <c r="X23" i="25"/>
  <c r="Y23" i="25"/>
  <c r="AW23" i="25"/>
  <c r="AB23" i="25"/>
  <c r="AJ23" i="25"/>
  <c r="AR23" i="25"/>
  <c r="AC23" i="25"/>
  <c r="AK23" i="25"/>
  <c r="AS23" i="25"/>
  <c r="AG23" i="25"/>
  <c r="AD23" i="25"/>
  <c r="AL23" i="25"/>
  <c r="AT23" i="25"/>
  <c r="AE23" i="25"/>
  <c r="AM23" i="25"/>
  <c r="AU23" i="25"/>
  <c r="AF23" i="25"/>
  <c r="AV23" i="25"/>
  <c r="AO23" i="25"/>
  <c r="I10" i="22"/>
  <c r="AL17" i="25"/>
  <c r="AW35" i="25"/>
  <c r="AH16" i="25"/>
  <c r="AM17" i="25"/>
  <c r="AX35" i="25"/>
  <c r="AR25" i="25"/>
  <c r="AQ25" i="25"/>
  <c r="AH25" i="25"/>
  <c r="Y25" i="25"/>
  <c r="AR24" i="25"/>
  <c r="AI24" i="25"/>
  <c r="Z24" i="25"/>
  <c r="AK24" i="25"/>
  <c r="AK25" i="25"/>
  <c r="AM25" i="25"/>
  <c r="AE25" i="25"/>
  <c r="AY24" i="25"/>
  <c r="X25" i="25"/>
  <c r="AJ25" i="25"/>
  <c r="AI25" i="25"/>
  <c r="Z25" i="25"/>
  <c r="AS24" i="25"/>
  <c r="AJ24" i="25"/>
  <c r="AA24" i="25"/>
  <c r="AS25" i="25"/>
  <c r="AT24" i="25"/>
  <c r="AT25" i="25"/>
  <c r="AC25" i="25"/>
  <c r="AV25" i="25"/>
  <c r="AF25" i="25"/>
  <c r="AB25" i="25"/>
  <c r="AA25" i="25"/>
  <c r="AB24" i="25"/>
  <c r="AM24" i="25"/>
  <c r="AW25" i="25"/>
  <c r="AX24" i="25"/>
  <c r="AX25" i="25"/>
  <c r="AQ24" i="25"/>
  <c r="AV24" i="25"/>
  <c r="AU24" i="25"/>
  <c r="AL24" i="25"/>
  <c r="AC24" i="25"/>
  <c r="AU25" i="25"/>
  <c r="AL25" i="25"/>
  <c r="AD24" i="25"/>
  <c r="AW24" i="25"/>
  <c r="AE24" i="25"/>
  <c r="AO25" i="25"/>
  <c r="Y24" i="25"/>
  <c r="AN24" i="25"/>
  <c r="AD25" i="25"/>
  <c r="AO24" i="25"/>
  <c r="AP24" i="25"/>
  <c r="AH24" i="25"/>
  <c r="AF24" i="25"/>
  <c r="AN25" i="25"/>
  <c r="AG24" i="25"/>
  <c r="X24" i="25"/>
  <c r="AY25" i="25"/>
  <c r="AP25" i="25"/>
  <c r="AG25" i="25"/>
  <c r="AN17" i="25"/>
  <c r="AY35" i="25"/>
  <c r="AQ35" i="25"/>
  <c r="AS35" i="25"/>
  <c r="AP35" i="25"/>
  <c r="AI35" i="25"/>
  <c r="AK35" i="25"/>
  <c r="AN35" i="25"/>
  <c r="AR35" i="25"/>
  <c r="AJ35" i="25"/>
  <c r="AL35" i="25"/>
  <c r="AM35" i="25"/>
  <c r="AT35" i="25"/>
  <c r="AH35" i="25"/>
  <c r="AO35" i="25"/>
  <c r="AO17" i="25"/>
  <c r="AH17" i="25"/>
  <c r="AI17" i="25"/>
  <c r="AJ17" i="25"/>
  <c r="AU35" i="25"/>
  <c r="AK17" i="25"/>
  <c r="AV35" i="25"/>
  <c r="D29" i="13"/>
  <c r="AU29" i="15"/>
  <c r="AV29" i="15"/>
  <c r="AW29" i="15"/>
  <c r="AX29" i="15"/>
  <c r="AY29" i="15"/>
  <c r="I22" i="11"/>
  <c r="I48" i="40" s="1" a="1"/>
  <c r="I48" i="40" s="1"/>
  <c r="AY11" i="13"/>
  <c r="AX11" i="13"/>
  <c r="AW11" i="13"/>
  <c r="AV11" i="13"/>
  <c r="AU11" i="13"/>
  <c r="AY27" i="9"/>
  <c r="AX27" i="9"/>
  <c r="AW27" i="9"/>
  <c r="AV27" i="9"/>
  <c r="AY30" i="9"/>
  <c r="AX30" i="9"/>
  <c r="AW30" i="9"/>
  <c r="AV30" i="9"/>
  <c r="AU30" i="9"/>
  <c r="AY25" i="9"/>
  <c r="AX25" i="9"/>
  <c r="AW25" i="9"/>
  <c r="AV25" i="9"/>
  <c r="AU25" i="9"/>
  <c r="D10" i="11" a="1"/>
  <c r="D30" i="9" a="1"/>
  <c r="D25" i="9" a="1"/>
  <c r="D11" i="13" a="1"/>
  <c r="D24" i="11" a="1"/>
  <c r="D27" i="9" a="1"/>
  <c r="D17" i="25" a="1"/>
  <c r="D16" i="25" a="1"/>
  <c r="I19" i="40" l="1"/>
  <c r="AL70" i="22"/>
  <c r="AS184" i="15"/>
  <c r="AS185" i="15" s="1"/>
  <c r="AP70" i="22"/>
  <c r="AO51" i="22"/>
  <c r="AG70" i="22"/>
  <c r="AH51" i="22"/>
  <c r="AI32" i="22"/>
  <c r="AK51" i="22"/>
  <c r="AO70" i="22"/>
  <c r="AS51" i="22"/>
  <c r="AL89" i="22"/>
  <c r="AX70" i="22"/>
  <c r="AW70" i="22"/>
  <c r="AI51" i="22"/>
  <c r="AR32" i="22"/>
  <c r="AK70" i="22"/>
  <c r="AP51" i="22"/>
  <c r="AQ32" i="22"/>
  <c r="AG32" i="22"/>
  <c r="AY89" i="22"/>
  <c r="AJ32" i="22"/>
  <c r="AG89" i="22"/>
  <c r="AQ51" i="22"/>
  <c r="AJ70" i="22"/>
  <c r="AU32" i="22"/>
  <c r="AO32" i="22"/>
  <c r="AO89" i="22"/>
  <c r="AQ70" i="22"/>
  <c r="AR70" i="22"/>
  <c r="AX51" i="22"/>
  <c r="AE51" i="22"/>
  <c r="AW32" i="22"/>
  <c r="AH32" i="22"/>
  <c r="AI89" i="22"/>
  <c r="AJ89" i="22"/>
  <c r="AD32" i="22"/>
  <c r="AU89" i="22"/>
  <c r="AQ89" i="22"/>
  <c r="AR89" i="22"/>
  <c r="AT32" i="22"/>
  <c r="AW51" i="22"/>
  <c r="AX89" i="22"/>
  <c r="AX32" i="22"/>
  <c r="AK32" i="22"/>
  <c r="AL51" i="22"/>
  <c r="AG51" i="22"/>
  <c r="AW89" i="22"/>
  <c r="AI70" i="22"/>
  <c r="AJ51" i="22"/>
  <c r="AY70" i="22"/>
  <c r="AT70" i="22"/>
  <c r="I15" i="22"/>
  <c r="AD90" i="22" s="1"/>
  <c r="I64" i="40"/>
  <c r="AL32" i="22"/>
  <c r="AD89" i="22"/>
  <c r="AM51" i="22"/>
  <c r="AU51" i="22"/>
  <c r="AY32" i="22"/>
  <c r="AS70" i="22"/>
  <c r="AD51" i="22"/>
  <c r="AT89" i="22"/>
  <c r="AM89" i="22"/>
  <c r="AS32" i="22"/>
  <c r="AK89" i="22"/>
  <c r="AT51" i="22"/>
  <c r="AH70" i="22"/>
  <c r="AP32" i="22"/>
  <c r="AR51" i="22"/>
  <c r="AY51" i="22"/>
  <c r="AS89" i="22"/>
  <c r="AD70" i="22"/>
  <c r="AE32" i="22"/>
  <c r="AH89" i="22"/>
  <c r="AE70" i="22"/>
  <c r="AF32" i="22"/>
  <c r="AP89" i="22"/>
  <c r="AM70" i="22"/>
  <c r="AN32" i="22"/>
  <c r="AU70" i="22"/>
  <c r="AV32" i="22"/>
  <c r="AM32" i="22"/>
  <c r="AE89" i="22"/>
  <c r="AF51" i="22"/>
  <c r="AN51" i="22"/>
  <c r="AV51" i="22"/>
  <c r="AF70" i="22"/>
  <c r="AN70" i="22"/>
  <c r="AF89" i="22"/>
  <c r="AN89" i="22"/>
  <c r="AV89" i="22"/>
  <c r="F321" i="20"/>
  <c r="AL27" i="25"/>
  <c r="AL28" i="25" s="1"/>
  <c r="AD27" i="25"/>
  <c r="AD28" i="25" s="1"/>
  <c r="AR27" i="25"/>
  <c r="AR28" i="25" s="1"/>
  <c r="AF27" i="25"/>
  <c r="AF28" i="25" s="1"/>
  <c r="AT27" i="25"/>
  <c r="AT28" i="25" s="1"/>
  <c r="AK27" i="25"/>
  <c r="AK28" i="25" s="1"/>
  <c r="AC27" i="25"/>
  <c r="AC28" i="25" s="1"/>
  <c r="AH27" i="25"/>
  <c r="AH28" i="25" s="1"/>
  <c r="AE27" i="25"/>
  <c r="AE28" i="25" s="1"/>
  <c r="AS27" i="25"/>
  <c r="AS28" i="25" s="1"/>
  <c r="AJ27" i="25"/>
  <c r="AJ28" i="25" s="1"/>
  <c r="AB27" i="25"/>
  <c r="AB28" i="25" s="1"/>
  <c r="AP27" i="25"/>
  <c r="AP28" i="25" s="1"/>
  <c r="X27" i="25"/>
  <c r="X28" i="25" s="1"/>
  <c r="AM27" i="25"/>
  <c r="AM28" i="25" s="1"/>
  <c r="AQ27" i="25"/>
  <c r="AQ28" i="25" s="1"/>
  <c r="AI27" i="25"/>
  <c r="AI28" i="25" s="1"/>
  <c r="AA27" i="25"/>
  <c r="AA28" i="25" s="1"/>
  <c r="Z27" i="25"/>
  <c r="Z28" i="25" s="1"/>
  <c r="W27" i="25"/>
  <c r="AO27" i="25"/>
  <c r="AO28" i="25" s="1"/>
  <c r="AG27" i="25"/>
  <c r="AG28" i="25" s="1"/>
  <c r="Y27" i="25"/>
  <c r="Y28" i="25" s="1"/>
  <c r="AN27" i="25"/>
  <c r="AN28" i="25" s="1"/>
  <c r="D17" i="25"/>
  <c r="D16" i="25"/>
  <c r="AH37" i="25"/>
  <c r="E323" i="20"/>
  <c r="AR38" i="25"/>
  <c r="AI38" i="25"/>
  <c r="AO38" i="25"/>
  <c r="AS38" i="25"/>
  <c r="AJ38" i="25"/>
  <c r="AP38" i="25"/>
  <c r="AK38" i="25"/>
  <c r="AN38" i="25"/>
  <c r="AT38" i="25"/>
  <c r="AH38" i="25"/>
  <c r="AQ38" i="25"/>
  <c r="AM38" i="25"/>
  <c r="AL38" i="25"/>
  <c r="D24" i="11"/>
  <c r="D30" i="9"/>
  <c r="D10" i="11"/>
  <c r="D25" i="9"/>
  <c r="D11" i="13"/>
  <c r="D27" i="9"/>
  <c r="AU35" i="13"/>
  <c r="AK33" i="22" l="1"/>
  <c r="AO33" i="22"/>
  <c r="AE90" i="22"/>
  <c r="AS90" i="22"/>
  <c r="AY90" i="22"/>
  <c r="AG31" i="22"/>
  <c r="AX31" i="22"/>
  <c r="AI50" i="22"/>
  <c r="AL31" i="22"/>
  <c r="AP90" i="22"/>
  <c r="AL52" i="22"/>
  <c r="AT52" i="22"/>
  <c r="AG88" i="22"/>
  <c r="AK52" i="22"/>
  <c r="AU50" i="22"/>
  <c r="AL50" i="22"/>
  <c r="AO88" i="22"/>
  <c r="AU31" i="22"/>
  <c r="AX52" i="22"/>
  <c r="AE88" i="22"/>
  <c r="AH50" i="22"/>
  <c r="AK31" i="22"/>
  <c r="AW95" i="22"/>
  <c r="AV33" i="22"/>
  <c r="AM33" i="22"/>
  <c r="AE50" i="22"/>
  <c r="AE71" i="22"/>
  <c r="AV31" i="22"/>
  <c r="AJ90" i="22"/>
  <c r="AF31" i="22"/>
  <c r="AO50" i="22"/>
  <c r="AR31" i="22"/>
  <c r="AD88" i="22"/>
  <c r="AD91" i="22" s="1"/>
  <c r="AE87" i="22" s="1"/>
  <c r="AP50" i="22"/>
  <c r="AN31" i="22"/>
  <c r="AY69" i="22"/>
  <c r="AK50" i="22"/>
  <c r="AY33" i="22"/>
  <c r="AX95" i="22"/>
  <c r="I43" i="40" a="1"/>
  <c r="I43" i="40" s="1"/>
  <c r="AX88" i="22"/>
  <c r="AR88" i="22"/>
  <c r="AM31" i="22"/>
  <c r="AN71" i="22"/>
  <c r="AR52" i="22"/>
  <c r="AH31" i="22"/>
  <c r="AF52" i="22"/>
  <c r="AI90" i="22"/>
  <c r="AW88" i="22"/>
  <c r="AM52" i="22"/>
  <c r="AK88" i="22"/>
  <c r="AP88" i="22"/>
  <c r="AU95" i="22"/>
  <c r="AX69" i="22"/>
  <c r="AV88" i="22"/>
  <c r="AN88" i="22"/>
  <c r="AE52" i="22"/>
  <c r="AD71" i="22"/>
  <c r="AV52" i="22"/>
  <c r="AW50" i="22"/>
  <c r="AP33" i="22"/>
  <c r="AO71" i="22"/>
  <c r="AP31" i="22"/>
  <c r="AJ52" i="22"/>
  <c r="AI71" i="22"/>
  <c r="AG71" i="22"/>
  <c r="AG33" i="22"/>
  <c r="AI52" i="22"/>
  <c r="AM71" i="22"/>
  <c r="AS52" i="22"/>
  <c r="AF90" i="22"/>
  <c r="AN52" i="22"/>
  <c r="AG52" i="22"/>
  <c r="AG69" i="22"/>
  <c r="AT33" i="22"/>
  <c r="AY50" i="22"/>
  <c r="AQ50" i="22"/>
  <c r="AL71" i="22"/>
  <c r="AM69" i="22"/>
  <c r="AH90" i="22"/>
  <c r="AL90" i="22"/>
  <c r="AT31" i="22"/>
  <c r="AI88" i="22"/>
  <c r="AE69" i="22"/>
  <c r="AS69" i="22"/>
  <c r="AO90" i="22"/>
  <c r="AS31" i="22"/>
  <c r="AW33" i="22"/>
  <c r="AJ33" i="22"/>
  <c r="AX33" i="22"/>
  <c r="AT71" i="22"/>
  <c r="AP69" i="22"/>
  <c r="AF88" i="22"/>
  <c r="AN50" i="22"/>
  <c r="AK69" i="22"/>
  <c r="AH71" i="22"/>
  <c r="AS33" i="22"/>
  <c r="AM90" i="22"/>
  <c r="AF33" i="22"/>
  <c r="AU71" i="22"/>
  <c r="AM50" i="22"/>
  <c r="AG90" i="22"/>
  <c r="AX50" i="22"/>
  <c r="AU33" i="22"/>
  <c r="AQ52" i="22"/>
  <c r="AQ90" i="22"/>
  <c r="AQ33" i="22"/>
  <c r="AH69" i="22"/>
  <c r="AJ71" i="22"/>
  <c r="AE31" i="22"/>
  <c r="AX90" i="22"/>
  <c r="AJ69" i="22"/>
  <c r="AD33" i="22"/>
  <c r="AD69" i="22"/>
  <c r="AD50" i="22"/>
  <c r="AI31" i="22"/>
  <c r="AK90" i="22"/>
  <c r="AO52" i="22"/>
  <c r="AP52" i="22"/>
  <c r="AT90" i="22"/>
  <c r="AR71" i="22"/>
  <c r="AJ31" i="22"/>
  <c r="AU88" i="22"/>
  <c r="AP71" i="22"/>
  <c r="AQ31" i="22"/>
  <c r="AU52" i="22"/>
  <c r="AN69" i="22"/>
  <c r="AL88" i="22"/>
  <c r="AL33" i="22"/>
  <c r="AS50" i="22"/>
  <c r="AT88" i="22"/>
  <c r="AQ69" i="22"/>
  <c r="AO69" i="22"/>
  <c r="AR50" i="22"/>
  <c r="AY31" i="22"/>
  <c r="AD52" i="22"/>
  <c r="AQ71" i="22"/>
  <c r="AS71" i="22"/>
  <c r="AW69" i="22"/>
  <c r="AJ88" i="22"/>
  <c r="AN90" i="22"/>
  <c r="AF71" i="22"/>
  <c r="AY52" i="22"/>
  <c r="AW71" i="22"/>
  <c r="AV69" i="22"/>
  <c r="AW90" i="22"/>
  <c r="AE33" i="22"/>
  <c r="AW52" i="22"/>
  <c r="AI69" i="22"/>
  <c r="AN33" i="22"/>
  <c r="AH52" i="22"/>
  <c r="AU90" i="22"/>
  <c r="AQ88" i="22"/>
  <c r="AK71" i="22"/>
  <c r="AV50" i="22"/>
  <c r="AJ50" i="22"/>
  <c r="AM88" i="22"/>
  <c r="AX71" i="22"/>
  <c r="AD31" i="22"/>
  <c r="AY71" i="22"/>
  <c r="AL69" i="22"/>
  <c r="AH33" i="22"/>
  <c r="AT69" i="22"/>
  <c r="AR69" i="22"/>
  <c r="AI33" i="22"/>
  <c r="AW31" i="22"/>
  <c r="AR90" i="22"/>
  <c r="AU69" i="22"/>
  <c r="AR33" i="22"/>
  <c r="AF50" i="22"/>
  <c r="AV71" i="22"/>
  <c r="AH88" i="22"/>
  <c r="AG50" i="22"/>
  <c r="AY88" i="22"/>
  <c r="AT50" i="22"/>
  <c r="AF69" i="22"/>
  <c r="AV90" i="22"/>
  <c r="AS88" i="22"/>
  <c r="AO31" i="22"/>
  <c r="I59" i="40"/>
  <c r="AY95" i="22"/>
  <c r="AV95" i="22"/>
  <c r="I46" i="25" a="1"/>
  <c r="AF54" i="25" s="1"/>
  <c r="F322" i="20"/>
  <c r="W28" i="25"/>
  <c r="W60" i="40" s="1"/>
  <c r="E324" i="20"/>
  <c r="AH39" i="25"/>
  <c r="AI37" i="25" s="1"/>
  <c r="AH41" i="25"/>
  <c r="AE91" i="22" l="1"/>
  <c r="AF87" i="22" s="1"/>
  <c r="AF91" i="22" s="1"/>
  <c r="AD72" i="22"/>
  <c r="AE68" i="22" s="1"/>
  <c r="AE72" i="22" s="1"/>
  <c r="AF68" i="22" s="1"/>
  <c r="AF72" i="22" s="1"/>
  <c r="AG68" i="22" s="1"/>
  <c r="AG72" i="22" s="1"/>
  <c r="AH68" i="22" s="1"/>
  <c r="AH72" i="22" s="1"/>
  <c r="AI68" i="22" s="1"/>
  <c r="AI72" i="22" s="1"/>
  <c r="AJ68" i="22" s="1"/>
  <c r="AJ72" i="22" s="1"/>
  <c r="AK68" i="22" s="1"/>
  <c r="AK72" i="22" s="1"/>
  <c r="AL68" i="22" s="1"/>
  <c r="AL72" i="22" s="1"/>
  <c r="AM68" i="22" s="1"/>
  <c r="AM72" i="22" s="1"/>
  <c r="AN68" i="22" s="1"/>
  <c r="AN72" i="22" s="1"/>
  <c r="AO68" i="22" s="1"/>
  <c r="AO72" i="22" s="1"/>
  <c r="AP68" i="22" s="1"/>
  <c r="AP72" i="22" s="1"/>
  <c r="AQ68" i="22" s="1"/>
  <c r="AQ72" i="22" s="1"/>
  <c r="AR68" i="22" s="1"/>
  <c r="AR72" i="22" s="1"/>
  <c r="AS68" i="22" s="1"/>
  <c r="AS72" i="22" s="1"/>
  <c r="AT68" i="22" s="1"/>
  <c r="AT72" i="22" s="1"/>
  <c r="AU68" i="22" s="1"/>
  <c r="AU72" i="22" s="1"/>
  <c r="AV68" i="22" s="1"/>
  <c r="AV72" i="22" s="1"/>
  <c r="AW68" i="22" s="1"/>
  <c r="AW72" i="22" s="1"/>
  <c r="AX68" i="22" s="1"/>
  <c r="AX72" i="22" s="1"/>
  <c r="AY68" i="22" s="1"/>
  <c r="AY72" i="22" s="1"/>
  <c r="AD34" i="22"/>
  <c r="AE30" i="22" s="1"/>
  <c r="AE34" i="22" s="1"/>
  <c r="AF30" i="22" s="1"/>
  <c r="AX94" i="22"/>
  <c r="W44" i="40" a="1"/>
  <c r="W44" i="40" s="1"/>
  <c r="AY96" i="22"/>
  <c r="AV96" i="22"/>
  <c r="AX96" i="22"/>
  <c r="AW96" i="22"/>
  <c r="AV94" i="22"/>
  <c r="AU94" i="22"/>
  <c r="AU96" i="22"/>
  <c r="AD53" i="22"/>
  <c r="AE49" i="22" s="1"/>
  <c r="AE53" i="22" s="1"/>
  <c r="AF49" i="22" s="1"/>
  <c r="AF53" i="22" s="1"/>
  <c r="AG49" i="22" s="1"/>
  <c r="AG53" i="22" s="1"/>
  <c r="AH49" i="22" s="1"/>
  <c r="AH53" i="22" s="1"/>
  <c r="AI49" i="22" s="1"/>
  <c r="AI53" i="22" s="1"/>
  <c r="AJ49" i="22" s="1"/>
  <c r="AJ53" i="22" s="1"/>
  <c r="AK49" i="22" s="1"/>
  <c r="AK53" i="22" s="1"/>
  <c r="AL49" i="22" s="1"/>
  <c r="AL53" i="22" s="1"/>
  <c r="AM49" i="22" s="1"/>
  <c r="AM53" i="22" s="1"/>
  <c r="AN49" i="22" s="1"/>
  <c r="AN53" i="22" s="1"/>
  <c r="AO49" i="22" s="1"/>
  <c r="AO53" i="22" s="1"/>
  <c r="AP49" i="22" s="1"/>
  <c r="AP53" i="22" s="1"/>
  <c r="AQ49" i="22" s="1"/>
  <c r="AQ53" i="22" s="1"/>
  <c r="AR49" i="22" s="1"/>
  <c r="AR53" i="22" s="1"/>
  <c r="AS49" i="22" s="1"/>
  <c r="AS53" i="22" s="1"/>
  <c r="AT49" i="22" s="1"/>
  <c r="AT53" i="22" s="1"/>
  <c r="AU49" i="22" s="1"/>
  <c r="AU53" i="22" s="1"/>
  <c r="AV49" i="22" s="1"/>
  <c r="AV53" i="22" s="1"/>
  <c r="AW49" i="22" s="1"/>
  <c r="AW53" i="22" s="1"/>
  <c r="AX49" i="22" s="1"/>
  <c r="AX53" i="22" s="1"/>
  <c r="AY49" i="22" s="1"/>
  <c r="AY53" i="22" s="1"/>
  <c r="AY94" i="22"/>
  <c r="AW94" i="22"/>
  <c r="Y47" i="25"/>
  <c r="Z47" i="25" s="1"/>
  <c r="AC51" i="25"/>
  <c r="AD51" i="25" s="1"/>
  <c r="AH56" i="25"/>
  <c r="AI56" i="25" s="1"/>
  <c r="AJ58" i="25"/>
  <c r="AK58" i="25" s="1"/>
  <c r="AL58" i="25" s="1"/>
  <c r="AM61" i="25"/>
  <c r="AN61" i="25" s="1"/>
  <c r="AQ65" i="25"/>
  <c r="AR65" i="25" s="1"/>
  <c r="AS67" i="25"/>
  <c r="AT67" i="25" s="1"/>
  <c r="AU67" i="25" s="1"/>
  <c r="AA49" i="25"/>
  <c r="AB49" i="25" s="1"/>
  <c r="AG55" i="25"/>
  <c r="AH55" i="25" s="1"/>
  <c r="AI55" i="25" s="1"/>
  <c r="AT68" i="25"/>
  <c r="AU68" i="25" s="1"/>
  <c r="AN62" i="25"/>
  <c r="AO62" i="25" s="1"/>
  <c r="AI57" i="25"/>
  <c r="AJ57" i="25" s="1"/>
  <c r="AK57" i="25" s="1"/>
  <c r="AL57" i="25" s="1"/>
  <c r="AD52" i="25"/>
  <c r="AE52" i="25" s="1"/>
  <c r="AB50" i="25"/>
  <c r="AC50" i="25" s="1"/>
  <c r="AP64" i="25"/>
  <c r="AQ64" i="25" s="1"/>
  <c r="AK59" i="25"/>
  <c r="AL59" i="25" s="1"/>
  <c r="AR66" i="25"/>
  <c r="AS66" i="25" s="1"/>
  <c r="AL60" i="25"/>
  <c r="AM60" i="25" s="1"/>
  <c r="AE53" i="25"/>
  <c r="AF53" i="25" s="1"/>
  <c r="AU69" i="25"/>
  <c r="AV69" i="25" s="1"/>
  <c r="AO63" i="25"/>
  <c r="AP63" i="25" s="1"/>
  <c r="Z48" i="25"/>
  <c r="AA48" i="25" s="1"/>
  <c r="AB48" i="25" s="1"/>
  <c r="AC48" i="25" s="1"/>
  <c r="I46" i="25"/>
  <c r="AW71" i="25"/>
  <c r="AX71" i="25" s="1"/>
  <c r="AY71" i="25" s="1"/>
  <c r="AY73" i="25"/>
  <c r="AX72" i="25"/>
  <c r="AY72" i="25" s="1"/>
  <c r="AV70" i="25"/>
  <c r="F323" i="20"/>
  <c r="I79" i="25" a="1"/>
  <c r="E325" i="20"/>
  <c r="AG54" i="25"/>
  <c r="AI39" i="25"/>
  <c r="AJ37" i="25" s="1"/>
  <c r="AI41" i="25"/>
  <c r="AY97" i="22" l="1"/>
  <c r="AY10" i="8" s="1"/>
  <c r="AX97" i="22"/>
  <c r="AX10" i="8" s="1"/>
  <c r="AV97" i="22"/>
  <c r="AV10" i="8" s="1"/>
  <c r="AW97" i="22"/>
  <c r="AW10" i="8" s="1"/>
  <c r="AG87" i="22"/>
  <c r="AG91" i="22" s="1"/>
  <c r="AD43" i="40" a="1"/>
  <c r="AD43" i="40" s="1"/>
  <c r="AE43" i="40" a="1"/>
  <c r="AE43" i="40" s="1"/>
  <c r="AU97" i="22"/>
  <c r="AU10" i="8" s="1"/>
  <c r="AD59" i="40"/>
  <c r="AE59" i="40"/>
  <c r="X46" i="25"/>
  <c r="Y46" i="25" s="1"/>
  <c r="Z46" i="25" s="1"/>
  <c r="AF34" i="22"/>
  <c r="AG30" i="22" s="1"/>
  <c r="AA81" i="25"/>
  <c r="AT66" i="25"/>
  <c r="AU66" i="25" s="1"/>
  <c r="AU99" i="25" s="1"/>
  <c r="AW70" i="25"/>
  <c r="AX70" i="25" s="1"/>
  <c r="F324" i="20"/>
  <c r="Y84" i="25"/>
  <c r="AH102" i="25"/>
  <c r="AF93" i="25"/>
  <c r="AS104" i="25"/>
  <c r="AH94" i="25"/>
  <c r="AJ96" i="25"/>
  <c r="AJ101" i="25"/>
  <c r="Z83" i="25"/>
  <c r="AA87" i="25"/>
  <c r="AJ107" i="25"/>
  <c r="AB105" i="25"/>
  <c r="AE98" i="25"/>
  <c r="AA104" i="25"/>
  <c r="AX106" i="25"/>
  <c r="AR103" i="25"/>
  <c r="Z101" i="25"/>
  <c r="AU107" i="25"/>
  <c r="AE107" i="25"/>
  <c r="Y90" i="25"/>
  <c r="Z85" i="25"/>
  <c r="AF105" i="25"/>
  <c r="Y87" i="25"/>
  <c r="AJ103" i="25"/>
  <c r="AG100" i="25"/>
  <c r="AD87" i="25"/>
  <c r="AO105" i="25"/>
  <c r="X97" i="25"/>
  <c r="AJ92" i="25"/>
  <c r="Z91" i="25"/>
  <c r="Y96" i="25"/>
  <c r="AM99" i="25"/>
  <c r="AF103" i="25"/>
  <c r="AC88" i="25"/>
  <c r="AI97" i="25"/>
  <c r="AE91" i="25"/>
  <c r="AE99" i="25"/>
  <c r="X104" i="25"/>
  <c r="AK103" i="25"/>
  <c r="AF107" i="25"/>
  <c r="X105" i="25"/>
  <c r="Y93" i="25"/>
  <c r="Y88" i="25"/>
  <c r="X95" i="25"/>
  <c r="AD102" i="25"/>
  <c r="X102" i="25"/>
  <c r="AI106" i="25"/>
  <c r="AJ104" i="25"/>
  <c r="AG103" i="25"/>
  <c r="AJ98" i="25"/>
  <c r="AC89" i="25"/>
  <c r="AT106" i="25"/>
  <c r="AN105" i="25"/>
  <c r="X103" i="25"/>
  <c r="AH99" i="25"/>
  <c r="AM97" i="25"/>
  <c r="Y106" i="25"/>
  <c r="AN101" i="25"/>
  <c r="X90" i="25"/>
  <c r="AB88" i="25"/>
  <c r="AN97" i="25"/>
  <c r="AL96" i="25"/>
  <c r="AF88" i="25"/>
  <c r="AJ97" i="25"/>
  <c r="AX105" i="25"/>
  <c r="AX107" i="25"/>
  <c r="AH105" i="25"/>
  <c r="AN107" i="25"/>
  <c r="AA102" i="25"/>
  <c r="AN99" i="25"/>
  <c r="Y89" i="25"/>
  <c r="AF87" i="25"/>
  <c r="Z102" i="25"/>
  <c r="AG105" i="25"/>
  <c r="AA94" i="25"/>
  <c r="AW107" i="25"/>
  <c r="AD99" i="25"/>
  <c r="AM106" i="25"/>
  <c r="AA93" i="25"/>
  <c r="AB85" i="25"/>
  <c r="AT105" i="25"/>
  <c r="AH95" i="25"/>
  <c r="AI100" i="25"/>
  <c r="AG97" i="25"/>
  <c r="Y86" i="25"/>
  <c r="AC105" i="25"/>
  <c r="AG92" i="25"/>
  <c r="AL104" i="25"/>
  <c r="AL99" i="25"/>
  <c r="AC102" i="25"/>
  <c r="AQ102" i="25"/>
  <c r="AW104" i="25"/>
  <c r="AE94" i="25"/>
  <c r="AH97" i="25"/>
  <c r="X85" i="25"/>
  <c r="AF106" i="25"/>
  <c r="AU104" i="25"/>
  <c r="AP104" i="25"/>
  <c r="AF99" i="25"/>
  <c r="AO106" i="25"/>
  <c r="AP107" i="25"/>
  <c r="AM103" i="25"/>
  <c r="AE96" i="25"/>
  <c r="AB90" i="25"/>
  <c r="AY104" i="25"/>
  <c r="AG107" i="25"/>
  <c r="AQ106" i="25"/>
  <c r="AG96" i="25"/>
  <c r="X107" i="25"/>
  <c r="AD90" i="25"/>
  <c r="AC85" i="25"/>
  <c r="AB107" i="25"/>
  <c r="Y107" i="25"/>
  <c r="AI104" i="25"/>
  <c r="AV107" i="25"/>
  <c r="AI96" i="25"/>
  <c r="AC91" i="25"/>
  <c r="AB93" i="25"/>
  <c r="AB89" i="25"/>
  <c r="AF94" i="25"/>
  <c r="AF95" i="25"/>
  <c r="AE89" i="25"/>
  <c r="AV103" i="25"/>
  <c r="AB95" i="25"/>
  <c r="X81" i="25"/>
  <c r="AJ106" i="25"/>
  <c r="AM100" i="25"/>
  <c r="AJ95" i="25"/>
  <c r="AA84" i="25"/>
  <c r="AN96" i="25"/>
  <c r="AA96" i="25"/>
  <c r="AI93" i="25"/>
  <c r="AG95" i="25"/>
  <c r="AH100" i="25"/>
  <c r="AD96" i="25"/>
  <c r="AA86" i="25"/>
  <c r="AI94" i="25"/>
  <c r="AU106" i="25"/>
  <c r="AC93" i="25"/>
  <c r="AA98" i="25"/>
  <c r="AF101" i="25"/>
  <c r="AG89" i="25"/>
  <c r="Y101" i="25"/>
  <c r="X92" i="25"/>
  <c r="Z95" i="25"/>
  <c r="Y92" i="25"/>
  <c r="AF97" i="25"/>
  <c r="AD106" i="25"/>
  <c r="AY105" i="25"/>
  <c r="AH106" i="25"/>
  <c r="AA90" i="25"/>
  <c r="AC100" i="25"/>
  <c r="AA83" i="25"/>
  <c r="AY106" i="25"/>
  <c r="AO98" i="25"/>
  <c r="Y99" i="25"/>
  <c r="AD95" i="25"/>
  <c r="AJ90" i="25"/>
  <c r="AR101" i="25"/>
  <c r="AN106" i="25"/>
  <c r="Y82" i="25"/>
  <c r="AK107" i="25"/>
  <c r="X88" i="25"/>
  <c r="AK93" i="25"/>
  <c r="AQ101" i="25"/>
  <c r="AI107" i="25"/>
  <c r="AC106" i="25"/>
  <c r="AQ100" i="25"/>
  <c r="X82" i="25"/>
  <c r="AL98" i="25"/>
  <c r="AP98" i="25"/>
  <c r="Z98" i="25"/>
  <c r="AA106" i="25"/>
  <c r="AO100" i="25"/>
  <c r="AC103" i="25"/>
  <c r="AH104" i="25"/>
  <c r="AB84" i="25"/>
  <c r="AE87" i="25"/>
  <c r="AB92" i="25"/>
  <c r="X101" i="25"/>
  <c r="AE101" i="25"/>
  <c r="AV106" i="25"/>
  <c r="AU103" i="25"/>
  <c r="AI91" i="25"/>
  <c r="AD104" i="25"/>
  <c r="Z100" i="25"/>
  <c r="Z92" i="25"/>
  <c r="X94" i="25"/>
  <c r="Y103" i="25"/>
  <c r="X99" i="25"/>
  <c r="AX104" i="25"/>
  <c r="Z97" i="25"/>
  <c r="Y85" i="25"/>
  <c r="Z90" i="25"/>
  <c r="AV104" i="25"/>
  <c r="AI98" i="25"/>
  <c r="AI90" i="25"/>
  <c r="I79" i="25"/>
  <c r="AC98" i="25"/>
  <c r="AC92" i="25"/>
  <c r="AH90" i="25"/>
  <c r="AR106" i="25"/>
  <c r="AD101" i="25"/>
  <c r="AF104" i="25"/>
  <c r="AR104" i="25"/>
  <c r="AS107" i="25"/>
  <c r="AB87" i="25"/>
  <c r="X93" i="25"/>
  <c r="X89" i="25"/>
  <c r="AA91" i="25"/>
  <c r="AP103" i="25"/>
  <c r="AL95" i="25"/>
  <c r="X91" i="25"/>
  <c r="Z106" i="25"/>
  <c r="AO103" i="25"/>
  <c r="AH91" i="25"/>
  <c r="AJ94" i="25"/>
  <c r="AQ107" i="25"/>
  <c r="AE100" i="25"/>
  <c r="AC87" i="25"/>
  <c r="AK101" i="25"/>
  <c r="AB106" i="25"/>
  <c r="AJ105" i="25"/>
  <c r="AA95" i="25"/>
  <c r="AQ104" i="25"/>
  <c r="X83" i="25"/>
  <c r="AE92" i="25"/>
  <c r="AE90" i="25"/>
  <c r="AP106" i="25"/>
  <c r="AK96" i="25"/>
  <c r="AS103" i="25"/>
  <c r="AD107" i="25"/>
  <c r="Y94" i="25"/>
  <c r="AF96" i="25"/>
  <c r="AD91" i="25"/>
  <c r="AT107" i="25"/>
  <c r="AQ105" i="25"/>
  <c r="AC107" i="25"/>
  <c r="AI99" i="25"/>
  <c r="AK106" i="25"/>
  <c r="AG94" i="25"/>
  <c r="Z104" i="25"/>
  <c r="AI102" i="25"/>
  <c r="AS106" i="25"/>
  <c r="AT102" i="25"/>
  <c r="AL105" i="25"/>
  <c r="AA99" i="25"/>
  <c r="AO99" i="25"/>
  <c r="AA100" i="25"/>
  <c r="AB96" i="25"/>
  <c r="AB101" i="25"/>
  <c r="Y98" i="25"/>
  <c r="AE103" i="25"/>
  <c r="AJ100" i="25"/>
  <c r="AB91" i="25"/>
  <c r="AN98" i="25"/>
  <c r="AS101" i="25"/>
  <c r="AA88" i="25"/>
  <c r="AB99" i="25"/>
  <c r="AC99" i="25"/>
  <c r="AD100" i="25"/>
  <c r="AK98" i="25"/>
  <c r="AM95" i="25"/>
  <c r="AK100" i="25"/>
  <c r="AO97" i="25"/>
  <c r="AH107" i="25"/>
  <c r="AE95" i="25"/>
  <c r="Y102" i="25"/>
  <c r="AK104" i="25"/>
  <c r="AN103" i="25"/>
  <c r="Z89" i="25"/>
  <c r="AH93" i="25"/>
  <c r="AG93" i="25"/>
  <c r="Y81" i="25"/>
  <c r="AR98" i="25"/>
  <c r="AP101" i="25"/>
  <c r="AO101" i="25"/>
  <c r="AG99" i="25"/>
  <c r="AB94" i="25"/>
  <c r="AC104" i="25"/>
  <c r="AK94" i="25"/>
  <c r="AB100" i="25"/>
  <c r="AP100" i="25"/>
  <c r="AD88" i="25"/>
  <c r="AS105" i="25"/>
  <c r="AG90" i="25"/>
  <c r="X84" i="25"/>
  <c r="AE93" i="25"/>
  <c r="AD93" i="25"/>
  <c r="AF91" i="25"/>
  <c r="AB86" i="25"/>
  <c r="AQ103" i="25"/>
  <c r="AG98" i="25"/>
  <c r="AD86" i="25"/>
  <c r="Z82" i="25"/>
  <c r="AJ93" i="25"/>
  <c r="AP102" i="25"/>
  <c r="AW106" i="25"/>
  <c r="AL103" i="25"/>
  <c r="AC95" i="25"/>
  <c r="AC90" i="25"/>
  <c r="AD92" i="25"/>
  <c r="AF98" i="25"/>
  <c r="AG106" i="25"/>
  <c r="Y83" i="25"/>
  <c r="Y95" i="25"/>
  <c r="AL101" i="25"/>
  <c r="AN102" i="25"/>
  <c r="Y104" i="25"/>
  <c r="AD97" i="25"/>
  <c r="AH98" i="25"/>
  <c r="AA101" i="25"/>
  <c r="AV105" i="25"/>
  <c r="Z94" i="25"/>
  <c r="AM101" i="25"/>
  <c r="AL106" i="25"/>
  <c r="AN100" i="25"/>
  <c r="AM105" i="25"/>
  <c r="AT103" i="25"/>
  <c r="Z88" i="25"/>
  <c r="Z84" i="25"/>
  <c r="AB104" i="25"/>
  <c r="AK90" i="25"/>
  <c r="AG104" i="25"/>
  <c r="AP99" i="25"/>
  <c r="AI101" i="25"/>
  <c r="X96" i="25"/>
  <c r="AA105" i="25"/>
  <c r="AB102" i="25"/>
  <c r="AL107" i="25"/>
  <c r="AK97" i="25"/>
  <c r="AL102" i="25"/>
  <c r="Z87" i="25"/>
  <c r="Z99" i="25"/>
  <c r="AB103" i="25"/>
  <c r="AK95" i="25"/>
  <c r="AM107" i="25"/>
  <c r="Y105" i="25"/>
  <c r="AW105" i="25"/>
  <c r="AL94" i="25"/>
  <c r="AC81" i="25"/>
  <c r="AY107" i="25"/>
  <c r="Z86" i="25"/>
  <c r="AR107" i="25"/>
  <c r="X98" i="25"/>
  <c r="AG101" i="25"/>
  <c r="AG91" i="25"/>
  <c r="AM96" i="25"/>
  <c r="AO107" i="25"/>
  <c r="AD98" i="25"/>
  <c r="AE105" i="25"/>
  <c r="AM98" i="25"/>
  <c r="AO104" i="25"/>
  <c r="AK102" i="25"/>
  <c r="AK99" i="25"/>
  <c r="AD105" i="25"/>
  <c r="AO102" i="25"/>
  <c r="AF100" i="25"/>
  <c r="AL100" i="25"/>
  <c r="AA89" i="25"/>
  <c r="AF92" i="25"/>
  <c r="AN104" i="25"/>
  <c r="AS102" i="25"/>
  <c r="Z107" i="25"/>
  <c r="AJ102" i="25"/>
  <c r="AD89" i="25"/>
  <c r="AF89" i="25"/>
  <c r="AD94" i="25"/>
  <c r="AD85" i="25"/>
  <c r="AP105" i="25"/>
  <c r="AA107" i="25"/>
  <c r="AH103" i="25"/>
  <c r="AL97" i="25"/>
  <c r="AI103" i="25"/>
  <c r="AE106" i="25"/>
  <c r="AJ99" i="25"/>
  <c r="X100" i="25"/>
  <c r="X87" i="25"/>
  <c r="Z96" i="25"/>
  <c r="AA85" i="25"/>
  <c r="AH96" i="25"/>
  <c r="AC96" i="25"/>
  <c r="AA92" i="25"/>
  <c r="AC86" i="25"/>
  <c r="AB98" i="25"/>
  <c r="AA103" i="25"/>
  <c r="AI92" i="25"/>
  <c r="AR105" i="25"/>
  <c r="AH101" i="25"/>
  <c r="AR102" i="25"/>
  <c r="Y91" i="25"/>
  <c r="AI95" i="25"/>
  <c r="AE97" i="25"/>
  <c r="X80" i="25"/>
  <c r="AF90" i="25"/>
  <c r="AQ99" i="25"/>
  <c r="AH92" i="25"/>
  <c r="AE102" i="25"/>
  <c r="AA97" i="25"/>
  <c r="AM104" i="25"/>
  <c r="AC101" i="25"/>
  <c r="AD103" i="25"/>
  <c r="AT104" i="25"/>
  <c r="AR100" i="25"/>
  <c r="AG102" i="25"/>
  <c r="X106" i="25"/>
  <c r="Y100" i="25"/>
  <c r="AE88" i="25"/>
  <c r="AK105" i="25"/>
  <c r="AM102" i="25"/>
  <c r="Z81" i="25"/>
  <c r="Y80" i="25"/>
  <c r="Z103" i="25"/>
  <c r="Z105" i="25"/>
  <c r="Y97" i="25"/>
  <c r="AF102" i="25"/>
  <c r="X86" i="25"/>
  <c r="AM94" i="25"/>
  <c r="Z93" i="25"/>
  <c r="AE104" i="25"/>
  <c r="AB97" i="25"/>
  <c r="AI105" i="25"/>
  <c r="AC94" i="25"/>
  <c r="AC97" i="25"/>
  <c r="AU105" i="25"/>
  <c r="AG88" i="25"/>
  <c r="AQ97" i="25"/>
  <c r="AK92" i="25"/>
  <c r="AD84" i="25"/>
  <c r="AL93" i="25"/>
  <c r="AA82" i="25"/>
  <c r="AE86" i="25"/>
  <c r="AS99" i="25"/>
  <c r="AB82" i="25"/>
  <c r="AT101" i="25"/>
  <c r="AS100" i="25"/>
  <c r="AB83" i="25"/>
  <c r="AN95" i="25"/>
  <c r="AV102" i="25"/>
  <c r="AP97" i="25"/>
  <c r="AQ98" i="25"/>
  <c r="AH89" i="25"/>
  <c r="AR99" i="25"/>
  <c r="AO96" i="25"/>
  <c r="AJ91" i="25"/>
  <c r="AC84" i="25"/>
  <c r="AT100" i="25"/>
  <c r="AC83" i="25"/>
  <c r="AL91" i="25"/>
  <c r="AU102" i="25"/>
  <c r="E326" i="20"/>
  <c r="AD50" i="25"/>
  <c r="AD83" i="25" s="1"/>
  <c r="AR64" i="25"/>
  <c r="AS64" i="25" s="1"/>
  <c r="AE51" i="25"/>
  <c r="AF51" i="25" s="1"/>
  <c r="AC49" i="25"/>
  <c r="AD49" i="25" s="1"/>
  <c r="AE49" i="25" s="1"/>
  <c r="AE82" i="25" s="1"/>
  <c r="AW69" i="25"/>
  <c r="AX69" i="25" s="1"/>
  <c r="AB81" i="25"/>
  <c r="AK91" i="25"/>
  <c r="AI88" i="25"/>
  <c r="AG87" i="25"/>
  <c r="AH54" i="25"/>
  <c r="AH87" i="25" s="1"/>
  <c r="AP62" i="25"/>
  <c r="AQ62" i="25" s="1"/>
  <c r="AO95" i="25"/>
  <c r="AU101" i="25"/>
  <c r="AV68" i="25"/>
  <c r="AE85" i="25"/>
  <c r="AU100" i="25"/>
  <c r="AV67" i="25"/>
  <c r="AV100" i="25" s="1"/>
  <c r="AF86" i="25"/>
  <c r="AH88" i="25"/>
  <c r="AJ55" i="25"/>
  <c r="AJ88" i="25" s="1"/>
  <c r="AG53" i="25"/>
  <c r="AF52" i="25"/>
  <c r="AM93" i="25"/>
  <c r="AN60" i="25"/>
  <c r="AJ56" i="25"/>
  <c r="AI89" i="25"/>
  <c r="AM58" i="25"/>
  <c r="Z80" i="25"/>
  <c r="AA47" i="25"/>
  <c r="AB47" i="25" s="1"/>
  <c r="AB80" i="25" s="1"/>
  <c r="AD48" i="25"/>
  <c r="AL92" i="25"/>
  <c r="AM59" i="25"/>
  <c r="AM92" i="25" s="1"/>
  <c r="AS65" i="25"/>
  <c r="AL90" i="25"/>
  <c r="AM57" i="25"/>
  <c r="AQ63" i="25"/>
  <c r="AR63" i="25" s="1"/>
  <c r="AR96" i="25" s="1"/>
  <c r="AP96" i="25"/>
  <c r="AN94" i="25"/>
  <c r="AO61" i="25"/>
  <c r="AP61" i="25" s="1"/>
  <c r="AJ39" i="25"/>
  <c r="AK37" i="25" s="1"/>
  <c r="AJ41" i="25"/>
  <c r="D10" i="8" a="1"/>
  <c r="AF43" i="40" l="1" a="1"/>
  <c r="AF43" i="40" s="1"/>
  <c r="AH87" i="22"/>
  <c r="AH91" i="22" s="1"/>
  <c r="AI87" i="22" s="1"/>
  <c r="AI91" i="22" s="1"/>
  <c r="AJ87" i="22" s="1"/>
  <c r="AJ91" i="22" s="1"/>
  <c r="AK87" i="22" s="1"/>
  <c r="AK91" i="22" s="1"/>
  <c r="AL87" i="22" s="1"/>
  <c r="AL91" i="22" s="1"/>
  <c r="AM87" i="22" s="1"/>
  <c r="AM91" i="22" s="1"/>
  <c r="AN87" i="22" s="1"/>
  <c r="AN91" i="22" s="1"/>
  <c r="AO87" i="22" s="1"/>
  <c r="AO91" i="22" s="1"/>
  <c r="AP87" i="22" s="1"/>
  <c r="AP91" i="22" s="1"/>
  <c r="AQ87" i="22" s="1"/>
  <c r="AQ91" i="22" s="1"/>
  <c r="AR87" i="22" s="1"/>
  <c r="AR91" i="22" s="1"/>
  <c r="AS87" i="22" s="1"/>
  <c r="AS91" i="22" s="1"/>
  <c r="AT87" i="22" s="1"/>
  <c r="AT91" i="22" s="1"/>
  <c r="AU87" i="22" s="1"/>
  <c r="AU91" i="22" s="1"/>
  <c r="AV87" i="22" s="1"/>
  <c r="AV91" i="22" s="1"/>
  <c r="AW87" i="22" s="1"/>
  <c r="AW91" i="22" s="1"/>
  <c r="AX87" i="22" s="1"/>
  <c r="AX91" i="22" s="1"/>
  <c r="AY87" i="22" s="1"/>
  <c r="AY91" i="22" s="1"/>
  <c r="D10" i="8"/>
  <c r="Y79" i="25"/>
  <c r="AV66" i="25"/>
  <c r="AV99" i="25" s="1"/>
  <c r="AF59" i="40"/>
  <c r="AG34" i="22"/>
  <c r="AH30" i="22" s="1"/>
  <c r="AW103" i="25"/>
  <c r="AT99" i="25"/>
  <c r="X79" i="25"/>
  <c r="AY70" i="25"/>
  <c r="AY103" i="25" s="1"/>
  <c r="AX103" i="25"/>
  <c r="F325" i="20"/>
  <c r="F326" i="20" s="1"/>
  <c r="Z79" i="25"/>
  <c r="I139" i="25"/>
  <c r="I136" i="25"/>
  <c r="I138" i="25"/>
  <c r="AY138" i="25" s="1"/>
  <c r="I137" i="25"/>
  <c r="AX137" i="25" s="1"/>
  <c r="AY137" i="25" s="1"/>
  <c r="AC82" i="25"/>
  <c r="AA46" i="25"/>
  <c r="E327" i="20"/>
  <c r="AR97" i="25"/>
  <c r="AE50" i="25"/>
  <c r="AE83" i="25" s="1"/>
  <c r="AE84" i="25"/>
  <c r="AW102" i="25"/>
  <c r="AC47" i="25"/>
  <c r="AC80" i="25" s="1"/>
  <c r="AI54" i="25"/>
  <c r="AI87" i="25" s="1"/>
  <c r="AW67" i="25"/>
  <c r="AX67" i="25" s="1"/>
  <c r="AN59" i="25"/>
  <c r="AN92" i="25" s="1"/>
  <c r="AR62" i="25"/>
  <c r="AR95" i="25" s="1"/>
  <c r="AQ95" i="25"/>
  <c r="AA80" i="25"/>
  <c r="AP95" i="25"/>
  <c r="AT65" i="25"/>
  <c r="AT98" i="25" s="1"/>
  <c r="AS98" i="25"/>
  <c r="AD81" i="25"/>
  <c r="AF85" i="25"/>
  <c r="AG52" i="25"/>
  <c r="AJ89" i="25"/>
  <c r="AN93" i="25"/>
  <c r="AQ61" i="25"/>
  <c r="AP94" i="25"/>
  <c r="AO94" i="25"/>
  <c r="AS97" i="25"/>
  <c r="AO60" i="25"/>
  <c r="AO93" i="25" s="1"/>
  <c r="AH53" i="25"/>
  <c r="AG86" i="25"/>
  <c r="AK55" i="25"/>
  <c r="AL55" i="25" s="1"/>
  <c r="AL88" i="25" s="1"/>
  <c r="AN57" i="25"/>
  <c r="AM90" i="25"/>
  <c r="AQ96" i="25"/>
  <c r="AS63" i="25"/>
  <c r="AW68" i="25"/>
  <c r="AW101" i="25" s="1"/>
  <c r="AV101" i="25"/>
  <c r="AG51" i="25"/>
  <c r="AF84" i="25"/>
  <c r="AX102" i="25"/>
  <c r="AY69" i="25"/>
  <c r="AY102" i="25" s="1"/>
  <c r="AK56" i="25"/>
  <c r="AD82" i="25"/>
  <c r="AF49" i="25"/>
  <c r="AT64" i="25"/>
  <c r="AT97" i="25" s="1"/>
  <c r="AE48" i="25"/>
  <c r="AM91" i="25"/>
  <c r="AN58" i="25"/>
  <c r="AO58" i="25" s="1"/>
  <c r="AK39" i="25"/>
  <c r="AL37" i="25" s="1"/>
  <c r="AK41" i="25"/>
  <c r="AW66" i="25" l="1"/>
  <c r="AX66" i="25" s="1"/>
  <c r="AG59" i="40"/>
  <c r="AG43" i="40" a="1"/>
  <c r="AG43" i="40" s="1"/>
  <c r="AH34" i="22"/>
  <c r="AI30" i="22" s="1"/>
  <c r="I135" i="25"/>
  <c r="AT145" i="15"/>
  <c r="F327" i="20"/>
  <c r="AF50" i="25"/>
  <c r="AG50" i="25" s="1"/>
  <c r="AG83" i="25" s="1"/>
  <c r="AB46" i="25"/>
  <c r="AA79" i="25"/>
  <c r="E328" i="20"/>
  <c r="AO59" i="25"/>
  <c r="AP59" i="25" s="1"/>
  <c r="AP92" i="25" s="1"/>
  <c r="AD47" i="25"/>
  <c r="AE47" i="25" s="1"/>
  <c r="AE80" i="25" s="1"/>
  <c r="AJ54" i="25"/>
  <c r="AK54" i="25" s="1"/>
  <c r="AK87" i="25" s="1"/>
  <c r="AW100" i="25"/>
  <c r="AM55" i="25"/>
  <c r="AM88" i="25" s="1"/>
  <c r="AX68" i="25"/>
  <c r="AX101" i="25" s="1"/>
  <c r="AU65" i="25"/>
  <c r="AU98" i="25" s="1"/>
  <c r="I134" i="25"/>
  <c r="AO91" i="25"/>
  <c r="AG85" i="25"/>
  <c r="AH52" i="25"/>
  <c r="AS96" i="25"/>
  <c r="AN90" i="25"/>
  <c r="AO57" i="25"/>
  <c r="AP57" i="25" s="1"/>
  <c r="AP90" i="25" s="1"/>
  <c r="AL56" i="25"/>
  <c r="AL89" i="25" s="1"/>
  <c r="AQ94" i="25"/>
  <c r="AK89" i="25"/>
  <c r="AH86" i="25"/>
  <c r="AP58" i="25"/>
  <c r="AP91" i="25" s="1"/>
  <c r="AP60" i="25"/>
  <c r="AR61" i="25"/>
  <c r="AS61" i="25" s="1"/>
  <c r="AS94" i="25" s="1"/>
  <c r="AG84" i="25"/>
  <c r="AK88" i="25"/>
  <c r="AE81" i="25"/>
  <c r="AS62" i="25"/>
  <c r="AG49" i="25"/>
  <c r="AI53" i="25"/>
  <c r="AX100" i="25"/>
  <c r="AY67" i="25"/>
  <c r="AY100" i="25" s="1"/>
  <c r="AH51" i="25"/>
  <c r="AU64" i="25"/>
  <c r="AU97" i="25" s="1"/>
  <c r="AN91" i="25"/>
  <c r="AF82" i="25"/>
  <c r="AT63" i="25"/>
  <c r="AF48" i="25"/>
  <c r="AF81" i="25" s="1"/>
  <c r="AL39" i="25"/>
  <c r="AM37" i="25" s="1"/>
  <c r="AL41" i="25"/>
  <c r="AY25" i="15"/>
  <c r="AX25" i="15"/>
  <c r="AW25" i="15"/>
  <c r="AU33" i="9"/>
  <c r="AU88" i="9" s="1"/>
  <c r="AU29" i="9"/>
  <c r="AU24" i="9"/>
  <c r="D29" i="9" a="1"/>
  <c r="D24" i="9" a="1"/>
  <c r="D25" i="11" a="1"/>
  <c r="D33" i="9" a="1"/>
  <c r="AW99" i="25" l="1"/>
  <c r="AH43" i="40" a="1"/>
  <c r="AH43" i="40" s="1"/>
  <c r="AI34" i="22"/>
  <c r="AJ30" i="22" s="1"/>
  <c r="AH59" i="40"/>
  <c r="AF83" i="25"/>
  <c r="AV33" i="2"/>
  <c r="AU33" i="2"/>
  <c r="AW33" i="2"/>
  <c r="AY33" i="2"/>
  <c r="AX33" i="2"/>
  <c r="F328" i="20"/>
  <c r="AH50" i="25"/>
  <c r="AI50" i="25" s="1"/>
  <c r="AO92" i="25"/>
  <c r="AQ59" i="25"/>
  <c r="AQ92" i="25" s="1"/>
  <c r="AC46" i="25"/>
  <c r="AB79" i="25"/>
  <c r="E329" i="20"/>
  <c r="AL54" i="25"/>
  <c r="AL87" i="25" s="1"/>
  <c r="AF47" i="25"/>
  <c r="AG47" i="25" s="1"/>
  <c r="AG80" i="25" s="1"/>
  <c r="AD80" i="25"/>
  <c r="AJ87" i="25"/>
  <c r="AY68" i="25"/>
  <c r="AY101" i="25" s="1"/>
  <c r="I133" i="25" s="1"/>
  <c r="AQ58" i="25"/>
  <c r="AQ91" i="25" s="1"/>
  <c r="AN55" i="25"/>
  <c r="AN88" i="25" s="1"/>
  <c r="I132" i="25"/>
  <c r="AM56" i="25"/>
  <c r="AM89" i="25" s="1"/>
  <c r="AV65" i="25"/>
  <c r="AS95" i="25"/>
  <c r="AV64" i="25"/>
  <c r="AO90" i="25"/>
  <c r="AG82" i="25"/>
  <c r="AX99" i="25"/>
  <c r="AY66" i="25"/>
  <c r="AY99" i="25" s="1"/>
  <c r="AH85" i="25"/>
  <c r="AT96" i="25"/>
  <c r="AU63" i="25"/>
  <c r="AU96" i="25" s="1"/>
  <c r="AH84" i="25"/>
  <c r="AI51" i="25"/>
  <c r="AJ51" i="25" s="1"/>
  <c r="AQ60" i="25"/>
  <c r="AR60" i="25" s="1"/>
  <c r="AR93" i="25" s="1"/>
  <c r="AP93" i="25"/>
  <c r="AR94" i="25"/>
  <c r="AT61" i="25"/>
  <c r="AQ57" i="25"/>
  <c r="AQ90" i="25" s="1"/>
  <c r="AG48" i="25"/>
  <c r="AG81" i="25" s="1"/>
  <c r="AH49" i="25"/>
  <c r="AT62" i="25"/>
  <c r="AI86" i="25"/>
  <c r="AJ53" i="25"/>
  <c r="AI52" i="25"/>
  <c r="AM39" i="25"/>
  <c r="AN37" i="25" s="1"/>
  <c r="AM41" i="25"/>
  <c r="D25" i="11"/>
  <c r="D24" i="9"/>
  <c r="D29" i="9"/>
  <c r="D33" i="9"/>
  <c r="AV8" i="2"/>
  <c r="AW8" i="2"/>
  <c r="AX8" i="2"/>
  <c r="AY8" i="2"/>
  <c r="AU8" i="2"/>
  <c r="AY32" i="13"/>
  <c r="AX32" i="13"/>
  <c r="AW32" i="13"/>
  <c r="AV32" i="13"/>
  <c r="AU32" i="13"/>
  <c r="AY31" i="13"/>
  <c r="AX31" i="13"/>
  <c r="AW31" i="13"/>
  <c r="AV31" i="13"/>
  <c r="AU31" i="13"/>
  <c r="AY38" i="9"/>
  <c r="AX38" i="9"/>
  <c r="AW38" i="9"/>
  <c r="AV38" i="9"/>
  <c r="AU38" i="9"/>
  <c r="AY35" i="9"/>
  <c r="AX35" i="9"/>
  <c r="AW35" i="9"/>
  <c r="AV35" i="9"/>
  <c r="AU35" i="9"/>
  <c r="AY31" i="9"/>
  <c r="AX31" i="9"/>
  <c r="AW31" i="9"/>
  <c r="AV31" i="9"/>
  <c r="AU31" i="9"/>
  <c r="AY26" i="9"/>
  <c r="AX26" i="9"/>
  <c r="AW26" i="9"/>
  <c r="AV26" i="9"/>
  <c r="AU26" i="9"/>
  <c r="AY20" i="9"/>
  <c r="AX20" i="9"/>
  <c r="AW20" i="9"/>
  <c r="AU20" i="9"/>
  <c r="AY21" i="9"/>
  <c r="AX21" i="9"/>
  <c r="AW21" i="9"/>
  <c r="AV21" i="9"/>
  <c r="AU21" i="9"/>
  <c r="AY19" i="9"/>
  <c r="AX19" i="9"/>
  <c r="AW19" i="9"/>
  <c r="AV19" i="9"/>
  <c r="AU19" i="9"/>
  <c r="AY18" i="9"/>
  <c r="AX18" i="9"/>
  <c r="AW18" i="9"/>
  <c r="AV18" i="9"/>
  <c r="AU18" i="9"/>
  <c r="AY17" i="9"/>
  <c r="AX17" i="9"/>
  <c r="AW17" i="9"/>
  <c r="AV17" i="9"/>
  <c r="AU17" i="9"/>
  <c r="AY16" i="9"/>
  <c r="AX16" i="9"/>
  <c r="AW16" i="9"/>
  <c r="AV16" i="9"/>
  <c r="AU16" i="9"/>
  <c r="AU36" i="9"/>
  <c r="AU95" i="9" s="1"/>
  <c r="AU28" i="9"/>
  <c r="AU71" i="9" s="1"/>
  <c r="AU23" i="9"/>
  <c r="AU54" i="9" s="1"/>
  <c r="D21" i="11" a="1"/>
  <c r="D20" i="9" a="1"/>
  <c r="D36" i="9" a="1"/>
  <c r="D15" i="11" a="1"/>
  <c r="D31" i="13" a="1"/>
  <c r="D18" i="9" a="1"/>
  <c r="D31" i="9" a="1"/>
  <c r="D19" i="9" a="1"/>
  <c r="D19" i="11" a="1"/>
  <c r="D20" i="11" a="1"/>
  <c r="D35" i="9" a="1"/>
  <c r="D33" i="2" a="1"/>
  <c r="D7" i="11" a="1"/>
  <c r="D8" i="2" a="1"/>
  <c r="D38" i="9" a="1"/>
  <c r="D26" i="9" a="1"/>
  <c r="D30" i="13" a="1"/>
  <c r="D23" i="9" a="1"/>
  <c r="D32" i="13" a="1"/>
  <c r="D21" i="9" a="1"/>
  <c r="D16" i="11" a="1"/>
  <c r="D16" i="9" a="1"/>
  <c r="D17" i="9" a="1"/>
  <c r="D28" i="9" a="1"/>
  <c r="AI43" i="40" l="1" a="1"/>
  <c r="AI43" i="40" s="1"/>
  <c r="AI59" i="40"/>
  <c r="AJ34" i="22"/>
  <c r="AK30" i="22" s="1"/>
  <c r="D33" i="2"/>
  <c r="F329" i="20"/>
  <c r="AH83" i="25"/>
  <c r="AM54" i="25"/>
  <c r="AM87" i="25" s="1"/>
  <c r="AC79" i="25"/>
  <c r="AD46" i="25"/>
  <c r="AR59" i="25"/>
  <c r="AR92" i="25" s="1"/>
  <c r="E330" i="20"/>
  <c r="AF80" i="25"/>
  <c r="AH47" i="25"/>
  <c r="AH80" i="25" s="1"/>
  <c r="AR58" i="25"/>
  <c r="AR91" i="25" s="1"/>
  <c r="AN56" i="25"/>
  <c r="AN89" i="25" s="1"/>
  <c r="I131" i="25"/>
  <c r="AO55" i="25"/>
  <c r="AR57" i="25"/>
  <c r="AR90" i="25" s="1"/>
  <c r="AH48" i="25"/>
  <c r="AH81" i="25" s="1"/>
  <c r="AV98" i="25"/>
  <c r="AW65" i="25"/>
  <c r="AI85" i="25"/>
  <c r="AJ84" i="25"/>
  <c r="AK51" i="25"/>
  <c r="AU61" i="25"/>
  <c r="AT94" i="25"/>
  <c r="AV63" i="25"/>
  <c r="AI83" i="25"/>
  <c r="AJ50" i="25"/>
  <c r="AJ86" i="25"/>
  <c r="AK53" i="25"/>
  <c r="AT95" i="25"/>
  <c r="AU62" i="25"/>
  <c r="AI49" i="25"/>
  <c r="AI82" i="25" s="1"/>
  <c r="AH82" i="25"/>
  <c r="AS60" i="25"/>
  <c r="AS93" i="25" s="1"/>
  <c r="AJ52" i="25"/>
  <c r="AJ85" i="25" s="1"/>
  <c r="AI84" i="25"/>
  <c r="AV97" i="25"/>
  <c r="AW64" i="25"/>
  <c r="AQ93" i="25"/>
  <c r="AN39" i="25"/>
  <c r="AN41" i="25"/>
  <c r="D35" i="9"/>
  <c r="D7" i="11"/>
  <c r="D15" i="11"/>
  <c r="D20" i="9"/>
  <c r="D30" i="13"/>
  <c r="D32" i="13"/>
  <c r="D19" i="11"/>
  <c r="D19" i="9"/>
  <c r="D16" i="9"/>
  <c r="D16" i="11"/>
  <c r="D21" i="9"/>
  <c r="D38" i="9"/>
  <c r="D28" i="9"/>
  <c r="D17" i="9"/>
  <c r="D26" i="9"/>
  <c r="D18" i="9"/>
  <c r="D31" i="9"/>
  <c r="D21" i="11"/>
  <c r="D23" i="9"/>
  <c r="D36" i="9"/>
  <c r="D20" i="11"/>
  <c r="D31" i="13"/>
  <c r="D8" i="2"/>
  <c r="AU165" i="15"/>
  <c r="AU164" i="15"/>
  <c r="AU163" i="15"/>
  <c r="AY165" i="15"/>
  <c r="AX165" i="15"/>
  <c r="AW165" i="15"/>
  <c r="AV165" i="15"/>
  <c r="AY164" i="15"/>
  <c r="AX164" i="15"/>
  <c r="AW164" i="15"/>
  <c r="AV164" i="15"/>
  <c r="AY163" i="15"/>
  <c r="AX163" i="15"/>
  <c r="AW163" i="15"/>
  <c r="AV163" i="15"/>
  <c r="AV154" i="15"/>
  <c r="AW154" i="15"/>
  <c r="AX154" i="15"/>
  <c r="AY154" i="15"/>
  <c r="AY155" i="15"/>
  <c r="AX155" i="15"/>
  <c r="AW155" i="15"/>
  <c r="AV155" i="15"/>
  <c r="AU155" i="15"/>
  <c r="AY170" i="15"/>
  <c r="AY7" i="39" s="1"/>
  <c r="AX170" i="15"/>
  <c r="AX7" i="39" s="1"/>
  <c r="AW170" i="15"/>
  <c r="AW7" i="39" s="1"/>
  <c r="AV170" i="15"/>
  <c r="AV7" i="39" s="1"/>
  <c r="AU170" i="15"/>
  <c r="AU7" i="39" s="1"/>
  <c r="D7" i="39" a="1"/>
  <c r="AJ43" i="40" l="1" a="1"/>
  <c r="AJ43" i="40" s="1"/>
  <c r="AK34" i="22"/>
  <c r="AL30" i="22" s="1"/>
  <c r="AJ59" i="40"/>
  <c r="AD79" i="25"/>
  <c r="D7" i="39"/>
  <c r="AX167" i="15"/>
  <c r="AY167" i="15"/>
  <c r="AU167" i="15"/>
  <c r="AV167" i="15"/>
  <c r="AW167" i="15"/>
  <c r="F330" i="20"/>
  <c r="AI47" i="25"/>
  <c r="AJ47" i="25" s="1"/>
  <c r="AJ80" i="25" s="1"/>
  <c r="AO37" i="25"/>
  <c r="AO39" i="25" s="1"/>
  <c r="AP37" i="25" s="1"/>
  <c r="AN54" i="25"/>
  <c r="AO54" i="25" s="1"/>
  <c r="AO87" i="25" s="1"/>
  <c r="AE46" i="25"/>
  <c r="AS59" i="25"/>
  <c r="AS92" i="25" s="1"/>
  <c r="AO56" i="25"/>
  <c r="AP56" i="25" s="1"/>
  <c r="E331" i="20"/>
  <c r="AS58" i="25"/>
  <c r="AT58" i="25" s="1"/>
  <c r="AT91" i="25" s="1"/>
  <c r="AS57" i="25"/>
  <c r="AT57" i="25" s="1"/>
  <c r="AO88" i="25"/>
  <c r="AP55" i="25"/>
  <c r="AT60" i="25"/>
  <c r="AT93" i="25" s="1"/>
  <c r="AI48" i="25"/>
  <c r="AI81" i="25" s="1"/>
  <c r="AW98" i="25"/>
  <c r="AX65" i="25"/>
  <c r="AU95" i="25"/>
  <c r="AV62" i="25"/>
  <c r="AK52" i="25"/>
  <c r="AU94" i="25"/>
  <c r="AV61" i="25"/>
  <c r="AK84" i="25"/>
  <c r="AL51" i="25"/>
  <c r="AV96" i="25"/>
  <c r="AW63" i="25"/>
  <c r="AK86" i="25"/>
  <c r="AJ83" i="25"/>
  <c r="AK50" i="25"/>
  <c r="AW97" i="25"/>
  <c r="AX64" i="25"/>
  <c r="AL53" i="25"/>
  <c r="AJ49" i="25"/>
  <c r="AX8" i="13"/>
  <c r="AX175" i="15"/>
  <c r="AY8" i="13"/>
  <c r="AY175" i="15"/>
  <c r="AU8" i="13"/>
  <c r="AU175" i="15"/>
  <c r="AV8" i="13"/>
  <c r="AV175" i="15"/>
  <c r="AV176" i="15" s="1"/>
  <c r="AV177" i="15" s="1"/>
  <c r="AW8" i="13"/>
  <c r="AW175" i="15"/>
  <c r="AW176" i="15" s="1"/>
  <c r="AW177" i="15" s="1"/>
  <c r="AW156" i="15"/>
  <c r="AY156" i="15"/>
  <c r="AX156" i="15"/>
  <c r="AV156" i="15"/>
  <c r="AU156" i="15"/>
  <c r="D8" i="13" a="1"/>
  <c r="AK43" i="40" l="1" a="1"/>
  <c r="AK43" i="40" s="1"/>
  <c r="AE79" i="25"/>
  <c r="AL34" i="22"/>
  <c r="AM30" i="22" s="1"/>
  <c r="AK59" i="40"/>
  <c r="AU159" i="15"/>
  <c r="AU171" i="15"/>
  <c r="AU235" i="15" s="1"/>
  <c r="AV238" i="15" s="1"/>
  <c r="AY159" i="15"/>
  <c r="AY171" i="15"/>
  <c r="AY235" i="15" s="1"/>
  <c r="AW159" i="15"/>
  <c r="AW171" i="15"/>
  <c r="AW235" i="15" s="1"/>
  <c r="AX159" i="15"/>
  <c r="AX171" i="15"/>
  <c r="AX235" i="15" s="1"/>
  <c r="AV159" i="15"/>
  <c r="AV171" i="15"/>
  <c r="AV235" i="15" s="1"/>
  <c r="AI80" i="25"/>
  <c r="F331" i="20"/>
  <c r="AK47" i="25"/>
  <c r="AK80" i="25" s="1"/>
  <c r="AO41" i="25"/>
  <c r="AO89" i="25"/>
  <c r="AP54" i="25"/>
  <c r="AP87" i="25" s="1"/>
  <c r="AN87" i="25"/>
  <c r="AT59" i="25"/>
  <c r="AU59" i="25" s="1"/>
  <c r="AU92" i="25" s="1"/>
  <c r="AF46" i="25"/>
  <c r="E332" i="20"/>
  <c r="AU58" i="25"/>
  <c r="AV58" i="25" s="1"/>
  <c r="AS91" i="25"/>
  <c r="AS90" i="25"/>
  <c r="AU60" i="25"/>
  <c r="AV60" i="25" s="1"/>
  <c r="AJ48" i="25"/>
  <c r="AJ81" i="25" s="1"/>
  <c r="AP88" i="25"/>
  <c r="AQ55" i="25"/>
  <c r="AQ88" i="25" s="1"/>
  <c r="AY65" i="25"/>
  <c r="AY98" i="25" s="1"/>
  <c r="AX98" i="25"/>
  <c r="AW96" i="25"/>
  <c r="AX63" i="25"/>
  <c r="AU57" i="25"/>
  <c r="AT90" i="25"/>
  <c r="AK83" i="25"/>
  <c r="AL50" i="25"/>
  <c r="AP89" i="25"/>
  <c r="AQ56" i="25"/>
  <c r="AL84" i="25"/>
  <c r="AM51" i="25"/>
  <c r="AK49" i="25"/>
  <c r="AJ82" i="25"/>
  <c r="AK85" i="25"/>
  <c r="AL52" i="25"/>
  <c r="AL86" i="25"/>
  <c r="AM53" i="25"/>
  <c r="AX97" i="25"/>
  <c r="AY64" i="25"/>
  <c r="AY97" i="25" s="1"/>
  <c r="AV95" i="25"/>
  <c r="AW62" i="25"/>
  <c r="AV94" i="25"/>
  <c r="AW61" i="25"/>
  <c r="AP39" i="25"/>
  <c r="AQ37" i="25" s="1"/>
  <c r="AP41" i="25"/>
  <c r="D8" i="13"/>
  <c r="AU61" i="13"/>
  <c r="AU62" i="13" s="1"/>
  <c r="AX176" i="15"/>
  <c r="AX177" i="15" s="1"/>
  <c r="AY176" i="15"/>
  <c r="AY177" i="15" s="1"/>
  <c r="AU176" i="15"/>
  <c r="AV240" i="15" l="1"/>
  <c r="AV243" i="15" s="1"/>
  <c r="AV23" i="12" s="1"/>
  <c r="AL43" i="40" a="1"/>
  <c r="AL43" i="40" s="1"/>
  <c r="AM34" i="22"/>
  <c r="AN30" i="22" s="1"/>
  <c r="AL59" i="40"/>
  <c r="AF79" i="25"/>
  <c r="AY20" i="13"/>
  <c r="AY180" i="15"/>
  <c r="AW20" i="13"/>
  <c r="AW180" i="15"/>
  <c r="AX20" i="13"/>
  <c r="AX180" i="15"/>
  <c r="AV20" i="13"/>
  <c r="AV180" i="15"/>
  <c r="AU20" i="13"/>
  <c r="AU180" i="15"/>
  <c r="AL47" i="25"/>
  <c r="AL80" i="25" s="1"/>
  <c r="F332" i="20"/>
  <c r="AQ54" i="25"/>
  <c r="AR54" i="25" s="1"/>
  <c r="AR87" i="25" s="1"/>
  <c r="AT92" i="25"/>
  <c r="AG46" i="25"/>
  <c r="AV59" i="25"/>
  <c r="AV92" i="25" s="1"/>
  <c r="AU91" i="25"/>
  <c r="AU177" i="15"/>
  <c r="E333" i="20"/>
  <c r="AU93" i="25"/>
  <c r="AK48" i="25"/>
  <c r="AK81" i="25" s="1"/>
  <c r="I130" i="25"/>
  <c r="AR55" i="25"/>
  <c r="AR88" i="25" s="1"/>
  <c r="I129" i="25"/>
  <c r="AL83" i="25"/>
  <c r="AM50" i="25"/>
  <c r="AW95" i="25"/>
  <c r="AX62" i="25"/>
  <c r="AV93" i="25"/>
  <c r="AW60" i="25"/>
  <c r="AL85" i="25"/>
  <c r="AM52" i="25"/>
  <c r="AU90" i="25"/>
  <c r="AV57" i="25"/>
  <c r="AM84" i="25"/>
  <c r="AN51" i="25"/>
  <c r="AX96" i="25"/>
  <c r="AY63" i="25"/>
  <c r="AY96" i="25" s="1"/>
  <c r="AW94" i="25"/>
  <c r="AX61" i="25"/>
  <c r="AV91" i="25"/>
  <c r="AW58" i="25"/>
  <c r="AQ89" i="25"/>
  <c r="AR56" i="25"/>
  <c r="AM86" i="25"/>
  <c r="AN53" i="25"/>
  <c r="AK82" i="25"/>
  <c r="AL49" i="25"/>
  <c r="AQ39" i="25"/>
  <c r="AR37" i="25" s="1"/>
  <c r="AQ41" i="25"/>
  <c r="AY124" i="15"/>
  <c r="AY130" i="15" s="1"/>
  <c r="AX124" i="15"/>
  <c r="AX130" i="15" s="1"/>
  <c r="AW124" i="15"/>
  <c r="AW130" i="15" s="1"/>
  <c r="AV124" i="15"/>
  <c r="AV130" i="15" s="1"/>
  <c r="AU124" i="15"/>
  <c r="AU130" i="15" s="1"/>
  <c r="AY123" i="15"/>
  <c r="AY129" i="15" s="1"/>
  <c r="AX123" i="15"/>
  <c r="AX129" i="15" s="1"/>
  <c r="AW123" i="15"/>
  <c r="AW129" i="15" s="1"/>
  <c r="AV123" i="15"/>
  <c r="AV129" i="15" s="1"/>
  <c r="AU123" i="15"/>
  <c r="AU129" i="15" s="1"/>
  <c r="AY122" i="15"/>
  <c r="AX122" i="15"/>
  <c r="AW122" i="15"/>
  <c r="AV122" i="15"/>
  <c r="AU122" i="15"/>
  <c r="D20" i="13" a="1"/>
  <c r="AV241" i="15" l="1"/>
  <c r="AW238" i="15" s="1"/>
  <c r="AM43" i="40" a="1"/>
  <c r="AM43" i="40" s="1"/>
  <c r="AM59" i="40"/>
  <c r="AH46" i="25"/>
  <c r="AI46" i="25" s="1"/>
  <c r="AI79" i="25" s="1"/>
  <c r="AN34" i="22"/>
  <c r="AO30" i="22" s="1"/>
  <c r="D20" i="13"/>
  <c r="AM47" i="25"/>
  <c r="AM80" i="25" s="1"/>
  <c r="F333" i="20"/>
  <c r="AS54" i="25"/>
  <c r="AT54" i="25" s="1"/>
  <c r="AT87" i="25" s="1"/>
  <c r="AQ87" i="25"/>
  <c r="AG79" i="25"/>
  <c r="AW59" i="25"/>
  <c r="AW92" i="25" s="1"/>
  <c r="E334" i="20"/>
  <c r="AX126" i="15"/>
  <c r="AX128" i="15"/>
  <c r="AU128" i="15"/>
  <c r="AU131" i="15" s="1"/>
  <c r="AU132" i="15" s="1"/>
  <c r="AU134" i="15" s="1"/>
  <c r="AU9" i="11" s="1"/>
  <c r="AU126" i="15"/>
  <c r="AY126" i="15"/>
  <c r="AY128" i="15"/>
  <c r="AV128" i="15"/>
  <c r="AV131" i="15" s="1"/>
  <c r="AV132" i="15" s="1"/>
  <c r="AV134" i="15" s="1"/>
  <c r="AV9" i="11" s="1"/>
  <c r="AV126" i="15"/>
  <c r="AW126" i="15"/>
  <c r="AW128" i="15"/>
  <c r="AL48" i="25"/>
  <c r="I128" i="25"/>
  <c r="AS55" i="25"/>
  <c r="AS88" i="25" s="1"/>
  <c r="AX94" i="25"/>
  <c r="AY61" i="25"/>
  <c r="AY94" i="25" s="1"/>
  <c r="AV90" i="25"/>
  <c r="AW57" i="25"/>
  <c r="AM83" i="25"/>
  <c r="AN50" i="25"/>
  <c r="AR89" i="25"/>
  <c r="AS56" i="25"/>
  <c r="AM85" i="25"/>
  <c r="AN52" i="25"/>
  <c r="AL82" i="25"/>
  <c r="AM49" i="25"/>
  <c r="AN84" i="25"/>
  <c r="AO51" i="25"/>
  <c r="AW93" i="25"/>
  <c r="AX60" i="25"/>
  <c r="AN86" i="25"/>
  <c r="AO53" i="25"/>
  <c r="AW91" i="25"/>
  <c r="AX58" i="25"/>
  <c r="AX95" i="25"/>
  <c r="AY62" i="25"/>
  <c r="AY95" i="25" s="1"/>
  <c r="AR39" i="25"/>
  <c r="AS37" i="25" s="1"/>
  <c r="AR41" i="25"/>
  <c r="AX186" i="15"/>
  <c r="AU186" i="15"/>
  <c r="AW186" i="15"/>
  <c r="AV186" i="15"/>
  <c r="AY186" i="15"/>
  <c r="AY89" i="15"/>
  <c r="AX89" i="15"/>
  <c r="AW89" i="15"/>
  <c r="AV89" i="15"/>
  <c r="AU89" i="15"/>
  <c r="AY88" i="15"/>
  <c r="AX88" i="15"/>
  <c r="AW88" i="15"/>
  <c r="AV88" i="15"/>
  <c r="AU88" i="15"/>
  <c r="AY87" i="15"/>
  <c r="AX87" i="15"/>
  <c r="AW87" i="15"/>
  <c r="AV87" i="15"/>
  <c r="AU87" i="15"/>
  <c r="AY86" i="15"/>
  <c r="AX86" i="15"/>
  <c r="AW86" i="15"/>
  <c r="AV86" i="15"/>
  <c r="AU86" i="15"/>
  <c r="AY85" i="15"/>
  <c r="AX85" i="15"/>
  <c r="AW85" i="15"/>
  <c r="AV85" i="15"/>
  <c r="AU85" i="15"/>
  <c r="AY84" i="15"/>
  <c r="AX84" i="15"/>
  <c r="AW84" i="15"/>
  <c r="AV84" i="15"/>
  <c r="AU84" i="15"/>
  <c r="AY218" i="15"/>
  <c r="AX218" i="15"/>
  <c r="AW218" i="15"/>
  <c r="AV218" i="15"/>
  <c r="AU218" i="15"/>
  <c r="AY217" i="15"/>
  <c r="AX217" i="15"/>
  <c r="AW217" i="15"/>
  <c r="AV217" i="15"/>
  <c r="AU217" i="15"/>
  <c r="AY216" i="15"/>
  <c r="AX216" i="15"/>
  <c r="AW216" i="15"/>
  <c r="AV216" i="15"/>
  <c r="AU216" i="15"/>
  <c r="AY215" i="15"/>
  <c r="AX215" i="15"/>
  <c r="AW215" i="15"/>
  <c r="AV215" i="15"/>
  <c r="AU215" i="15"/>
  <c r="AY214" i="15"/>
  <c r="AX214" i="15"/>
  <c r="AW214" i="15"/>
  <c r="AV214" i="15"/>
  <c r="AU214" i="15"/>
  <c r="AY212" i="15"/>
  <c r="AY17" i="12" s="1"/>
  <c r="AX212" i="15"/>
  <c r="AX17" i="12" s="1"/>
  <c r="AW212" i="15"/>
  <c r="AW17" i="12" s="1"/>
  <c r="AV212" i="15"/>
  <c r="AV17" i="12" s="1"/>
  <c r="AU212" i="15"/>
  <c r="AU17" i="12" s="1"/>
  <c r="AY74" i="15"/>
  <c r="AX74" i="15"/>
  <c r="AW74" i="15"/>
  <c r="AV74" i="15"/>
  <c r="AU74" i="15"/>
  <c r="AY73" i="15"/>
  <c r="AX73" i="15"/>
  <c r="AW73" i="15"/>
  <c r="AV73" i="15"/>
  <c r="AU73" i="15"/>
  <c r="AY23" i="15"/>
  <c r="AY39" i="2" s="1"/>
  <c r="AX23" i="15"/>
  <c r="AX39" i="2" s="1"/>
  <c r="AW23" i="15"/>
  <c r="AW39" i="2" s="1"/>
  <c r="AV23" i="15"/>
  <c r="AV39" i="2" s="1"/>
  <c r="AU23" i="15"/>
  <c r="AU39" i="2" s="1"/>
  <c r="AY22" i="15"/>
  <c r="AY38" i="2" s="1"/>
  <c r="AX22" i="15"/>
  <c r="AX38" i="2" s="1"/>
  <c r="AW22" i="15"/>
  <c r="AW38" i="2" s="1"/>
  <c r="AV22" i="15"/>
  <c r="AV38" i="2" s="1"/>
  <c r="AU22" i="15"/>
  <c r="AU38" i="2" s="1"/>
  <c r="AY21" i="15"/>
  <c r="AY37" i="2" s="1"/>
  <c r="AX21" i="15"/>
  <c r="AX37" i="2" s="1"/>
  <c r="AW21" i="15"/>
  <c r="AW37" i="2" s="1"/>
  <c r="AV21" i="15"/>
  <c r="AV37" i="2" s="1"/>
  <c r="AU21" i="15"/>
  <c r="AU37" i="2" s="1"/>
  <c r="AY20" i="15"/>
  <c r="AY36" i="2" s="1"/>
  <c r="AX20" i="15"/>
  <c r="AX36" i="2" s="1"/>
  <c r="AW20" i="15"/>
  <c r="AW36" i="2" s="1"/>
  <c r="AV20" i="15"/>
  <c r="AV36" i="2" s="1"/>
  <c r="AU20" i="15"/>
  <c r="AU36" i="2" s="1"/>
  <c r="AY19" i="15"/>
  <c r="AX19" i="15"/>
  <c r="AW19" i="15"/>
  <c r="AV19" i="15"/>
  <c r="AU19" i="15"/>
  <c r="AY16" i="15"/>
  <c r="AY32" i="2" s="1"/>
  <c r="AX16" i="15"/>
  <c r="AX32" i="2" s="1"/>
  <c r="AW16" i="15"/>
  <c r="AW32" i="2" s="1"/>
  <c r="AV16" i="15"/>
  <c r="AV32" i="2" s="1"/>
  <c r="AU16" i="15"/>
  <c r="AU32" i="2" s="1"/>
  <c r="AY15" i="15"/>
  <c r="AY31" i="2" s="1"/>
  <c r="AX15" i="15"/>
  <c r="AX31" i="2" s="1"/>
  <c r="AW15" i="15"/>
  <c r="AW31" i="2" s="1"/>
  <c r="AV15" i="15"/>
  <c r="AV31" i="2" s="1"/>
  <c r="AU15" i="15"/>
  <c r="AU31" i="2" s="1"/>
  <c r="AY14" i="15"/>
  <c r="AY30" i="2" s="1"/>
  <c r="AX14" i="15"/>
  <c r="AX30" i="2" s="1"/>
  <c r="AW14" i="15"/>
  <c r="AW30" i="2" s="1"/>
  <c r="AV14" i="15"/>
  <c r="AV30" i="2" s="1"/>
  <c r="AU14" i="15"/>
  <c r="AU30" i="2" s="1"/>
  <c r="AY13" i="15"/>
  <c r="AY29" i="2" s="1"/>
  <c r="AX13" i="15"/>
  <c r="AX29" i="2" s="1"/>
  <c r="AW13" i="15"/>
  <c r="AW29" i="2" s="1"/>
  <c r="AV13" i="15"/>
  <c r="AV29" i="2" s="1"/>
  <c r="AU13" i="15"/>
  <c r="AU29" i="2" s="1"/>
  <c r="AY12" i="15"/>
  <c r="AX12" i="15"/>
  <c r="AW12" i="15"/>
  <c r="AV12" i="15"/>
  <c r="AU12" i="15"/>
  <c r="AY33" i="15"/>
  <c r="AX33" i="15"/>
  <c r="AW33" i="15"/>
  <c r="AV33" i="15"/>
  <c r="AU33" i="15"/>
  <c r="AY32" i="15"/>
  <c r="AX32" i="15"/>
  <c r="AW32" i="15"/>
  <c r="AV32" i="15"/>
  <c r="AU32" i="15"/>
  <c r="AY31" i="15"/>
  <c r="AX31" i="15"/>
  <c r="AW31" i="15"/>
  <c r="AV31" i="15"/>
  <c r="AU31" i="15"/>
  <c r="AY7" i="2"/>
  <c r="AX7" i="2"/>
  <c r="AW7" i="2"/>
  <c r="AV7" i="2"/>
  <c r="AU7" i="2"/>
  <c r="D39" i="2" a="1"/>
  <c r="D38" i="2" a="1"/>
  <c r="D30" i="2" a="1"/>
  <c r="D29" i="2" a="1"/>
  <c r="D36" i="2" a="1"/>
  <c r="D7" i="2" a="1"/>
  <c r="D37" i="2" a="1"/>
  <c r="D31" i="2" a="1"/>
  <c r="D32" i="2" a="1"/>
  <c r="AU220" i="15" l="1"/>
  <c r="AV220" i="15"/>
  <c r="AW220" i="15"/>
  <c r="AX220" i="15"/>
  <c r="AY220" i="15"/>
  <c r="AW237" i="15"/>
  <c r="AW240" i="15" s="1"/>
  <c r="AW243" i="15" s="1"/>
  <c r="AW23" i="12" s="1"/>
  <c r="AJ46" i="25"/>
  <c r="AK46" i="25" s="1"/>
  <c r="AN43" i="40" a="1"/>
  <c r="AN43" i="40" s="1"/>
  <c r="AY86" i="40"/>
  <c r="AV86" i="40"/>
  <c r="AN59" i="40"/>
  <c r="AU86" i="40"/>
  <c r="AV82" i="40"/>
  <c r="AY35" i="2"/>
  <c r="AY83" i="40"/>
  <c r="AO34" i="22"/>
  <c r="AP30" i="22" s="1"/>
  <c r="AU82" i="40"/>
  <c r="AU35" i="2"/>
  <c r="AU83" i="40"/>
  <c r="AV35" i="2"/>
  <c r="AV83" i="40"/>
  <c r="AW86" i="40"/>
  <c r="AX82" i="40"/>
  <c r="AW35" i="2"/>
  <c r="AW83" i="40"/>
  <c r="AH79" i="25"/>
  <c r="AW82" i="40"/>
  <c r="AX86" i="40"/>
  <c r="AY82" i="40"/>
  <c r="AX35" i="2"/>
  <c r="AX83" i="40"/>
  <c r="AN47" i="25"/>
  <c r="AO47" i="25" s="1"/>
  <c r="F334" i="20"/>
  <c r="AX59" i="25"/>
  <c r="AY59" i="25" s="1"/>
  <c r="AY92" i="25" s="1"/>
  <c r="AS87" i="25"/>
  <c r="AU54" i="25"/>
  <c r="AU87" i="25" s="1"/>
  <c r="AV26" i="13"/>
  <c r="AW26" i="13"/>
  <c r="AX26" i="13"/>
  <c r="AU26" i="13"/>
  <c r="AY26" i="13"/>
  <c r="AW28" i="2"/>
  <c r="AY28" i="2"/>
  <c r="AU28" i="2"/>
  <c r="AX28" i="2"/>
  <c r="AV28" i="2"/>
  <c r="E335" i="20"/>
  <c r="AY131" i="15"/>
  <c r="AY132" i="15" s="1"/>
  <c r="AY134" i="15" s="1"/>
  <c r="AY9" i="11" s="1"/>
  <c r="AW131" i="15"/>
  <c r="AW132" i="15" s="1"/>
  <c r="AW134" i="15" s="1"/>
  <c r="AW9" i="11" s="1"/>
  <c r="AX131" i="15"/>
  <c r="AX132" i="15" s="1"/>
  <c r="AX134" i="15" s="1"/>
  <c r="AX9" i="11" s="1"/>
  <c r="I127" i="25"/>
  <c r="AL81" i="25"/>
  <c r="AM48" i="25"/>
  <c r="AT55" i="25"/>
  <c r="AT88" i="25" s="1"/>
  <c r="I126" i="25"/>
  <c r="AM82" i="25"/>
  <c r="AN49" i="25"/>
  <c r="AO50" i="25"/>
  <c r="AN83" i="25"/>
  <c r="AX93" i="25"/>
  <c r="AY60" i="25"/>
  <c r="AY93" i="25" s="1"/>
  <c r="AW90" i="25"/>
  <c r="AX57" i="25"/>
  <c r="AX91" i="25"/>
  <c r="AY58" i="25"/>
  <c r="AY91" i="25" s="1"/>
  <c r="AO84" i="25"/>
  <c r="AP51" i="25"/>
  <c r="AN85" i="25"/>
  <c r="AO52" i="25"/>
  <c r="AO86" i="25"/>
  <c r="AP53" i="25"/>
  <c r="AS89" i="25"/>
  <c r="AT56" i="25"/>
  <c r="AS39" i="25"/>
  <c r="AT37" i="25" s="1"/>
  <c r="AS41" i="25"/>
  <c r="D32" i="2"/>
  <c r="D37" i="2"/>
  <c r="D29" i="2"/>
  <c r="D39" i="2"/>
  <c r="D36" i="2"/>
  <c r="D31" i="2"/>
  <c r="D38" i="2"/>
  <c r="D7" i="2"/>
  <c r="D30" i="2"/>
  <c r="AW91" i="15"/>
  <c r="AU91" i="15"/>
  <c r="AX91" i="15"/>
  <c r="AY91" i="15"/>
  <c r="AV91" i="15"/>
  <c r="AY9" i="2"/>
  <c r="AU11" i="2"/>
  <c r="AW11" i="2"/>
  <c r="AV10" i="2"/>
  <c r="AW10" i="2"/>
  <c r="AU10" i="2"/>
  <c r="AY11" i="2"/>
  <c r="AU9" i="2"/>
  <c r="AX10" i="2"/>
  <c r="AW9" i="2"/>
  <c r="AV9" i="2"/>
  <c r="AY10" i="2"/>
  <c r="AX9" i="2"/>
  <c r="AV11" i="2"/>
  <c r="AX11" i="2"/>
  <c r="AV25" i="12"/>
  <c r="AV15" i="12"/>
  <c r="AU25" i="12"/>
  <c r="AU15" i="12"/>
  <c r="AV10" i="13"/>
  <c r="AU10" i="13"/>
  <c r="AW90" i="15"/>
  <c r="AW19" i="12" s="1"/>
  <c r="AU90" i="15"/>
  <c r="AU19" i="12" s="1"/>
  <c r="AV90" i="15"/>
  <c r="AV19" i="12" s="1"/>
  <c r="AX90" i="15"/>
  <c r="AX19" i="12" s="1"/>
  <c r="AY90" i="15"/>
  <c r="AY19" i="12" s="1"/>
  <c r="D26" i="13" a="1"/>
  <c r="D10" i="13" a="1"/>
  <c r="D28" i="2" a="1"/>
  <c r="D9" i="11" a="1"/>
  <c r="D10" i="2" a="1"/>
  <c r="D35" i="2" a="1"/>
  <c r="D11" i="2" a="1"/>
  <c r="D9" i="2" a="1"/>
  <c r="AW241" i="15" l="1"/>
  <c r="AX238" i="15" s="1"/>
  <c r="AJ79" i="25"/>
  <c r="AO43" i="40" a="1"/>
  <c r="AO43" i="40" s="1"/>
  <c r="D35" i="2"/>
  <c r="AO59" i="40"/>
  <c r="AP34" i="22"/>
  <c r="AQ30" i="22" s="1"/>
  <c r="AX18" i="12"/>
  <c r="AX13" i="39"/>
  <c r="AX25" i="39" s="1"/>
  <c r="AW18" i="12"/>
  <c r="AW13" i="39"/>
  <c r="AW25" i="39" s="1"/>
  <c r="AY18" i="12"/>
  <c r="AY13" i="39"/>
  <c r="AY25" i="39" s="1"/>
  <c r="AU18" i="12"/>
  <c r="AU13" i="39"/>
  <c r="AV18" i="12"/>
  <c r="AV13" i="39"/>
  <c r="AV25" i="39" s="1"/>
  <c r="AX92" i="25"/>
  <c r="I124" i="25" s="1"/>
  <c r="AN80" i="25"/>
  <c r="F335" i="20"/>
  <c r="AV54" i="25"/>
  <c r="AV87" i="25" s="1"/>
  <c r="D26" i="13"/>
  <c r="AU24" i="13"/>
  <c r="AV24" i="13"/>
  <c r="AW28" i="13"/>
  <c r="AX28" i="13"/>
  <c r="AV28" i="13"/>
  <c r="AU28" i="13"/>
  <c r="AY28" i="13"/>
  <c r="D28" i="2"/>
  <c r="E336" i="20"/>
  <c r="I123" i="25"/>
  <c r="AX25" i="12"/>
  <c r="AX15" i="12"/>
  <c r="AX10" i="13"/>
  <c r="AY15" i="12"/>
  <c r="AY10" i="13"/>
  <c r="AY25" i="12"/>
  <c r="AW25" i="12"/>
  <c r="AW15" i="12"/>
  <c r="AW10" i="13"/>
  <c r="AM81" i="25"/>
  <c r="AN48" i="25"/>
  <c r="I125" i="25"/>
  <c r="AU55" i="25"/>
  <c r="AU88" i="25" s="1"/>
  <c r="AK79" i="25"/>
  <c r="AL46" i="25"/>
  <c r="AP86" i="25"/>
  <c r="AQ53" i="25"/>
  <c r="AO80" i="25"/>
  <c r="AP47" i="25"/>
  <c r="AX90" i="25"/>
  <c r="AY57" i="25"/>
  <c r="AY90" i="25" s="1"/>
  <c r="AO83" i="25"/>
  <c r="AP50" i="25"/>
  <c r="AT89" i="25"/>
  <c r="AU56" i="25"/>
  <c r="AO85" i="25"/>
  <c r="AP52" i="25"/>
  <c r="AN82" i="25"/>
  <c r="AO49" i="25"/>
  <c r="AP84" i="25"/>
  <c r="AQ51" i="25"/>
  <c r="AT39" i="25"/>
  <c r="AU37" i="25" s="1"/>
  <c r="AT41" i="25"/>
  <c r="D9" i="2"/>
  <c r="D10" i="13"/>
  <c r="D10" i="2"/>
  <c r="D11" i="2"/>
  <c r="D9" i="11"/>
  <c r="AW14" i="9"/>
  <c r="AW13" i="13"/>
  <c r="AU14" i="9"/>
  <c r="AU13" i="13"/>
  <c r="AY14" i="9"/>
  <c r="AY13" i="13"/>
  <c r="AV14" i="9"/>
  <c r="AV13" i="13"/>
  <c r="AX14" i="9"/>
  <c r="AX13" i="13"/>
  <c r="AV26" i="12"/>
  <c r="AW26" i="12"/>
  <c r="AX26" i="12"/>
  <c r="AY26" i="12"/>
  <c r="AU26" i="12"/>
  <c r="D13" i="39" a="1"/>
  <c r="D14" i="9" a="1"/>
  <c r="D24" i="13" a="1"/>
  <c r="D28" i="13" a="1"/>
  <c r="D13" i="13" a="1"/>
  <c r="AX237" i="15" l="1"/>
  <c r="AX240" i="15" s="1"/>
  <c r="AX243" i="15" s="1"/>
  <c r="AX23" i="12" s="1"/>
  <c r="AW27" i="13"/>
  <c r="AU27" i="13"/>
  <c r="AY27" i="13"/>
  <c r="AV27" i="13"/>
  <c r="AX27" i="13"/>
  <c r="AP43" i="40" a="1"/>
  <c r="AP43" i="40" s="1"/>
  <c r="AQ34" i="22"/>
  <c r="AR30" i="22" s="1"/>
  <c r="AP59" i="40"/>
  <c r="D13" i="39"/>
  <c r="AU25" i="39"/>
  <c r="F336" i="20"/>
  <c r="AW54" i="25"/>
  <c r="AX54" i="25" s="1"/>
  <c r="D28" i="13"/>
  <c r="D24" i="13"/>
  <c r="AX24" i="13"/>
  <c r="AW24" i="13"/>
  <c r="AY24" i="13"/>
  <c r="E337" i="20"/>
  <c r="I122" i="25"/>
  <c r="AO48" i="25"/>
  <c r="AN81" i="25"/>
  <c r="AV55" i="25"/>
  <c r="AV88" i="25" s="1"/>
  <c r="AM46" i="25"/>
  <c r="AL79" i="25"/>
  <c r="AQ84" i="25"/>
  <c r="AR51" i="25"/>
  <c r="AP85" i="25"/>
  <c r="AQ52" i="25"/>
  <c r="AU89" i="25"/>
  <c r="AV56" i="25"/>
  <c r="AP80" i="25"/>
  <c r="AQ47" i="25"/>
  <c r="AO82" i="25"/>
  <c r="AP49" i="25"/>
  <c r="AP83" i="25"/>
  <c r="AQ50" i="25"/>
  <c r="AQ86" i="25"/>
  <c r="AR53" i="25"/>
  <c r="AU39" i="25"/>
  <c r="AV37" i="25" s="1"/>
  <c r="AU41" i="25"/>
  <c r="D13" i="13"/>
  <c r="D14" i="9"/>
  <c r="AY28" i="11"/>
  <c r="AX28" i="11"/>
  <c r="AW28" i="11"/>
  <c r="AV28" i="11"/>
  <c r="AU28" i="11"/>
  <c r="AY41" i="11"/>
  <c r="AX41" i="11"/>
  <c r="AW41" i="11"/>
  <c r="AV41" i="11"/>
  <c r="AU41" i="11"/>
  <c r="D27" i="13" a="1"/>
  <c r="AX241" i="15" l="1"/>
  <c r="AY238" i="15" s="1"/>
  <c r="D27" i="13"/>
  <c r="AQ43" i="40" a="1"/>
  <c r="AQ43" i="40" s="1"/>
  <c r="AQ59" i="40"/>
  <c r="AR34" i="22"/>
  <c r="AS30" i="22" s="1"/>
  <c r="AU9" i="8"/>
  <c r="AU43" i="11"/>
  <c r="F337" i="20"/>
  <c r="AW87" i="25"/>
  <c r="E338" i="20"/>
  <c r="AO81" i="25"/>
  <c r="AP48" i="25"/>
  <c r="AW55" i="25"/>
  <c r="AW88" i="25" s="1"/>
  <c r="AM79" i="25"/>
  <c r="AN46" i="25"/>
  <c r="AQ80" i="25"/>
  <c r="AR47" i="25"/>
  <c r="AQ85" i="25"/>
  <c r="AR52" i="25"/>
  <c r="AV89" i="25"/>
  <c r="AW56" i="25"/>
  <c r="AR84" i="25"/>
  <c r="AS51" i="25"/>
  <c r="AR86" i="25"/>
  <c r="AS53" i="25"/>
  <c r="AQ83" i="25"/>
  <c r="AR50" i="25"/>
  <c r="AX87" i="25"/>
  <c r="AY54" i="25"/>
  <c r="AY87" i="25" s="1"/>
  <c r="AP82" i="25"/>
  <c r="AQ49" i="25"/>
  <c r="AV39" i="25"/>
  <c r="AW37" i="25" s="1"/>
  <c r="AV41" i="25"/>
  <c r="AY43" i="11"/>
  <c r="AX43" i="11"/>
  <c r="AW43" i="11"/>
  <c r="AV43" i="11"/>
  <c r="AY237" i="15" l="1"/>
  <c r="AY240" i="15" s="1"/>
  <c r="AY243" i="15" s="1"/>
  <c r="AY23" i="12" s="1"/>
  <c r="AR43" i="40" a="1"/>
  <c r="AR43" i="40" s="1"/>
  <c r="AS34" i="22"/>
  <c r="AT30" i="22" s="1"/>
  <c r="AR59" i="40"/>
  <c r="AV9" i="8"/>
  <c r="F338" i="20"/>
  <c r="AU145" i="15"/>
  <c r="E339" i="20"/>
  <c r="AP81" i="25"/>
  <c r="AQ48" i="25"/>
  <c r="AX55" i="25"/>
  <c r="AY55" i="25" s="1"/>
  <c r="AY88" i="25" s="1"/>
  <c r="I119" i="25"/>
  <c r="AN79" i="25"/>
  <c r="AO46" i="25"/>
  <c r="AS84" i="25"/>
  <c r="AT51" i="25"/>
  <c r="AW89" i="25"/>
  <c r="AX56" i="25"/>
  <c r="AQ82" i="25"/>
  <c r="AR49" i="25"/>
  <c r="AR85" i="25"/>
  <c r="AS52" i="25"/>
  <c r="AR83" i="25"/>
  <c r="AS50" i="25"/>
  <c r="AR80" i="25"/>
  <c r="AS47" i="25"/>
  <c r="AS86" i="25"/>
  <c r="AT53" i="25"/>
  <c r="AW39" i="25"/>
  <c r="AX37" i="25" s="1"/>
  <c r="AW41" i="25"/>
  <c r="AY241" i="15" l="1"/>
  <c r="AS43" i="40" a="1"/>
  <c r="AS43" i="40" s="1"/>
  <c r="AT34" i="22"/>
  <c r="AU30" i="22" s="1"/>
  <c r="AS59" i="40"/>
  <c r="AW9" i="8"/>
  <c r="F339" i="20"/>
  <c r="E340" i="20"/>
  <c r="AX88" i="25"/>
  <c r="I120" i="25" s="1"/>
  <c r="AR48" i="25"/>
  <c r="AQ81" i="25"/>
  <c r="AP46" i="25"/>
  <c r="AP79" i="25" s="1"/>
  <c r="AO79" i="25"/>
  <c r="AS80" i="25"/>
  <c r="AT47" i="25"/>
  <c r="AX89" i="25"/>
  <c r="AY56" i="25"/>
  <c r="AY89" i="25" s="1"/>
  <c r="AS83" i="25"/>
  <c r="AT50" i="25"/>
  <c r="AR82" i="25"/>
  <c r="AS49" i="25"/>
  <c r="AT86" i="25"/>
  <c r="AU53" i="25"/>
  <c r="AT84" i="25"/>
  <c r="AU51" i="25"/>
  <c r="AT52" i="25"/>
  <c r="AS85" i="25"/>
  <c r="AX39" i="25"/>
  <c r="AY37" i="25" s="1"/>
  <c r="AX41" i="25"/>
  <c r="AT43" i="40" l="1" a="1"/>
  <c r="AT43" i="40" s="1"/>
  <c r="AU34" i="22"/>
  <c r="AV30" i="22" s="1"/>
  <c r="AT59" i="40"/>
  <c r="AX9" i="8"/>
  <c r="F340" i="20"/>
  <c r="E341" i="20"/>
  <c r="AS48" i="25"/>
  <c r="AR81" i="25"/>
  <c r="AQ46" i="25"/>
  <c r="AQ79" i="25" s="1"/>
  <c r="I121" i="25"/>
  <c r="AU86" i="25"/>
  <c r="AV53" i="25"/>
  <c r="AT80" i="25"/>
  <c r="AU47" i="25"/>
  <c r="AU84" i="25"/>
  <c r="AV51" i="25"/>
  <c r="AS82" i="25"/>
  <c r="AT49" i="25"/>
  <c r="AT83" i="25"/>
  <c r="AU50" i="25"/>
  <c r="AT85" i="25"/>
  <c r="AU52" i="25"/>
  <c r="AY39" i="25"/>
  <c r="AY41" i="25"/>
  <c r="AY72" i="9"/>
  <c r="AX72" i="9"/>
  <c r="AW72" i="9"/>
  <c r="AV72" i="9"/>
  <c r="AU72" i="9"/>
  <c r="AU80" i="9"/>
  <c r="AU81" i="9" s="1"/>
  <c r="AU75" i="9" s="1"/>
  <c r="AY55" i="9"/>
  <c r="AX55" i="9"/>
  <c r="AW55" i="9"/>
  <c r="AU55" i="9"/>
  <c r="AV55" i="9"/>
  <c r="AU43" i="40" l="1" a="1"/>
  <c r="AU43" i="40" s="1"/>
  <c r="AU59" i="40"/>
  <c r="AV34" i="22"/>
  <c r="AW30" i="22" s="1"/>
  <c r="AY9" i="8"/>
  <c r="F341" i="20"/>
  <c r="E342" i="20"/>
  <c r="AS81" i="25"/>
  <c r="AT48" i="25"/>
  <c r="AR46" i="25"/>
  <c r="AR79" i="25" s="1"/>
  <c r="AU80" i="25"/>
  <c r="AV47" i="25"/>
  <c r="AV86" i="25"/>
  <c r="AW53" i="25"/>
  <c r="AU83" i="25"/>
  <c r="AV50" i="25"/>
  <c r="AT82" i="25"/>
  <c r="AU49" i="25"/>
  <c r="AU85" i="25"/>
  <c r="AV52" i="25"/>
  <c r="AV84" i="25"/>
  <c r="AW51" i="25"/>
  <c r="AU63" i="9"/>
  <c r="AU64" i="9" s="1"/>
  <c r="AU58" i="9" s="1"/>
  <c r="AV43" i="40" l="1" a="1"/>
  <c r="AV43" i="40" s="1"/>
  <c r="AW34" i="22"/>
  <c r="AX30" i="22" s="1"/>
  <c r="AV59" i="40"/>
  <c r="F342" i="20"/>
  <c r="E343" i="20"/>
  <c r="AS46" i="25"/>
  <c r="AT46" i="25" s="1"/>
  <c r="AT79" i="25" s="1"/>
  <c r="AT81" i="25"/>
  <c r="AU48" i="25"/>
  <c r="AV85" i="25"/>
  <c r="AW52" i="25"/>
  <c r="AV83" i="25"/>
  <c r="AW50" i="25"/>
  <c r="AW86" i="25"/>
  <c r="AX53" i="25"/>
  <c r="AW84" i="25"/>
  <c r="AX51" i="25"/>
  <c r="AU82" i="25"/>
  <c r="AV49" i="25"/>
  <c r="AV80" i="25"/>
  <c r="AW47" i="25"/>
  <c r="AW43" i="40" l="1" a="1"/>
  <c r="AW43" i="40" s="1"/>
  <c r="AX34" i="22"/>
  <c r="AY30" i="22" s="1"/>
  <c r="AW59" i="40"/>
  <c r="F343" i="20"/>
  <c r="E344" i="20"/>
  <c r="AU46" i="25"/>
  <c r="AU79" i="25" s="1"/>
  <c r="AS79" i="25"/>
  <c r="AU81" i="25"/>
  <c r="AV48" i="25"/>
  <c r="AY53" i="25"/>
  <c r="AY86" i="25" s="1"/>
  <c r="AX86" i="25"/>
  <c r="AW83" i="25"/>
  <c r="AX50" i="25"/>
  <c r="AV82" i="25"/>
  <c r="AW49" i="25"/>
  <c r="AW85" i="25"/>
  <c r="AX52" i="25"/>
  <c r="AW80" i="25"/>
  <c r="AX47" i="25"/>
  <c r="AX84" i="25"/>
  <c r="AY51" i="25"/>
  <c r="AY84" i="25" s="1"/>
  <c r="AX43" i="40" l="1" a="1"/>
  <c r="AX43" i="40" s="1"/>
  <c r="AY34" i="22"/>
  <c r="AY59" i="40" s="1"/>
  <c r="AX59" i="40"/>
  <c r="F344" i="20"/>
  <c r="E345" i="20"/>
  <c r="AV46" i="25"/>
  <c r="AV79" i="25" s="1"/>
  <c r="I116" i="25"/>
  <c r="AV81" i="25"/>
  <c r="AW48" i="25"/>
  <c r="AW81" i="25" s="1"/>
  <c r="I118" i="25"/>
  <c r="AY52" i="25"/>
  <c r="AY85" i="25" s="1"/>
  <c r="AX85" i="25"/>
  <c r="AW82" i="25"/>
  <c r="AX49" i="25"/>
  <c r="AX83" i="25"/>
  <c r="AY50" i="25"/>
  <c r="AY83" i="25" s="1"/>
  <c r="AX80" i="25"/>
  <c r="AY47" i="25"/>
  <c r="AY80" i="25" s="1"/>
  <c r="AY43" i="40" l="1" a="1"/>
  <c r="AY43" i="40" s="1"/>
  <c r="F345" i="20"/>
  <c r="E346" i="20"/>
  <c r="AW46" i="25"/>
  <c r="AW79" i="25" s="1"/>
  <c r="I117" i="25"/>
  <c r="I112" i="25"/>
  <c r="AX48" i="25"/>
  <c r="AX81" i="25" s="1"/>
  <c r="I115" i="25"/>
  <c r="AX82" i="25"/>
  <c r="AY49" i="25"/>
  <c r="AY82" i="25" s="1"/>
  <c r="F346" i="20" l="1"/>
  <c r="I114" i="25"/>
  <c r="AX46" i="25"/>
  <c r="AX79" i="25" s="1"/>
  <c r="E347" i="20"/>
  <c r="AY48" i="25"/>
  <c r="AY81" i="25" s="1"/>
  <c r="I113" i="25" s="1"/>
  <c r="AV16" i="8"/>
  <c r="AV43" i="8" s="1"/>
  <c r="AV44" i="8" s="1"/>
  <c r="AW16" i="8"/>
  <c r="AW43" i="8" s="1"/>
  <c r="AW44" i="8" s="1"/>
  <c r="AU16" i="8"/>
  <c r="AU43" i="8" s="1"/>
  <c r="AX16" i="8"/>
  <c r="AX43" i="8" s="1"/>
  <c r="AX44" i="8" s="1"/>
  <c r="AY16" i="8"/>
  <c r="AY43" i="8" s="1"/>
  <c r="AY44" i="8" s="1"/>
  <c r="D16" i="8" a="1"/>
  <c r="F347" i="20" l="1"/>
  <c r="AY46" i="25"/>
  <c r="AY79" i="25" s="1"/>
  <c r="I111" i="25" s="1"/>
  <c r="E348" i="20"/>
  <c r="D16" i="8"/>
  <c r="F348" i="20" l="1"/>
  <c r="E349" i="20"/>
  <c r="AU44" i="8"/>
  <c r="F349" i="20" l="1"/>
  <c r="E350" i="20"/>
  <c r="F350" i="20" l="1"/>
  <c r="AV145" i="15"/>
  <c r="E351" i="20"/>
  <c r="F351" i="20" l="1"/>
  <c r="E352" i="20"/>
  <c r="I31" i="4"/>
  <c r="I42" i="40" s="1" a="1"/>
  <c r="I42" i="40" s="1"/>
  <c r="I58" i="40" l="1"/>
  <c r="F352" i="20"/>
  <c r="E353" i="20"/>
  <c r="F353" i="20" l="1"/>
  <c r="E354" i="20"/>
  <c r="F354" i="20" l="1"/>
  <c r="E355" i="20"/>
  <c r="F355" i="20" l="1"/>
  <c r="E356" i="20"/>
  <c r="F356" i="20" l="1"/>
  <c r="E357" i="20"/>
  <c r="F357" i="20" l="1"/>
  <c r="E358" i="20"/>
  <c r="F358" i="20" l="1"/>
  <c r="E359" i="20"/>
  <c r="F359" i="20" l="1"/>
  <c r="E360" i="20"/>
  <c r="D9" i="8" a="1"/>
  <c r="F360" i="20" l="1"/>
  <c r="D9" i="8"/>
  <c r="E361" i="20"/>
  <c r="F361" i="20" l="1"/>
  <c r="E362" i="20"/>
  <c r="F362" i="20" l="1"/>
  <c r="AW145" i="15"/>
  <c r="E363" i="20"/>
  <c r="F363" i="20" l="1"/>
  <c r="E364" i="20"/>
  <c r="F364" i="20" l="1"/>
  <c r="E365" i="20"/>
  <c r="F365" i="20" l="1"/>
  <c r="E366" i="20"/>
  <c r="F366" i="20" l="1"/>
  <c r="E367" i="20"/>
  <c r="F367" i="20" l="1"/>
  <c r="E368" i="20"/>
  <c r="F368" i="20" l="1"/>
  <c r="E369" i="20"/>
  <c r="F369" i="20" l="1"/>
  <c r="E370" i="20"/>
  <c r="F370" i="20" l="1"/>
  <c r="E371" i="20"/>
  <c r="F371" i="20" l="1"/>
  <c r="E372" i="20"/>
  <c r="F372" i="20" l="1"/>
  <c r="E373" i="20"/>
  <c r="F373" i="20" l="1"/>
  <c r="E374" i="20"/>
  <c r="F374" i="20" l="1"/>
  <c r="AX145" i="15"/>
  <c r="E375" i="20"/>
  <c r="F375" i="20" l="1"/>
  <c r="E376" i="20"/>
  <c r="F376" i="20" l="1"/>
  <c r="E377" i="20"/>
  <c r="F377" i="20" l="1"/>
  <c r="E378" i="20"/>
  <c r="F378" i="20" l="1"/>
  <c r="E379" i="20"/>
  <c r="F379" i="20" l="1"/>
  <c r="E380" i="20"/>
  <c r="F380" i="20" l="1"/>
  <c r="E381" i="20"/>
  <c r="F381" i="20" l="1"/>
  <c r="E382" i="20"/>
  <c r="F382" i="20" l="1"/>
  <c r="E383" i="20"/>
  <c r="F383" i="20" l="1"/>
  <c r="E384" i="20"/>
  <c r="F384" i="20" l="1"/>
  <c r="E385" i="20"/>
  <c r="AT141" i="15" l="1"/>
  <c r="AU141" i="15"/>
  <c r="AV141" i="15"/>
  <c r="AW141" i="15"/>
  <c r="AX141" i="15"/>
  <c r="AY141" i="15"/>
  <c r="F385" i="20"/>
  <c r="AT144" i="15" l="1"/>
  <c r="AT146" i="15" s="1"/>
  <c r="AT150" i="15" s="1"/>
  <c r="AU144" i="15"/>
  <c r="AU146" i="15" s="1"/>
  <c r="AV144" i="15"/>
  <c r="AV146" i="15" s="1"/>
  <c r="AW144" i="15"/>
  <c r="AW146" i="15" s="1"/>
  <c r="AX144" i="15"/>
  <c r="AX146" i="15" s="1"/>
  <c r="AY144" i="15"/>
  <c r="AY146" i="15" s="1"/>
  <c r="AY142" i="15"/>
  <c r="AY160" i="15" s="1"/>
  <c r="AW142" i="15"/>
  <c r="AW160" i="15" s="1"/>
  <c r="AV142" i="15"/>
  <c r="AV160" i="15" s="1"/>
  <c r="AX142" i="15"/>
  <c r="AX160" i="15" s="1"/>
  <c r="AU142" i="15"/>
  <c r="AU160" i="15" s="1"/>
  <c r="AT142" i="15"/>
  <c r="AY145" i="15"/>
  <c r="AC151" i="15" l="1"/>
  <c r="AH151" i="15"/>
  <c r="AL150" i="15"/>
  <c r="AJ151" i="15"/>
  <c r="Y150" i="15"/>
  <c r="Z151" i="15"/>
  <c r="AO150" i="15"/>
  <c r="Y151" i="15"/>
  <c r="W151" i="15"/>
  <c r="AN150" i="15"/>
  <c r="AO151" i="15"/>
  <c r="AK151" i="15"/>
  <c r="AI151" i="15"/>
  <c r="AE150" i="15"/>
  <c r="Z150" i="15"/>
  <c r="AP150" i="15"/>
  <c r="AR150" i="15"/>
  <c r="AJ150" i="15"/>
  <c r="X151" i="15"/>
  <c r="AE151" i="15"/>
  <c r="AP151" i="15"/>
  <c r="AM150" i="15"/>
  <c r="AH150" i="15"/>
  <c r="AA150" i="15"/>
  <c r="AB150" i="15"/>
  <c r="AB151" i="15"/>
  <c r="AA151" i="15"/>
  <c r="W150" i="15"/>
  <c r="AN151" i="15"/>
  <c r="AD150" i="15"/>
  <c r="AD151" i="15"/>
  <c r="AI150" i="15"/>
  <c r="X150" i="15"/>
  <c r="AG151" i="15"/>
  <c r="AF150" i="15"/>
  <c r="AQ150" i="15"/>
  <c r="AL151" i="15"/>
  <c r="AK150" i="15"/>
  <c r="AC150" i="15"/>
  <c r="AG150" i="15"/>
  <c r="AF151" i="15"/>
  <c r="AQ151" i="15"/>
  <c r="AR151" i="15"/>
  <c r="AM151" i="15"/>
  <c r="V150" i="15"/>
  <c r="V151" i="15"/>
  <c r="AS151" i="15"/>
  <c r="AS150" i="15"/>
  <c r="AT151" i="15"/>
  <c r="AU151" i="15"/>
  <c r="AV151" i="15"/>
  <c r="AW151" i="15"/>
  <c r="AX151" i="15"/>
  <c r="AT147" i="15"/>
  <c r="AY151" i="15"/>
  <c r="AY17" i="11" s="1"/>
  <c r="AY150" i="15"/>
  <c r="AY15" i="26" s="1"/>
  <c r="AY147" i="15"/>
  <c r="AY184" i="15" s="1"/>
  <c r="AX150" i="15"/>
  <c r="AX15" i="26" s="1"/>
  <c r="AX147" i="15"/>
  <c r="AX184" i="15" s="1"/>
  <c r="AW150" i="15"/>
  <c r="AW15" i="26" s="1"/>
  <c r="AW147" i="15"/>
  <c r="AW184" i="15" s="1"/>
  <c r="AV150" i="15"/>
  <c r="AV15" i="26" s="1"/>
  <c r="AV147" i="15"/>
  <c r="AV184" i="15" s="1"/>
  <c r="AU150" i="15"/>
  <c r="AU147" i="15"/>
  <c r="AS40" i="40" l="1" a="1"/>
  <c r="AS40" i="40" s="1"/>
  <c r="AS56" i="40"/>
  <c r="AG56" i="40"/>
  <c r="AG40" i="40" a="1"/>
  <c r="AG40" i="40" s="1"/>
  <c r="AI40" i="40" a="1"/>
  <c r="AI40" i="40" s="1"/>
  <c r="AI56" i="40"/>
  <c r="AA40" i="40" a="1"/>
  <c r="AA40" i="40" s="1"/>
  <c r="AA56" i="40"/>
  <c r="AP40" i="40" a="1"/>
  <c r="AP40" i="40" s="1"/>
  <c r="AP56" i="40"/>
  <c r="AH40" i="40" a="1"/>
  <c r="AH40" i="40" s="1"/>
  <c r="AH56" i="40"/>
  <c r="Z40" i="40" a="1"/>
  <c r="Z40" i="40" s="1"/>
  <c r="Z56" i="40"/>
  <c r="AO40" i="40" a="1"/>
  <c r="AO40" i="40" s="1"/>
  <c r="AO56" i="40"/>
  <c r="AK40" i="40" a="1"/>
  <c r="AK40" i="40" s="1"/>
  <c r="AK56" i="40"/>
  <c r="AD40" i="40" a="1"/>
  <c r="AD40" i="40" s="1"/>
  <c r="AD56" i="40"/>
  <c r="AM40" i="40" a="1"/>
  <c r="AM40" i="40" s="1"/>
  <c r="AM56" i="40"/>
  <c r="AE56" i="40"/>
  <c r="AE40" i="40" a="1"/>
  <c r="AE40" i="40" s="1"/>
  <c r="V40" i="40" a="1"/>
  <c r="V40" i="40" s="1"/>
  <c r="V56" i="40"/>
  <c r="Y40" i="40" a="1"/>
  <c r="Y40" i="40" s="1"/>
  <c r="Y56" i="40"/>
  <c r="AW17" i="11"/>
  <c r="AW15" i="8"/>
  <c r="AQ40" i="40" a="1"/>
  <c r="AQ40" i="40" s="1"/>
  <c r="AQ56" i="40"/>
  <c r="W40" i="40" a="1"/>
  <c r="W40" i="40" s="1"/>
  <c r="W56" i="40"/>
  <c r="AX17" i="11"/>
  <c r="AX15" i="8"/>
  <c r="AV17" i="11"/>
  <c r="AV15" i="8"/>
  <c r="AF56" i="40"/>
  <c r="AF40" i="40" a="1"/>
  <c r="AF40" i="40" s="1"/>
  <c r="AL40" i="40" a="1"/>
  <c r="AL40" i="40" s="1"/>
  <c r="AL56" i="40"/>
  <c r="AU17" i="11"/>
  <c r="AU15" i="8"/>
  <c r="AJ40" i="40" a="1"/>
  <c r="AJ40" i="40" s="1"/>
  <c r="AJ56" i="40"/>
  <c r="AN40" i="40" a="1"/>
  <c r="AN40" i="40" s="1"/>
  <c r="AN56" i="40"/>
  <c r="AC56" i="40"/>
  <c r="AC40" i="40" a="1"/>
  <c r="AC40" i="40" s="1"/>
  <c r="X40" i="40" a="1"/>
  <c r="X40" i="40" s="1"/>
  <c r="X56" i="40"/>
  <c r="AB40" i="40" a="1"/>
  <c r="AB40" i="40" s="1"/>
  <c r="AB56" i="40"/>
  <c r="AR40" i="40" a="1"/>
  <c r="AR40" i="40" s="1"/>
  <c r="AR56" i="40"/>
  <c r="AU181" i="15"/>
  <c r="AU268" i="15" s="1"/>
  <c r="AT184" i="15"/>
  <c r="AT185" i="15" s="1"/>
  <c r="AT40" i="40" s="1" a="1"/>
  <c r="AT40" i="40" s="1"/>
  <c r="AU15" i="26"/>
  <c r="AT96" i="9"/>
  <c r="AT89" i="9"/>
  <c r="AT11" i="8"/>
  <c r="AX46" i="11"/>
  <c r="AW46" i="11"/>
  <c r="AV46" i="11"/>
  <c r="AY46" i="11"/>
  <c r="AU46" i="11"/>
  <c r="AU45" i="11"/>
  <c r="AY15" i="8"/>
  <c r="AV40" i="13"/>
  <c r="AW40" i="13"/>
  <c r="AX40" i="13"/>
  <c r="AU40" i="13"/>
  <c r="AY40" i="13"/>
  <c r="AX79" i="15"/>
  <c r="AX30" i="26" s="1"/>
  <c r="AX112" i="26" s="1"/>
  <c r="AU79" i="15"/>
  <c r="AU30" i="26" s="1"/>
  <c r="AV79" i="15"/>
  <c r="AV30" i="26" s="1"/>
  <c r="AV112" i="26" s="1"/>
  <c r="AW79" i="15"/>
  <c r="AW30" i="26" s="1"/>
  <c r="AW112" i="26" s="1"/>
  <c r="AY79" i="15"/>
  <c r="AY30" i="26" s="1"/>
  <c r="AY112" i="26" s="1"/>
  <c r="AW75" i="15"/>
  <c r="AW33" i="11"/>
  <c r="AW76" i="15"/>
  <c r="AW25" i="26" s="1"/>
  <c r="AW91" i="26" s="1"/>
  <c r="AW43" i="13"/>
  <c r="AW71" i="15"/>
  <c r="AW70" i="15"/>
  <c r="AW77" i="15"/>
  <c r="AW11" i="8"/>
  <c r="AW39" i="13"/>
  <c r="AW45" i="11"/>
  <c r="AW32" i="11"/>
  <c r="AW80" i="15"/>
  <c r="AW72" i="15"/>
  <c r="AW78" i="15"/>
  <c r="AX21" i="13"/>
  <c r="AX69" i="13" s="1"/>
  <c r="AX181" i="15"/>
  <c r="AX268" i="15" s="1"/>
  <c r="AX9" i="26" s="1"/>
  <c r="AU184" i="15"/>
  <c r="AU21" i="13"/>
  <c r="AX39" i="13"/>
  <c r="AX75" i="15"/>
  <c r="AX71" i="15"/>
  <c r="AX72" i="15"/>
  <c r="AX76" i="15"/>
  <c r="AX25" i="26" s="1"/>
  <c r="AX91" i="26" s="1"/>
  <c r="AX70" i="15"/>
  <c r="AX11" i="8"/>
  <c r="AX32" i="11"/>
  <c r="AX77" i="15"/>
  <c r="AX43" i="13"/>
  <c r="AX33" i="11"/>
  <c r="AX45" i="11"/>
  <c r="AX80" i="15"/>
  <c r="AX78" i="15"/>
  <c r="AU80" i="15"/>
  <c r="AU77" i="15"/>
  <c r="AU78" i="15"/>
  <c r="AU72" i="15"/>
  <c r="AU11" i="8"/>
  <c r="AU76" i="15"/>
  <c r="AU25" i="26" s="1"/>
  <c r="AU32" i="11"/>
  <c r="AU70" i="15"/>
  <c r="AU39" i="13"/>
  <c r="AU75" i="15"/>
  <c r="AU43" i="13"/>
  <c r="AU33" i="11"/>
  <c r="AU71" i="15"/>
  <c r="AV80" i="15"/>
  <c r="AV43" i="13"/>
  <c r="AV33" i="11"/>
  <c r="AV77" i="15"/>
  <c r="AV32" i="11"/>
  <c r="AV70" i="15"/>
  <c r="AV39" i="13"/>
  <c r="AV76" i="15"/>
  <c r="AV25" i="26" s="1"/>
  <c r="AV91" i="26" s="1"/>
  <c r="AV75" i="15"/>
  <c r="AV45" i="11"/>
  <c r="AV11" i="8"/>
  <c r="AV72" i="15"/>
  <c r="AV78" i="15"/>
  <c r="AV71" i="15"/>
  <c r="AY181" i="15"/>
  <c r="AY268" i="15" s="1"/>
  <c r="AY9" i="26" s="1"/>
  <c r="AY21" i="13"/>
  <c r="AY69" i="13" s="1"/>
  <c r="AV181" i="15"/>
  <c r="AV268" i="15" s="1"/>
  <c r="AV9" i="26" s="1"/>
  <c r="AV21" i="13"/>
  <c r="AV69" i="13" s="1"/>
  <c r="AY78" i="15"/>
  <c r="AY72" i="15"/>
  <c r="AY76" i="15"/>
  <c r="AY25" i="26" s="1"/>
  <c r="AY91" i="26" s="1"/>
  <c r="AY11" i="8"/>
  <c r="AY80" i="15"/>
  <c r="AY39" i="13"/>
  <c r="AY33" i="11"/>
  <c r="AY70" i="15"/>
  <c r="AY32" i="11"/>
  <c r="AY75" i="15"/>
  <c r="AY43" i="13"/>
  <c r="AY45" i="11"/>
  <c r="AY77" i="15"/>
  <c r="AY71" i="15"/>
  <c r="AW21" i="13"/>
  <c r="AW69" i="13" s="1"/>
  <c r="AW181" i="15"/>
  <c r="AW268" i="15" s="1"/>
  <c r="AW9" i="26" s="1"/>
  <c r="D17" i="11" a="1"/>
  <c r="D15" i="26" a="1"/>
  <c r="D11" i="8" a="1"/>
  <c r="D15" i="8" a="1"/>
  <c r="D25" i="26" a="1"/>
  <c r="D21" i="13" a="1"/>
  <c r="D30" i="26" a="1"/>
  <c r="D15" i="8" l="1"/>
  <c r="D17" i="11"/>
  <c r="AT45" i="40" a="1"/>
  <c r="AT45" i="40" s="1"/>
  <c r="AT46" i="40" a="1"/>
  <c r="AT46" i="40" s="1"/>
  <c r="AU91" i="9"/>
  <c r="AU9" i="26"/>
  <c r="AT61" i="40"/>
  <c r="AT62" i="40"/>
  <c r="AU98" i="9"/>
  <c r="D15" i="26"/>
  <c r="D11" i="8"/>
  <c r="AU24" i="8"/>
  <c r="D30" i="26"/>
  <c r="D25" i="26"/>
  <c r="AU112" i="26"/>
  <c r="AU91" i="26"/>
  <c r="AX269" i="15" a="1"/>
  <c r="AX269" i="15" s="1"/>
  <c r="AW269" i="15" a="1"/>
  <c r="AW269" i="15" s="1"/>
  <c r="AV269" i="15" a="1"/>
  <c r="AV269" i="15" s="1"/>
  <c r="AY269" i="15" a="1"/>
  <c r="AY269" i="15" s="1"/>
  <c r="D21" i="13"/>
  <c r="AX81" i="15"/>
  <c r="AX188" i="15"/>
  <c r="AX13" i="8" s="1"/>
  <c r="AW81" i="15"/>
  <c r="AY81" i="15"/>
  <c r="AY188" i="15"/>
  <c r="AY13" i="8" s="1"/>
  <c r="AU81" i="15"/>
  <c r="AW188" i="15"/>
  <c r="AW13" i="8" s="1"/>
  <c r="AV188" i="15"/>
  <c r="AV13" i="8" s="1"/>
  <c r="AU69" i="13"/>
  <c r="AV81" i="15"/>
  <c r="AU188" i="15"/>
  <c r="AU13" i="8" s="1"/>
  <c r="AU185" i="15"/>
  <c r="AU187" i="15" s="1"/>
  <c r="D9" i="26" a="1"/>
  <c r="D13" i="8" a="1"/>
  <c r="AU105" i="9" l="1"/>
  <c r="AU40" i="40" a="1"/>
  <c r="AU40" i="40" s="1"/>
  <c r="AU56" i="40"/>
  <c r="AT56" i="40"/>
  <c r="AU104" i="9"/>
  <c r="AW270" i="15"/>
  <c r="AW276" i="15"/>
  <c r="AW26" i="26" s="1"/>
  <c r="AW92" i="26" s="1"/>
  <c r="AW282" i="15"/>
  <c r="AX270" i="15"/>
  <c r="AX276" i="15"/>
  <c r="AX26" i="26" s="1"/>
  <c r="AX92" i="26" s="1"/>
  <c r="AX282" i="15"/>
  <c r="AY270" i="15"/>
  <c r="AY282" i="15"/>
  <c r="AY276" i="15"/>
  <c r="AY26" i="26" s="1"/>
  <c r="AY92" i="26" s="1"/>
  <c r="AV270" i="15"/>
  <c r="AV276" i="15"/>
  <c r="AV26" i="26" s="1"/>
  <c r="AV92" i="26" s="1"/>
  <c r="AV282" i="15"/>
  <c r="AU21" i="26"/>
  <c r="AU26" i="26"/>
  <c r="AU31" i="26"/>
  <c r="D9" i="26"/>
  <c r="D13" i="8"/>
  <c r="AW11" i="12"/>
  <c r="AW13" i="9"/>
  <c r="AW12" i="13"/>
  <c r="AU13" i="9"/>
  <c r="AU11" i="12"/>
  <c r="AU12" i="13"/>
  <c r="AU10" i="25"/>
  <c r="AU7" i="8"/>
  <c r="AU25" i="8"/>
  <c r="AV12" i="13"/>
  <c r="AV13" i="9"/>
  <c r="AV11" i="12"/>
  <c r="AX11" i="12"/>
  <c r="AX13" i="9"/>
  <c r="AX12" i="13"/>
  <c r="AY11" i="12"/>
  <c r="AY13" i="9"/>
  <c r="AY12" i="13"/>
  <c r="AV185" i="15"/>
  <c r="D26" i="26" a="1"/>
  <c r="D10" i="25" a="1"/>
  <c r="D21" i="26" a="1"/>
  <c r="D12" i="13" a="1"/>
  <c r="D31" i="26" a="1"/>
  <c r="D13" i="9" a="1"/>
  <c r="D7" i="8" a="1"/>
  <c r="AU33" i="8" l="1"/>
  <c r="AU34" i="8" s="1"/>
  <c r="AY31" i="26"/>
  <c r="AY113" i="26" s="1"/>
  <c r="AX31" i="26"/>
  <c r="AX113" i="26" s="1"/>
  <c r="AV31" i="26"/>
  <c r="AV113" i="26" s="1"/>
  <c r="AW31" i="26"/>
  <c r="AW113" i="26" s="1"/>
  <c r="D10" i="25"/>
  <c r="D31" i="26"/>
  <c r="D26" i="26"/>
  <c r="AU113" i="26"/>
  <c r="AU116" i="26" s="1"/>
  <c r="AU99" i="26" s="1"/>
  <c r="AU92" i="26"/>
  <c r="AX21" i="26"/>
  <c r="AX70" i="26" s="1"/>
  <c r="AW21" i="26"/>
  <c r="AW70" i="26" s="1"/>
  <c r="AV21" i="26"/>
  <c r="AV70" i="26" s="1"/>
  <c r="AY21" i="26"/>
  <c r="AY70" i="26" s="1"/>
  <c r="D7" i="8"/>
  <c r="D12" i="13"/>
  <c r="D13" i="9"/>
  <c r="D21" i="26"/>
  <c r="AX42" i="9"/>
  <c r="AW42" i="9"/>
  <c r="AY42" i="13"/>
  <c r="AU42" i="13"/>
  <c r="AY42" i="9"/>
  <c r="AU42" i="9"/>
  <c r="AV42" i="9"/>
  <c r="AV42" i="13"/>
  <c r="AU70" i="26"/>
  <c r="AV187" i="15"/>
  <c r="AV40" i="40" s="1" a="1"/>
  <c r="AV40" i="40" s="1"/>
  <c r="AW185" i="15"/>
  <c r="AX42" i="13"/>
  <c r="AU26" i="8"/>
  <c r="AU17" i="13"/>
  <c r="AW42" i="13"/>
  <c r="D17" i="13" a="1"/>
  <c r="AU16" i="13" l="1"/>
  <c r="AU57" i="13" s="1"/>
  <c r="AV121" i="26"/>
  <c r="AY121" i="26"/>
  <c r="AW121" i="26"/>
  <c r="AX121" i="26"/>
  <c r="AV56" i="40"/>
  <c r="AU121" i="26"/>
  <c r="D17" i="13"/>
  <c r="AV10" i="25"/>
  <c r="AV7" i="8"/>
  <c r="AW187" i="15"/>
  <c r="AX185" i="15"/>
  <c r="D16" i="13" a="1"/>
  <c r="D16" i="13" l="1"/>
  <c r="AW56" i="40"/>
  <c r="AW40" i="40" a="1"/>
  <c r="AW40" i="40" s="1"/>
  <c r="AU36" i="13"/>
  <c r="AW10" i="25"/>
  <c r="AW7" i="8"/>
  <c r="AU63" i="13"/>
  <c r="AU58" i="13"/>
  <c r="AX187" i="15"/>
  <c r="AX40" i="40" s="1" a="1"/>
  <c r="AX40" i="40" s="1"/>
  <c r="AY185" i="15"/>
  <c r="AX56" i="40" l="1"/>
  <c r="AU64" i="13"/>
  <c r="AY187" i="15"/>
  <c r="AY40" i="40" s="1" a="1"/>
  <c r="AY40" i="40" s="1"/>
  <c r="AX7" i="8"/>
  <c r="AX10" i="25"/>
  <c r="AY56" i="40" l="1"/>
  <c r="AU37" i="13"/>
  <c r="AY10" i="25"/>
  <c r="AY7" i="8"/>
  <c r="AU72" i="13" l="1"/>
  <c r="AU95" i="26" l="1"/>
  <c r="AU102" i="26" l="1"/>
  <c r="AU103" i="26" s="1"/>
  <c r="AU104" i="26" s="1"/>
  <c r="AV106" i="26" s="1"/>
  <c r="AV114" i="26" s="1"/>
  <c r="AV116" i="26" s="1"/>
  <c r="AV99" i="26" s="1"/>
  <c r="AU78" i="26"/>
  <c r="AU81" i="26" l="1"/>
  <c r="AU82" i="26" s="1"/>
  <c r="AU83" i="26" s="1"/>
  <c r="AV85" i="26" s="1"/>
  <c r="AV93" i="26" s="1"/>
  <c r="AV95" i="26" l="1"/>
  <c r="AV78" i="26" l="1"/>
  <c r="AV81" i="26" s="1"/>
  <c r="AV82" i="26" s="1"/>
  <c r="AV83" i="26" s="1"/>
  <c r="AW85" i="26" s="1"/>
  <c r="AW93" i="26" s="1"/>
  <c r="AV102" i="26"/>
  <c r="AV103" i="26" s="1"/>
  <c r="AV104" i="26" s="1"/>
  <c r="AW106" i="26" s="1"/>
  <c r="AW114" i="26" s="1"/>
  <c r="AY637" i="27" l="1"/>
  <c r="AY652" i="27" s="1"/>
  <c r="AY23" i="2" s="1"/>
  <c r="AY54" i="2" s="1"/>
  <c r="AY29" i="4" l="1"/>
  <c r="AY77" i="2"/>
  <c r="AY17" i="4" s="1"/>
  <c r="AW634" i="27"/>
  <c r="AW649" i="27" s="1"/>
  <c r="AW20" i="2" s="1"/>
  <c r="AW51" i="2" s="1"/>
  <c r="AW74" i="2" l="1"/>
  <c r="AW14" i="4" s="1"/>
  <c r="AW26" i="4"/>
  <c r="AV634" i="27"/>
  <c r="AV649" i="27" s="1"/>
  <c r="AV20" i="2" s="1"/>
  <c r="AV51" i="2" s="1"/>
  <c r="AV637" i="27"/>
  <c r="AV652" i="27" s="1"/>
  <c r="AV23" i="2" s="1"/>
  <c r="AV54" i="2" s="1"/>
  <c r="AW636" i="27"/>
  <c r="AW651" i="27" s="1"/>
  <c r="AW22" i="2" s="1"/>
  <c r="AW53" i="2" s="1"/>
  <c r="AX634" i="27"/>
  <c r="AX649" i="27" s="1"/>
  <c r="AX20" i="2" s="1"/>
  <c r="AX51" i="2" s="1"/>
  <c r="AX635" i="27"/>
  <c r="AX650" i="27" s="1"/>
  <c r="AX21" i="2" s="1"/>
  <c r="AX52" i="2" s="1"/>
  <c r="AX637" i="27"/>
  <c r="AX652" i="27" s="1"/>
  <c r="AX23" i="2" s="1"/>
  <c r="AX54" i="2" s="1"/>
  <c r="AW631" i="27"/>
  <c r="AW644" i="27" s="1"/>
  <c r="AW16" i="2" s="1"/>
  <c r="AW46" i="2" s="1"/>
  <c r="AX636" i="27"/>
  <c r="AX651" i="27" s="1"/>
  <c r="AX22" i="2" s="1"/>
  <c r="AX53" i="2" s="1"/>
  <c r="AX631" i="27"/>
  <c r="AX644" i="27" s="1"/>
  <c r="AX16" i="2" s="1"/>
  <c r="AX46" i="2" s="1"/>
  <c r="AX22" i="4" s="1"/>
  <c r="AY629" i="27"/>
  <c r="AY642" i="27" s="1"/>
  <c r="AY14" i="2" s="1"/>
  <c r="AY44" i="2" s="1"/>
  <c r="AV629" i="27"/>
  <c r="AV642" i="27" s="1"/>
  <c r="AV14" i="2" s="1"/>
  <c r="AV44" i="2" s="1"/>
  <c r="AX630" i="27"/>
  <c r="AX643" i="27" s="1"/>
  <c r="AX15" i="2" s="1"/>
  <c r="AX45" i="2" s="1"/>
  <c r="AV631" i="27"/>
  <c r="AV644" i="27" s="1"/>
  <c r="AV16" i="2" s="1"/>
  <c r="AV46" i="2" s="1"/>
  <c r="AW635" i="27"/>
  <c r="AW650" i="27" s="1"/>
  <c r="AW21" i="2" s="1"/>
  <c r="AW52" i="2" s="1"/>
  <c r="AW637" i="27"/>
  <c r="AW652" i="27" s="1"/>
  <c r="AW23" i="2" s="1"/>
  <c r="AW54" i="2" s="1"/>
  <c r="AY635" i="27"/>
  <c r="AY650" i="27" s="1"/>
  <c r="AY21" i="2" s="1"/>
  <c r="AY52" i="2" s="1"/>
  <c r="AY27" i="4" s="1"/>
  <c r="AY630" i="27"/>
  <c r="AY643" i="27" s="1"/>
  <c r="AY15" i="2" s="1"/>
  <c r="AY45" i="2" s="1"/>
  <c r="AY634" i="27"/>
  <c r="AY649" i="27" s="1"/>
  <c r="AY20" i="2" s="1"/>
  <c r="AY51" i="2" s="1"/>
  <c r="AV636" i="27"/>
  <c r="AV651" i="27" s="1"/>
  <c r="AV22" i="2" s="1"/>
  <c r="AV53" i="2" s="1"/>
  <c r="AV630" i="27"/>
  <c r="AV643" i="27" s="1"/>
  <c r="AV15" i="2" s="1"/>
  <c r="AV45" i="2" s="1"/>
  <c r="AW629" i="27"/>
  <c r="AW642" i="27" s="1"/>
  <c r="AW14" i="2" s="1"/>
  <c r="AW44" i="2" s="1"/>
  <c r="AW630" i="27"/>
  <c r="AW643" i="27" s="1"/>
  <c r="AW15" i="2" s="1"/>
  <c r="AW45" i="2" s="1"/>
  <c r="AY636" i="27"/>
  <c r="AY651" i="27" s="1"/>
  <c r="AY22" i="2" s="1"/>
  <c r="AY53" i="2" s="1"/>
  <c r="AX629" i="27"/>
  <c r="AX642" i="27" s="1"/>
  <c r="AX14" i="2" s="1"/>
  <c r="AX44" i="2" s="1"/>
  <c r="AV635" i="27"/>
  <c r="AV650" i="27" s="1"/>
  <c r="AV21" i="2" s="1"/>
  <c r="AV52" i="2" s="1"/>
  <c r="AV75" i="2" s="1"/>
  <c r="AV15" i="4" s="1"/>
  <c r="AY631" i="27"/>
  <c r="AY644" i="27" s="1"/>
  <c r="AY16" i="2" s="1"/>
  <c r="AY46" i="2" s="1"/>
  <c r="AU634" i="27"/>
  <c r="AU649" i="27" s="1"/>
  <c r="AU20" i="2" s="1"/>
  <c r="D20" i="2" a="1"/>
  <c r="AW59" i="2" l="1"/>
  <c r="AW21" i="4"/>
  <c r="D20" i="2"/>
  <c r="AW28" i="4"/>
  <c r="AW76" i="2"/>
  <c r="AW16" i="4" s="1"/>
  <c r="AV59" i="2"/>
  <c r="AV21" i="4"/>
  <c r="AV68" i="2"/>
  <c r="AY69" i="2"/>
  <c r="AY60" i="2"/>
  <c r="AY22" i="4"/>
  <c r="AX20" i="4"/>
  <c r="AX58" i="2"/>
  <c r="AX67" i="2"/>
  <c r="AY68" i="2"/>
  <c r="AY59" i="2"/>
  <c r="AY21" i="4"/>
  <c r="AV76" i="2"/>
  <c r="AV16" i="4" s="1"/>
  <c r="AV28" i="4"/>
  <c r="AW77" i="2"/>
  <c r="AW17" i="4" s="1"/>
  <c r="AW29" i="4"/>
  <c r="AX21" i="4"/>
  <c r="AX68" i="2"/>
  <c r="AX59" i="2"/>
  <c r="AX77" i="2"/>
  <c r="AX17" i="4" s="1"/>
  <c r="AX29" i="4"/>
  <c r="AV77" i="2"/>
  <c r="AV17" i="4" s="1"/>
  <c r="AV29" i="4"/>
  <c r="AV67" i="2"/>
  <c r="AV58" i="2"/>
  <c r="AV20" i="4"/>
  <c r="AX28" i="4"/>
  <c r="AX76" i="2"/>
  <c r="AX16" i="4" s="1"/>
  <c r="AV74" i="2"/>
  <c r="AV14" i="4" s="1"/>
  <c r="AV26" i="4"/>
  <c r="AU51" i="2"/>
  <c r="AY26" i="4"/>
  <c r="AY74" i="2"/>
  <c r="AY14" i="4" s="1"/>
  <c r="AW67" i="2"/>
  <c r="AW20" i="4"/>
  <c r="AW58" i="2"/>
  <c r="AY76" i="2"/>
  <c r="AY16" i="4" s="1"/>
  <c r="AY28" i="4"/>
  <c r="AW27" i="4"/>
  <c r="AW75" i="2"/>
  <c r="AW15" i="4" s="1"/>
  <c r="AX27" i="4"/>
  <c r="AX75" i="2"/>
  <c r="AX15" i="4" s="1"/>
  <c r="AY67" i="2"/>
  <c r="AY58" i="2"/>
  <c r="AY20" i="4"/>
  <c r="AV22" i="4"/>
  <c r="AV60" i="2"/>
  <c r="AV69" i="2"/>
  <c r="AW69" i="2"/>
  <c r="AW22" i="4"/>
  <c r="AW60" i="2"/>
  <c r="AX26" i="4"/>
  <c r="AX74" i="2"/>
  <c r="AX14" i="4" s="1"/>
  <c r="AX60" i="2"/>
  <c r="AV27" i="4"/>
  <c r="AY75" i="2"/>
  <c r="AY15" i="4" s="1"/>
  <c r="AX69" i="2"/>
  <c r="AW68" i="2"/>
  <c r="AY8" i="4" l="1"/>
  <c r="AY81" i="2"/>
  <c r="AY8" i="9" s="1"/>
  <c r="AY83" i="2"/>
  <c r="AY10" i="9" s="1"/>
  <c r="AY10" i="4"/>
  <c r="AW81" i="2"/>
  <c r="AW8" i="9" s="1"/>
  <c r="AW8" i="4"/>
  <c r="AX82" i="2"/>
  <c r="AX9" i="9" s="1"/>
  <c r="AX9" i="4"/>
  <c r="AY82" i="2"/>
  <c r="AY9" i="9" s="1"/>
  <c r="AY9" i="4"/>
  <c r="AW82" i="2"/>
  <c r="AW9" i="9" s="1"/>
  <c r="AW9" i="4"/>
  <c r="AX8" i="4"/>
  <c r="AX81" i="2"/>
  <c r="AX8" i="9" s="1"/>
  <c r="AW83" i="2"/>
  <c r="AW10" i="9" s="1"/>
  <c r="AW10" i="4"/>
  <c r="AV10" i="4"/>
  <c r="AV83" i="2"/>
  <c r="AV10" i="9" s="1"/>
  <c r="AV8" i="4"/>
  <c r="AV81" i="2"/>
  <c r="AV8" i="9" s="1"/>
  <c r="AV82" i="2"/>
  <c r="AV9" i="9" s="1"/>
  <c r="AV9" i="4"/>
  <c r="AX10" i="4"/>
  <c r="AX83" i="2"/>
  <c r="AX10" i="9" s="1"/>
  <c r="AU26" i="4"/>
  <c r="AU74" i="2"/>
  <c r="AU14" i="4" s="1"/>
  <c r="D26" i="4" a="1"/>
  <c r="D14" i="4" a="1"/>
  <c r="D14" i="4" l="1"/>
  <c r="D26" i="4"/>
  <c r="AU635" i="27"/>
  <c r="AU650" i="27" s="1"/>
  <c r="AU21" i="2" s="1"/>
  <c r="D21" i="2" a="1"/>
  <c r="D21" i="2" l="1"/>
  <c r="AU52" i="2"/>
  <c r="AU630" i="27"/>
  <c r="AU643" i="27" s="1"/>
  <c r="AU15" i="2" s="1"/>
  <c r="D15" i="2" a="1"/>
  <c r="D15" i="2" l="1"/>
  <c r="AU45" i="2"/>
  <c r="AU27" i="4"/>
  <c r="AU75" i="2"/>
  <c r="AU15" i="4" s="1"/>
  <c r="D27" i="4" a="1"/>
  <c r="D15" i="4" a="1"/>
  <c r="D15" i="4" l="1"/>
  <c r="D27" i="4"/>
  <c r="AU21" i="4"/>
  <c r="AU59" i="2"/>
  <c r="AU68" i="2"/>
  <c r="D21" i="4" a="1"/>
  <c r="D21" i="4" l="1"/>
  <c r="AU9" i="4"/>
  <c r="AU82" i="2"/>
  <c r="AU9" i="9" s="1"/>
  <c r="AU637" i="27"/>
  <c r="AU652" i="27" s="1"/>
  <c r="AU23" i="2" s="1"/>
  <c r="D23" i="2" a="1"/>
  <c r="D9" i="9" a="1"/>
  <c r="D9" i="4" a="1"/>
  <c r="D23" i="2" l="1"/>
  <c r="D9" i="9"/>
  <c r="D9" i="4"/>
  <c r="AU54" i="2"/>
  <c r="AU631" i="27"/>
  <c r="AU644" i="27" s="1"/>
  <c r="AU16" i="2" s="1"/>
  <c r="D16" i="2" a="1"/>
  <c r="D16" i="2" l="1"/>
  <c r="AU46" i="2"/>
  <c r="AU29" i="4"/>
  <c r="AU77" i="2"/>
  <c r="AU17" i="4" s="1"/>
  <c r="AU629" i="27"/>
  <c r="AU642" i="27" s="1"/>
  <c r="AU14" i="2" s="1"/>
  <c r="D14" i="2" a="1"/>
  <c r="D17" i="4" a="1"/>
  <c r="D29" i="4" a="1"/>
  <c r="D14" i="2" l="1"/>
  <c r="D17" i="4"/>
  <c r="D29" i="4"/>
  <c r="AU44" i="2"/>
  <c r="AU22" i="4"/>
  <c r="AU69" i="2"/>
  <c r="AU636" i="27"/>
  <c r="AU651" i="27" s="1"/>
  <c r="AU22" i="2" s="1"/>
  <c r="D22" i="2" a="1"/>
  <c r="D22" i="4" a="1"/>
  <c r="D22" i="2" l="1"/>
  <c r="D22" i="4"/>
  <c r="AU53" i="2"/>
  <c r="AU20" i="4"/>
  <c r="AU58" i="2"/>
  <c r="AU67" i="2"/>
  <c r="AU10" i="4"/>
  <c r="D20" i="4" a="1"/>
  <c r="D10" i="4" a="1"/>
  <c r="D10" i="4" l="1"/>
  <c r="D20" i="4"/>
  <c r="AU8" i="4"/>
  <c r="AU81" i="2"/>
  <c r="AU8" i="9" s="1"/>
  <c r="AU28" i="4"/>
  <c r="AU76" i="2"/>
  <c r="AU60" i="2"/>
  <c r="AX632" i="27"/>
  <c r="AX645" i="27" s="1"/>
  <c r="AX17" i="2" s="1"/>
  <c r="AX47" i="2" s="1"/>
  <c r="D8" i="9" a="1"/>
  <c r="D8" i="4" a="1"/>
  <c r="D28" i="4" a="1"/>
  <c r="D28" i="4" l="1"/>
  <c r="D8" i="9"/>
  <c r="D8" i="4"/>
  <c r="AX23" i="4"/>
  <c r="AX61" i="2"/>
  <c r="AX70" i="2"/>
  <c r="AU16" i="4"/>
  <c r="AU83" i="2"/>
  <c r="AU10" i="9" s="1"/>
  <c r="D10" i="9" a="1"/>
  <c r="D16" i="4" a="1"/>
  <c r="D10" i="9" l="1"/>
  <c r="D16" i="4"/>
  <c r="AX84" i="2"/>
  <c r="AX11" i="9" s="1"/>
  <c r="AX11" i="4"/>
  <c r="AX39" i="4" s="1"/>
  <c r="AY632" i="27"/>
  <c r="AY645" i="27" s="1"/>
  <c r="AY17" i="2" s="1"/>
  <c r="AY47" i="2" s="1"/>
  <c r="AY23" i="4" l="1"/>
  <c r="AY70" i="2"/>
  <c r="AY61" i="2"/>
  <c r="AX11" i="39"/>
  <c r="AX44" i="4"/>
  <c r="AX49" i="4" s="1"/>
  <c r="AY84" i="2" l="1"/>
  <c r="AY11" i="9" s="1"/>
  <c r="AY11" i="4"/>
  <c r="AY39" i="4" s="1"/>
  <c r="AX62" i="4"/>
  <c r="AX61" i="4"/>
  <c r="AY11" i="39" l="1"/>
  <c r="AY44" i="4"/>
  <c r="AY49" i="4" s="1"/>
  <c r="AY62" i="4" l="1"/>
  <c r="AY61" i="4"/>
  <c r="AU632" i="27"/>
  <c r="AU645" i="27" s="1"/>
  <c r="AU17" i="2" s="1"/>
  <c r="AY633" i="27"/>
  <c r="AY648" i="27" s="1"/>
  <c r="AY19" i="2" s="1"/>
  <c r="AY50" i="2" s="1"/>
  <c r="AV633" i="27"/>
  <c r="AV648" i="27" s="1"/>
  <c r="AV19" i="2" s="1"/>
  <c r="AV50" i="2" s="1"/>
  <c r="D17" i="2" a="1"/>
  <c r="D17" i="2" l="1"/>
  <c r="AY73" i="2"/>
  <c r="AY13" i="4" s="1"/>
  <c r="AY25" i="4"/>
  <c r="AV73" i="2"/>
  <c r="AV13" i="4" s="1"/>
  <c r="AV25" i="4"/>
  <c r="AU47" i="2"/>
  <c r="AV38" i="4" l="1"/>
  <c r="AV43" i="4" s="1"/>
  <c r="AV48" i="4" s="1"/>
  <c r="AU70" i="2"/>
  <c r="AU61" i="2"/>
  <c r="AU23" i="4"/>
  <c r="AY38" i="4"/>
  <c r="AX633" i="27"/>
  <c r="AX648" i="27" s="1"/>
  <c r="AX19" i="2" s="1"/>
  <c r="AX50" i="2" s="1"/>
  <c r="AW633" i="27"/>
  <c r="AW648" i="27" s="1"/>
  <c r="AW19" i="2" s="1"/>
  <c r="AW50" i="2" s="1"/>
  <c r="AU633" i="27"/>
  <c r="AU648" i="27" s="1"/>
  <c r="AU19" i="2" s="1"/>
  <c r="AV632" i="27"/>
  <c r="AV645" i="27" s="1"/>
  <c r="AV17" i="2" s="1"/>
  <c r="AV47" i="2" s="1"/>
  <c r="AW632" i="27"/>
  <c r="AW645" i="27" s="1"/>
  <c r="AW17" i="2" s="1"/>
  <c r="AW47" i="2" s="1"/>
  <c r="D19" i="2" a="1"/>
  <c r="D23" i="4" a="1"/>
  <c r="AV10" i="39" l="1"/>
  <c r="D19" i="2"/>
  <c r="D23" i="4"/>
  <c r="AU50" i="2"/>
  <c r="AW73" i="2"/>
  <c r="AW13" i="4" s="1"/>
  <c r="AW25" i="4"/>
  <c r="AV70" i="2"/>
  <c r="AV23" i="4"/>
  <c r="AV61" i="2"/>
  <c r="AW70" i="2"/>
  <c r="AW23" i="4"/>
  <c r="AW61" i="2"/>
  <c r="AX73" i="2"/>
  <c r="AX13" i="4" s="1"/>
  <c r="AX25" i="4"/>
  <c r="AY43" i="4"/>
  <c r="AY48" i="4" s="1"/>
  <c r="AY10" i="39"/>
  <c r="AV57" i="4"/>
  <c r="AV58" i="4"/>
  <c r="AU84" i="2"/>
  <c r="AU11" i="9" s="1"/>
  <c r="AU11" i="4"/>
  <c r="D11" i="4" a="1"/>
  <c r="D11" i="9" a="1"/>
  <c r="AW38" i="4" l="1"/>
  <c r="AW43" i="4" s="1"/>
  <c r="AW48" i="4" s="1"/>
  <c r="AX38" i="4"/>
  <c r="AX43" i="4" s="1"/>
  <c r="AX48" i="4" s="1"/>
  <c r="D11" i="4"/>
  <c r="D11" i="9"/>
  <c r="AY58" i="4"/>
  <c r="AY57" i="4"/>
  <c r="AV84" i="2"/>
  <c r="AV11" i="9" s="1"/>
  <c r="AV11" i="4"/>
  <c r="AV39" i="4" s="1"/>
  <c r="AU39" i="4"/>
  <c r="AU73" i="2"/>
  <c r="AU13" i="4" s="1"/>
  <c r="AU25" i="4"/>
  <c r="AW84" i="2"/>
  <c r="AW11" i="9" s="1"/>
  <c r="AW11" i="4"/>
  <c r="AW39" i="4" s="1"/>
  <c r="D13" i="4" a="1"/>
  <c r="D25" i="4" a="1"/>
  <c r="AW10" i="39" l="1"/>
  <c r="AX10" i="39"/>
  <c r="D25" i="4"/>
  <c r="D13" i="4"/>
  <c r="AW57" i="4"/>
  <c r="AW58" i="4"/>
  <c r="AX57" i="4"/>
  <c r="AX58" i="4"/>
  <c r="AV11" i="39"/>
  <c r="AV44" i="4"/>
  <c r="AV49" i="4" s="1"/>
  <c r="AU38" i="4"/>
  <c r="AW11" i="39"/>
  <c r="AW44" i="4"/>
  <c r="AW49" i="4" s="1"/>
  <c r="AU11" i="39"/>
  <c r="AU44" i="4"/>
  <c r="AU49" i="4" s="1"/>
  <c r="D11" i="39" a="1"/>
  <c r="D11" i="39" l="1"/>
  <c r="AU62" i="4"/>
  <c r="AU61" i="4"/>
  <c r="AW62" i="4"/>
  <c r="AW61" i="4"/>
  <c r="AU43" i="4"/>
  <c r="AU48" i="4" s="1"/>
  <c r="AU10" i="39"/>
  <c r="AV62" i="4"/>
  <c r="AV61" i="4"/>
  <c r="D10" i="39" a="1"/>
  <c r="D10" i="39" l="1"/>
  <c r="AU57" i="4"/>
  <c r="AU58" i="4"/>
  <c r="AW628" i="27"/>
  <c r="AW641" i="27" s="1"/>
  <c r="AX628" i="27"/>
  <c r="AX641" i="27" s="1"/>
  <c r="AX87" i="40" s="1"/>
  <c r="AV628" i="27"/>
  <c r="AV641" i="27" s="1"/>
  <c r="AV87" i="40" s="1"/>
  <c r="AY628" i="27"/>
  <c r="AU628" i="27"/>
  <c r="AU641" i="27" s="1"/>
  <c r="AU87" i="40" l="1"/>
  <c r="AU13" i="2"/>
  <c r="AW87" i="40"/>
  <c r="AW13" i="2"/>
  <c r="AX55" i="40"/>
  <c r="AX39" i="40" a="1"/>
  <c r="AX39" i="40" s="1"/>
  <c r="AV13" i="2"/>
  <c r="AX13" i="2"/>
  <c r="AV39" i="40" a="1"/>
  <c r="AV39" i="40" s="1"/>
  <c r="AV55" i="40"/>
  <c r="AU39" i="40" a="1"/>
  <c r="AU39" i="40" s="1"/>
  <c r="AU55" i="40"/>
  <c r="AY641" i="27"/>
  <c r="AW39" i="40" a="1"/>
  <c r="AW39" i="40" s="1"/>
  <c r="AW55" i="40"/>
  <c r="D13" i="2" a="1"/>
  <c r="D13" i="2" l="1"/>
  <c r="AX43" i="2"/>
  <c r="AY87" i="40"/>
  <c r="AY13" i="2"/>
  <c r="AY55" i="40"/>
  <c r="AW43" i="2"/>
  <c r="AY39" i="40" a="1"/>
  <c r="AY39" i="40" s="1"/>
  <c r="AV43" i="2"/>
  <c r="AU43" i="2"/>
  <c r="AY43" i="2" l="1"/>
  <c r="AU57" i="2"/>
  <c r="AU62" i="2" s="1"/>
  <c r="AU85" i="40" s="1"/>
  <c r="AU90" i="40" s="1"/>
  <c r="AU66" i="2"/>
  <c r="AU19" i="4"/>
  <c r="AX57" i="2"/>
  <c r="AX62" i="2" s="1"/>
  <c r="AX85" i="40" s="1"/>
  <c r="AX90" i="40" s="1"/>
  <c r="AX66" i="2"/>
  <c r="AX19" i="4"/>
  <c r="AV57" i="2"/>
  <c r="AV62" i="2" s="1"/>
  <c r="AV85" i="40" s="1"/>
  <c r="AV90" i="40" s="1"/>
  <c r="AV66" i="2"/>
  <c r="AV19" i="4"/>
  <c r="AW57" i="2"/>
  <c r="AW66" i="2"/>
  <c r="AW19" i="4"/>
  <c r="D19" i="4" a="1"/>
  <c r="D19" i="4" l="1"/>
  <c r="AV80" i="2"/>
  <c r="AV7" i="4"/>
  <c r="AU80" i="2"/>
  <c r="AU7" i="4"/>
  <c r="AY57" i="2"/>
  <c r="AY66" i="2"/>
  <c r="AY19" i="4"/>
  <c r="AW80" i="2"/>
  <c r="AW7" i="4"/>
  <c r="AW62" i="2"/>
  <c r="AW85" i="40" s="1"/>
  <c r="AW90" i="40" s="1"/>
  <c r="AX80" i="2"/>
  <c r="AX7" i="4"/>
  <c r="D7" i="4" a="1"/>
  <c r="D7" i="4" l="1"/>
  <c r="AU37" i="4"/>
  <c r="AU85" i="2"/>
  <c r="AU57" i="40" s="1"/>
  <c r="AU7" i="9"/>
  <c r="AV37" i="4"/>
  <c r="AX37" i="4"/>
  <c r="AV7" i="9"/>
  <c r="AV85" i="2"/>
  <c r="AV41" i="40" s="1" a="1"/>
  <c r="AV41" i="40" s="1"/>
  <c r="AW37" i="4"/>
  <c r="AW85" i="2"/>
  <c r="AW41" i="40" s="1" a="1"/>
  <c r="AW41" i="40" s="1"/>
  <c r="AW7" i="9"/>
  <c r="AY80" i="2"/>
  <c r="AY7" i="4"/>
  <c r="AY62" i="2"/>
  <c r="AX7" i="9"/>
  <c r="AX85" i="2"/>
  <c r="AX41" i="40" s="1" a="1"/>
  <c r="AX41" i="40" s="1"/>
  <c r="D7" i="9" a="1"/>
  <c r="AU41" i="40" l="1" a="1"/>
  <c r="AU41" i="40" s="1"/>
  <c r="D7" i="9"/>
  <c r="AY7" i="9"/>
  <c r="AY85" i="2"/>
  <c r="AY41" i="40" s="1" a="1"/>
  <c r="AY41" i="40" s="1"/>
  <c r="AW41" i="9"/>
  <c r="AU41" i="9"/>
  <c r="AV41" i="9"/>
  <c r="AU9" i="13"/>
  <c r="AU81" i="40"/>
  <c r="AU89" i="40" s="1"/>
  <c r="AW81" i="40"/>
  <c r="AW89" i="40" s="1"/>
  <c r="AW9" i="13"/>
  <c r="AW41" i="13" s="1"/>
  <c r="AW57" i="40"/>
  <c r="AU42" i="4"/>
  <c r="AU47" i="4" s="1"/>
  <c r="AU9" i="39"/>
  <c r="AY37" i="4"/>
  <c r="AX42" i="4"/>
  <c r="AX9" i="39"/>
  <c r="AX24" i="39" s="1"/>
  <c r="AX26" i="39" s="1"/>
  <c r="AX56" i="39" s="1"/>
  <c r="AX41" i="9"/>
  <c r="AX81" i="40"/>
  <c r="AX89" i="40" s="1"/>
  <c r="AX9" i="13"/>
  <c r="AX41" i="13" s="1"/>
  <c r="AX57" i="40"/>
  <c r="AV42" i="4"/>
  <c r="AV47" i="4" s="1"/>
  <c r="AV9" i="39"/>
  <c r="AV24" i="39" s="1"/>
  <c r="AV26" i="39" s="1"/>
  <c r="AV56" i="39" s="1"/>
  <c r="AW9" i="39"/>
  <c r="AW24" i="39" s="1"/>
  <c r="AW26" i="39" s="1"/>
  <c r="AW56" i="39" s="1"/>
  <c r="AW42" i="4"/>
  <c r="AY85" i="40"/>
  <c r="AY90" i="40" s="1"/>
  <c r="I24" i="40" s="1"/>
  <c r="AV81" i="40"/>
  <c r="AV89" i="40" s="1"/>
  <c r="AV9" i="13"/>
  <c r="AV41" i="13" s="1"/>
  <c r="AV57" i="40"/>
  <c r="D9" i="13" a="1"/>
  <c r="D9" i="39" a="1"/>
  <c r="AY57" i="40" l="1"/>
  <c r="D9" i="13"/>
  <c r="D9" i="39"/>
  <c r="AX47" i="4"/>
  <c r="AY9" i="39"/>
  <c r="AY24" i="39" s="1"/>
  <c r="AY26" i="39" s="1"/>
  <c r="AY56" i="39" s="1"/>
  <c r="AY42" i="4"/>
  <c r="AY47" i="4" s="1"/>
  <c r="AU41" i="13"/>
  <c r="AV46" i="9"/>
  <c r="AV73" i="9" s="1"/>
  <c r="AV74" i="9" s="1"/>
  <c r="AV82" i="9" s="1"/>
  <c r="AV48" i="9"/>
  <c r="AV96" i="9" s="1"/>
  <c r="AV45" i="9"/>
  <c r="AV56" i="9" s="1"/>
  <c r="AV57" i="9" s="1"/>
  <c r="AV65" i="9" s="1"/>
  <c r="AV47" i="9"/>
  <c r="AV89" i="9" s="1"/>
  <c r="AV49" i="9"/>
  <c r="AV50" i="9"/>
  <c r="AV13" i="11" s="1"/>
  <c r="AV36" i="11" s="1"/>
  <c r="AW46" i="9"/>
  <c r="AW73" i="9" s="1"/>
  <c r="AW74" i="9" s="1"/>
  <c r="AW82" i="9" s="1"/>
  <c r="AW47" i="9"/>
  <c r="AW89" i="9" s="1"/>
  <c r="AW50" i="9"/>
  <c r="AW13" i="11" s="1"/>
  <c r="AW36" i="11" s="1"/>
  <c r="AW49" i="9"/>
  <c r="AW48" i="9"/>
  <c r="AW96" i="9" s="1"/>
  <c r="AW45" i="9"/>
  <c r="AV54" i="4"/>
  <c r="AV66" i="4" s="1"/>
  <c r="AV53" i="4"/>
  <c r="AU24" i="39"/>
  <c r="AU26" i="39" s="1"/>
  <c r="AY81" i="40"/>
  <c r="AY89" i="40" s="1"/>
  <c r="I23" i="40" s="1"/>
  <c r="AY9" i="13"/>
  <c r="AY41" i="13" s="1"/>
  <c r="AW47" i="4"/>
  <c r="AU54" i="4"/>
  <c r="AU66" i="4" s="1"/>
  <c r="AU53" i="4"/>
  <c r="AY41" i="9"/>
  <c r="AX48" i="9"/>
  <c r="AX96" i="9" s="1"/>
  <c r="AX46" i="9"/>
  <c r="AX73" i="9" s="1"/>
  <c r="AX74" i="9" s="1"/>
  <c r="AX82" i="9" s="1"/>
  <c r="AX49" i="9"/>
  <c r="AX45" i="9"/>
  <c r="AX50" i="9"/>
  <c r="AX13" i="11" s="1"/>
  <c r="AX36" i="11" s="1"/>
  <c r="AX47" i="9"/>
  <c r="AX89" i="9" s="1"/>
  <c r="AU49" i="9"/>
  <c r="AU50" i="9"/>
  <c r="AU13" i="11" s="1"/>
  <c r="AU36" i="11" s="1"/>
  <c r="AU48" i="9"/>
  <c r="AU96" i="9" s="1"/>
  <c r="AU46" i="9"/>
  <c r="AU73" i="9" s="1"/>
  <c r="AU47" i="9"/>
  <c r="AU89" i="9" s="1"/>
  <c r="AU45" i="9"/>
  <c r="D13" i="11" a="1"/>
  <c r="D13" i="11" l="1"/>
  <c r="AW56" i="9"/>
  <c r="AW57" i="9" s="1"/>
  <c r="AW65" i="9" s="1"/>
  <c r="AY50" i="9"/>
  <c r="AY13" i="11" s="1"/>
  <c r="AY36" i="11" s="1"/>
  <c r="AY46" i="9"/>
  <c r="AY73" i="9" s="1"/>
  <c r="AY74" i="9" s="1"/>
  <c r="AY82" i="9" s="1"/>
  <c r="AY47" i="9"/>
  <c r="AY89" i="9" s="1"/>
  <c r="AY49" i="9"/>
  <c r="AY48" i="9"/>
  <c r="AY96" i="9" s="1"/>
  <c r="AY45" i="9"/>
  <c r="AY56" i="9" s="1"/>
  <c r="AY57" i="9" s="1"/>
  <c r="AY65" i="9" s="1"/>
  <c r="AW54" i="4"/>
  <c r="AW66" i="4" s="1"/>
  <c r="AW53" i="4"/>
  <c r="AW65" i="4" s="1"/>
  <c r="AW8" i="12" s="1"/>
  <c r="AY54" i="4"/>
  <c r="AY66" i="4" s="1"/>
  <c r="AY53" i="4"/>
  <c r="AY65" i="4" s="1"/>
  <c r="AY8" i="12" s="1"/>
  <c r="AX98" i="9"/>
  <c r="AX105" i="9" s="1"/>
  <c r="AW98" i="9"/>
  <c r="AW105" i="9" s="1"/>
  <c r="AV98" i="9"/>
  <c r="AV105" i="9" s="1"/>
  <c r="AY98" i="9"/>
  <c r="AY105" i="9" s="1"/>
  <c r="AU97" i="9"/>
  <c r="AU99" i="9" s="1"/>
  <c r="AV95" i="9" s="1"/>
  <c r="AV97" i="9" s="1"/>
  <c r="AX54" i="4"/>
  <c r="AX66" i="4" s="1"/>
  <c r="AX53" i="4"/>
  <c r="AU56" i="39"/>
  <c r="AU56" i="9"/>
  <c r="AU65" i="4"/>
  <c r="AU8" i="12" s="1"/>
  <c r="AU14" i="8"/>
  <c r="AU11" i="25"/>
  <c r="AV65" i="4"/>
  <c r="AV42" i="40" s="1" a="1"/>
  <c r="AV42" i="40" s="1"/>
  <c r="AX56" i="9"/>
  <c r="AX57" i="9" s="1"/>
  <c r="AX65" i="9" s="1"/>
  <c r="AV91" i="9"/>
  <c r="AV104" i="9" s="1"/>
  <c r="AW91" i="9"/>
  <c r="AW104" i="9" s="1"/>
  <c r="AU90" i="9"/>
  <c r="AU92" i="9" s="1"/>
  <c r="AV88" i="9" s="1"/>
  <c r="AV90" i="9" s="1"/>
  <c r="AY91" i="9"/>
  <c r="AY104" i="9" s="1"/>
  <c r="AX91" i="9"/>
  <c r="AX104" i="9" s="1"/>
  <c r="AU74" i="9"/>
  <c r="AU82" i="9" s="1"/>
  <c r="AU83" i="9" s="1"/>
  <c r="AV14" i="8"/>
  <c r="AV35" i="8" s="1"/>
  <c r="AV27" i="8" s="1"/>
  <c r="AV11" i="25"/>
  <c r="D11" i="25" a="1"/>
  <c r="D14" i="8" a="1"/>
  <c r="AW58" i="40" l="1"/>
  <c r="AY42" i="40" a="1"/>
  <c r="AY42" i="40" s="1"/>
  <c r="AU76" i="9"/>
  <c r="AU77" i="9" s="1"/>
  <c r="AU78" i="9" s="1"/>
  <c r="AV71" i="9" s="1"/>
  <c r="AV99" i="9"/>
  <c r="AW95" i="9" s="1"/>
  <c r="AW97" i="9" s="1"/>
  <c r="AW99" i="9" s="1"/>
  <c r="AX95" i="9" s="1"/>
  <c r="AX97" i="9" s="1"/>
  <c r="AX99" i="9" s="1"/>
  <c r="AY95" i="9" s="1"/>
  <c r="AY97" i="9" s="1"/>
  <c r="AY99" i="9" s="1"/>
  <c r="D11" i="25"/>
  <c r="D14" i="8"/>
  <c r="AX65" i="4"/>
  <c r="AX8" i="12" s="1"/>
  <c r="AX14" i="8"/>
  <c r="AX35" i="8" s="1"/>
  <c r="AX27" i="8" s="1"/>
  <c r="AX11" i="25"/>
  <c r="AU57" i="9"/>
  <c r="AU59" i="9" s="1"/>
  <c r="AY58" i="40"/>
  <c r="AY14" i="8"/>
  <c r="AY35" i="8" s="1"/>
  <c r="AY27" i="8" s="1"/>
  <c r="AY11" i="25"/>
  <c r="AV92" i="9"/>
  <c r="AW88" i="9" s="1"/>
  <c r="AW90" i="9" s="1"/>
  <c r="AW92" i="9" s="1"/>
  <c r="AX88" i="9" s="1"/>
  <c r="AX90" i="9" s="1"/>
  <c r="AX92" i="9" s="1"/>
  <c r="AY88" i="9" s="1"/>
  <c r="AY90" i="9" s="1"/>
  <c r="AY92" i="9" s="1"/>
  <c r="AV8" i="12"/>
  <c r="AV58" i="40"/>
  <c r="AU30" i="25"/>
  <c r="AU31" i="25" s="1"/>
  <c r="AW14" i="8"/>
  <c r="AW35" i="8" s="1"/>
  <c r="AW27" i="8" s="1"/>
  <c r="AW11" i="25"/>
  <c r="AU35" i="8"/>
  <c r="AU42" i="40" a="1"/>
  <c r="AU42" i="40" s="1"/>
  <c r="AW42" i="40" a="1"/>
  <c r="AW42" i="40" s="1"/>
  <c r="AV30" i="25"/>
  <c r="AV31" i="25" s="1"/>
  <c r="AU84" i="9"/>
  <c r="AU85" i="9" s="1"/>
  <c r="AV80" i="9" s="1"/>
  <c r="AU58" i="40"/>
  <c r="AX58" i="40" l="1"/>
  <c r="AX42" i="40" a="1"/>
  <c r="AX42" i="40" s="1"/>
  <c r="AY30" i="25"/>
  <c r="AY31" i="25" s="1"/>
  <c r="AV81" i="9"/>
  <c r="AV75" i="9" s="1"/>
  <c r="AV76" i="9" s="1"/>
  <c r="AU27" i="8"/>
  <c r="AX30" i="25"/>
  <c r="AX31" i="25" s="1"/>
  <c r="AU103" i="9"/>
  <c r="AU60" i="9"/>
  <c r="AU61" i="9" s="1"/>
  <c r="AV54" i="9" s="1"/>
  <c r="AW30" i="25"/>
  <c r="AW31" i="25" s="1"/>
  <c r="AU65" i="9"/>
  <c r="AU66" i="9" s="1"/>
  <c r="AV83" i="9" l="1"/>
  <c r="AV84" i="9" s="1"/>
  <c r="AV85" i="9" s="1"/>
  <c r="AW80" i="9" s="1"/>
  <c r="I177" i="25" a="1"/>
  <c r="AU202" i="25" s="1"/>
  <c r="AV77" i="9"/>
  <c r="AV78" i="9" s="1"/>
  <c r="AW71" i="9" s="1"/>
  <c r="I143" i="25" a="1"/>
  <c r="AU67" i="9"/>
  <c r="AU68" i="9" s="1"/>
  <c r="AV63" i="9" s="1"/>
  <c r="Y182" i="25" l="1"/>
  <c r="AJ198" i="25"/>
  <c r="AI199" i="25"/>
  <c r="Y183" i="25"/>
  <c r="AO203" i="25"/>
  <c r="AD191" i="25"/>
  <c r="AE191" i="25"/>
  <c r="AF186" i="25"/>
  <c r="Y186" i="25"/>
  <c r="AJ197" i="25"/>
  <c r="AQ202" i="25"/>
  <c r="AF201" i="25"/>
  <c r="I177" i="25"/>
  <c r="X177" i="25" s="1"/>
  <c r="Y177" i="25" s="1"/>
  <c r="Z177" i="25" s="1"/>
  <c r="AA205" i="25"/>
  <c r="AF200" i="25"/>
  <c r="AE203" i="25"/>
  <c r="Z196" i="25"/>
  <c r="AE205" i="25"/>
  <c r="AG204" i="25"/>
  <c r="Z187" i="25"/>
  <c r="X198" i="25"/>
  <c r="Y197" i="25"/>
  <c r="AH200" i="25"/>
  <c r="AL193" i="25"/>
  <c r="X184" i="25"/>
  <c r="AO204" i="25"/>
  <c r="Z184" i="25"/>
  <c r="Y204" i="25"/>
  <c r="AO202" i="25"/>
  <c r="AK192" i="25"/>
  <c r="AH198" i="25"/>
  <c r="AA188" i="25"/>
  <c r="Z194" i="25"/>
  <c r="AC193" i="25"/>
  <c r="AG192" i="25"/>
  <c r="AA187" i="25"/>
  <c r="AH188" i="25"/>
  <c r="AF192" i="25"/>
  <c r="AD187" i="25"/>
  <c r="AT203" i="25"/>
  <c r="AC184" i="25"/>
  <c r="AE194" i="25"/>
  <c r="AC205" i="25"/>
  <c r="AG190" i="25"/>
  <c r="AD184" i="25"/>
  <c r="AE199" i="25"/>
  <c r="Y192" i="25"/>
  <c r="X187" i="25"/>
  <c r="AQ200" i="25"/>
  <c r="X182" i="25"/>
  <c r="AB189" i="25"/>
  <c r="AK198" i="25"/>
  <c r="AC183" i="25"/>
  <c r="AA196" i="25"/>
  <c r="AF205" i="25"/>
  <c r="AB198" i="25"/>
  <c r="AD199" i="25"/>
  <c r="AD200" i="25"/>
  <c r="AI200" i="25"/>
  <c r="AK203" i="25"/>
  <c r="AC185" i="25"/>
  <c r="AB182" i="25"/>
  <c r="AN200" i="25"/>
  <c r="Z200" i="25"/>
  <c r="AE188" i="25"/>
  <c r="AI195" i="25"/>
  <c r="AI189" i="25"/>
  <c r="AE198" i="25"/>
  <c r="AJ201" i="25"/>
  <c r="AM199" i="25"/>
  <c r="AS200" i="25"/>
  <c r="AC188" i="25"/>
  <c r="AD198" i="25"/>
  <c r="Y194" i="25"/>
  <c r="X180" i="25"/>
  <c r="AJ193" i="25"/>
  <c r="AG205" i="25"/>
  <c r="Y205" i="25"/>
  <c r="AC200" i="25"/>
  <c r="AG197" i="25"/>
  <c r="AB205" i="25"/>
  <c r="AA183" i="25"/>
  <c r="AL195" i="25"/>
  <c r="AP200" i="25"/>
  <c r="AT201" i="25"/>
  <c r="Z198" i="25"/>
  <c r="AD195" i="25"/>
  <c r="Z188" i="25"/>
  <c r="AF199" i="25"/>
  <c r="AB201" i="25"/>
  <c r="AB188" i="25"/>
  <c r="AA204" i="25"/>
  <c r="AD194" i="25"/>
  <c r="AI197" i="25"/>
  <c r="AD193" i="25"/>
  <c r="AE196" i="25"/>
  <c r="AE189" i="25"/>
  <c r="AI203" i="25"/>
  <c r="AM205" i="25"/>
  <c r="AJ205" i="25"/>
  <c r="AP205" i="25"/>
  <c r="AQ205" i="25"/>
  <c r="AF195" i="25"/>
  <c r="AI191" i="25"/>
  <c r="Y179" i="25"/>
  <c r="AR200" i="25"/>
  <c r="AR199" i="25"/>
  <c r="AX204" i="25"/>
  <c r="AP201" i="25"/>
  <c r="AH189" i="25"/>
  <c r="AL199" i="25"/>
  <c r="AQ197" i="25"/>
  <c r="AN198" i="25"/>
  <c r="AI205" i="25"/>
  <c r="AL194" i="25"/>
  <c r="AN201" i="25"/>
  <c r="AS203" i="25"/>
  <c r="AI194" i="25"/>
  <c r="AF196" i="25"/>
  <c r="X186" i="25"/>
  <c r="AF194" i="25"/>
  <c r="AK204" i="25"/>
  <c r="AB197" i="25"/>
  <c r="AM195" i="25"/>
  <c r="AG201" i="25"/>
  <c r="AG198" i="25"/>
  <c r="AA193" i="25"/>
  <c r="AO196" i="25"/>
  <c r="AH199" i="25"/>
  <c r="Y193" i="25"/>
  <c r="X202" i="25"/>
  <c r="Z195" i="25"/>
  <c r="Z193" i="25"/>
  <c r="X192" i="25"/>
  <c r="Y190" i="25"/>
  <c r="AB183" i="25"/>
  <c r="AA203" i="25"/>
  <c r="AR204" i="25"/>
  <c r="Z203" i="25"/>
  <c r="AG189" i="25"/>
  <c r="AD196" i="25"/>
  <c r="AL198" i="25"/>
  <c r="AL203" i="25"/>
  <c r="AA189" i="25"/>
  <c r="AC197" i="25"/>
  <c r="AM200" i="25"/>
  <c r="AI202" i="25"/>
  <c r="AL202" i="25"/>
  <c r="AB187" i="25"/>
  <c r="AH204" i="25"/>
  <c r="AN197" i="25"/>
  <c r="AA200" i="25"/>
  <c r="X185" i="25"/>
  <c r="Z186" i="25"/>
  <c r="AJ200" i="25"/>
  <c r="AT205" i="25"/>
  <c r="AP199" i="25"/>
  <c r="AL205" i="25"/>
  <c r="AF191" i="25"/>
  <c r="AF204" i="25"/>
  <c r="AQ201" i="25"/>
  <c r="X179" i="25"/>
  <c r="AC186" i="25"/>
  <c r="AE201" i="25"/>
  <c r="AJ191" i="25"/>
  <c r="AP198" i="25"/>
  <c r="Z202" i="25"/>
  <c r="AC187" i="25"/>
  <c r="AR203" i="25"/>
  <c r="X178" i="25"/>
  <c r="Y178" i="25" s="1"/>
  <c r="Z189" i="25"/>
  <c r="AG188" i="25"/>
  <c r="AD202" i="25"/>
  <c r="AA195" i="25"/>
  <c r="AL204" i="25"/>
  <c r="AA184" i="25"/>
  <c r="AE195" i="25"/>
  <c r="AM204" i="25"/>
  <c r="AJ190" i="25"/>
  <c r="X189" i="25"/>
  <c r="AV205" i="25"/>
  <c r="AD197" i="25"/>
  <c r="Z190" i="25"/>
  <c r="AB195" i="25"/>
  <c r="AA191" i="25"/>
  <c r="Z181" i="25"/>
  <c r="Y181" i="25"/>
  <c r="AD201" i="25"/>
  <c r="AK199" i="25"/>
  <c r="AY205" i="25"/>
  <c r="AO200" i="25"/>
  <c r="AG193" i="25"/>
  <c r="Y198" i="25"/>
  <c r="AA181" i="25"/>
  <c r="AO195" i="25"/>
  <c r="AG203" i="25"/>
  <c r="AF188" i="25"/>
  <c r="AB192" i="25"/>
  <c r="AA194" i="25"/>
  <c r="AG202" i="25"/>
  <c r="AB200" i="25"/>
  <c r="AC189" i="25"/>
  <c r="AK202" i="25"/>
  <c r="AW205" i="25"/>
  <c r="AK191" i="25"/>
  <c r="X200" i="25"/>
  <c r="AB203" i="25"/>
  <c r="AJ196" i="25"/>
  <c r="Y195" i="25"/>
  <c r="Z183" i="25"/>
  <c r="Y202" i="25"/>
  <c r="AH197" i="25"/>
  <c r="AD188" i="25"/>
  <c r="AJ202" i="25"/>
  <c r="Z205" i="25"/>
  <c r="AA199" i="25"/>
  <c r="AD186" i="25"/>
  <c r="AA202" i="25"/>
  <c r="AD192" i="25"/>
  <c r="AG191" i="25"/>
  <c r="AN203" i="25"/>
  <c r="AG196" i="25"/>
  <c r="Y184" i="25"/>
  <c r="Z204" i="25"/>
  <c r="AA198" i="25"/>
  <c r="AL201" i="25"/>
  <c r="AB193" i="25"/>
  <c r="Z197" i="25"/>
  <c r="AM197" i="25"/>
  <c r="AK197" i="25"/>
  <c r="AC196" i="25"/>
  <c r="AO197" i="25"/>
  <c r="AB185" i="25"/>
  <c r="AH193" i="25"/>
  <c r="AA182" i="25"/>
  <c r="AQ204" i="25"/>
  <c r="AE200" i="25"/>
  <c r="AU201" i="25"/>
  <c r="AR198" i="25"/>
  <c r="X196" i="25"/>
  <c r="AJ203" i="25"/>
  <c r="AB184" i="25"/>
  <c r="AJ192" i="25"/>
  <c r="AB202" i="25"/>
  <c r="AO205" i="25"/>
  <c r="AN196" i="25"/>
  <c r="AQ198" i="25"/>
  <c r="AQ203" i="25"/>
  <c r="AK205" i="25"/>
  <c r="Y189" i="25"/>
  <c r="AE192" i="25"/>
  <c r="AN205" i="25"/>
  <c r="AW203" i="25"/>
  <c r="AF190" i="25"/>
  <c r="AA186" i="25"/>
  <c r="AH205" i="25"/>
  <c r="AD185" i="25"/>
  <c r="AU205" i="25"/>
  <c r="AH194" i="25"/>
  <c r="AF198" i="25"/>
  <c r="AF193" i="25"/>
  <c r="AL192" i="25"/>
  <c r="AC202" i="25"/>
  <c r="AN194" i="25"/>
  <c r="X194" i="25"/>
  <c r="Y188" i="25"/>
  <c r="AM196" i="25"/>
  <c r="AV202" i="25"/>
  <c r="AM201" i="25"/>
  <c r="AH203" i="25"/>
  <c r="AM203" i="25"/>
  <c r="AE204" i="25"/>
  <c r="AS201" i="25"/>
  <c r="AI192" i="25"/>
  <c r="X191" i="25"/>
  <c r="AA197" i="25"/>
  <c r="AJ195" i="25"/>
  <c r="AQ199" i="25"/>
  <c r="AE186" i="25"/>
  <c r="AM202" i="25"/>
  <c r="AA185" i="25"/>
  <c r="AM198" i="25"/>
  <c r="AB196" i="25"/>
  <c r="AC203" i="25"/>
  <c r="AH195" i="25"/>
  <c r="AS202" i="25"/>
  <c r="AO201" i="25"/>
  <c r="AE202" i="25"/>
  <c r="X188" i="25"/>
  <c r="X197" i="25"/>
  <c r="X181" i="25"/>
  <c r="X195" i="25"/>
  <c r="AP203" i="25"/>
  <c r="AG200" i="25"/>
  <c r="AE197" i="25"/>
  <c r="AM194" i="25"/>
  <c r="AC204" i="25"/>
  <c r="AE193" i="25"/>
  <c r="AP202" i="25"/>
  <c r="AG187" i="25"/>
  <c r="AF202" i="25"/>
  <c r="X199" i="25"/>
  <c r="AD203" i="25"/>
  <c r="AJ199" i="25"/>
  <c r="Z199" i="25"/>
  <c r="AI196" i="25"/>
  <c r="AI190" i="25"/>
  <c r="AP204" i="25"/>
  <c r="AC190" i="25"/>
  <c r="Z192" i="25"/>
  <c r="Y201" i="25"/>
  <c r="Z201" i="25"/>
  <c r="AB190" i="25"/>
  <c r="AA192" i="25"/>
  <c r="AM193" i="25"/>
  <c r="AJ194" i="25"/>
  <c r="X183" i="25"/>
  <c r="AX205" i="25"/>
  <c r="AC191" i="25"/>
  <c r="AR202" i="25"/>
  <c r="AL196" i="25"/>
  <c r="AC195" i="25"/>
  <c r="Y200" i="25"/>
  <c r="AK201" i="25"/>
  <c r="AB194" i="25"/>
  <c r="X205" i="25"/>
  <c r="AN195" i="25"/>
  <c r="AN202" i="25"/>
  <c r="AK194" i="25"/>
  <c r="AG199" i="25"/>
  <c r="AI204" i="25"/>
  <c r="AH201" i="25"/>
  <c r="AH196" i="25"/>
  <c r="AK193" i="25"/>
  <c r="AT200" i="25"/>
  <c r="AK200" i="25"/>
  <c r="AV203" i="25"/>
  <c r="AG194" i="25"/>
  <c r="Z191" i="25"/>
  <c r="AF203" i="25"/>
  <c r="Y191" i="25"/>
  <c r="X201" i="25"/>
  <c r="AW204" i="25"/>
  <c r="AE190" i="25"/>
  <c r="AB204" i="25"/>
  <c r="AU204" i="25"/>
  <c r="AO199" i="25"/>
  <c r="AD189" i="25"/>
  <c r="AE185" i="25"/>
  <c r="X204" i="25"/>
  <c r="AU203" i="25"/>
  <c r="AT204" i="25"/>
  <c r="AV204" i="25"/>
  <c r="AH202" i="25"/>
  <c r="AD190" i="25"/>
  <c r="Y196" i="25"/>
  <c r="AL197" i="25"/>
  <c r="AH190" i="25"/>
  <c r="Z180" i="25"/>
  <c r="AF187" i="25"/>
  <c r="AK195" i="25"/>
  <c r="X193" i="25"/>
  <c r="Y203" i="25"/>
  <c r="AS204" i="25"/>
  <c r="AI193" i="25"/>
  <c r="AE187" i="25"/>
  <c r="AI201" i="25"/>
  <c r="Y199" i="25"/>
  <c r="Z182" i="25"/>
  <c r="Y185" i="25"/>
  <c r="AB186" i="25"/>
  <c r="AP197" i="25"/>
  <c r="AG195" i="25"/>
  <c r="AL200" i="25"/>
  <c r="AC192" i="25"/>
  <c r="AD204" i="25"/>
  <c r="AD205" i="25"/>
  <c r="AN199" i="25"/>
  <c r="AI198" i="25"/>
  <c r="AH192" i="25"/>
  <c r="X190" i="25"/>
  <c r="AH191" i="25"/>
  <c r="Y180" i="25"/>
  <c r="AF189" i="25"/>
  <c r="AC201" i="25"/>
  <c r="AR205" i="25"/>
  <c r="X203" i="25"/>
  <c r="AC199" i="25"/>
  <c r="AS199" i="25"/>
  <c r="AO198" i="25"/>
  <c r="Z185" i="25"/>
  <c r="AA201" i="25"/>
  <c r="AS205" i="25"/>
  <c r="AB199" i="25"/>
  <c r="Y187" i="25"/>
  <c r="AF197" i="25"/>
  <c r="AJ204" i="25"/>
  <c r="AT202" i="25"/>
  <c r="AN204" i="25"/>
  <c r="AC198" i="25"/>
  <c r="AP196" i="25"/>
  <c r="AK196" i="25"/>
  <c r="AB191" i="25"/>
  <c r="AC194" i="25"/>
  <c r="AA190" i="25"/>
  <c r="AR201" i="25"/>
  <c r="AU102" i="9"/>
  <c r="AU106" i="9" s="1"/>
  <c r="AU14" i="11" s="1"/>
  <c r="AU37" i="11" s="1"/>
  <c r="AV64" i="9"/>
  <c r="AV58" i="9" s="1"/>
  <c r="AY162" i="25"/>
  <c r="AP149" i="25"/>
  <c r="AP166" i="25"/>
  <c r="Z167" i="25"/>
  <c r="AG157" i="25"/>
  <c r="AG147" i="25"/>
  <c r="AI147" i="25"/>
  <c r="AN147" i="25"/>
  <c r="AD166" i="25"/>
  <c r="AJ145" i="25"/>
  <c r="AF162" i="25"/>
  <c r="AV168" i="25"/>
  <c r="AL153" i="25"/>
  <c r="AY152" i="25"/>
  <c r="AY165" i="25"/>
  <c r="AM163" i="25"/>
  <c r="AV154" i="25"/>
  <c r="Y149" i="25"/>
  <c r="AF170" i="25"/>
  <c r="AD165" i="25"/>
  <c r="X155" i="25"/>
  <c r="AF161" i="25"/>
  <c r="AM153" i="25"/>
  <c r="AV171" i="25"/>
  <c r="AO164" i="25"/>
  <c r="AF144" i="25"/>
  <c r="AK168" i="25"/>
  <c r="AJ166" i="25"/>
  <c r="AL147" i="25"/>
  <c r="AY158" i="25"/>
  <c r="AP163" i="25"/>
  <c r="AR170" i="25"/>
  <c r="AD150" i="25"/>
  <c r="AL162" i="25"/>
  <c r="AP151" i="25"/>
  <c r="AH154" i="25"/>
  <c r="AK164" i="25"/>
  <c r="AD157" i="25"/>
  <c r="AK167" i="25"/>
  <c r="AK149" i="25"/>
  <c r="AS161" i="25"/>
  <c r="AE165" i="25"/>
  <c r="AQ149" i="25"/>
  <c r="AS165" i="25"/>
  <c r="AK156" i="25"/>
  <c r="AV152" i="25"/>
  <c r="X165" i="25"/>
  <c r="AL154" i="25"/>
  <c r="AU153" i="25"/>
  <c r="AU159" i="25"/>
  <c r="AP167" i="25"/>
  <c r="AQ148" i="25"/>
  <c r="Y154" i="25"/>
  <c r="AQ167" i="25"/>
  <c r="AB154" i="25"/>
  <c r="AM154" i="25"/>
  <c r="AB156" i="25"/>
  <c r="AR156" i="25"/>
  <c r="AU158" i="25"/>
  <c r="AP154" i="25"/>
  <c r="AT165" i="25"/>
  <c r="AM155" i="25"/>
  <c r="AH166" i="25"/>
  <c r="AE155" i="25"/>
  <c r="AH148" i="25"/>
  <c r="AQ156" i="25"/>
  <c r="AJ161" i="25"/>
  <c r="AK170" i="25"/>
  <c r="AN146" i="25"/>
  <c r="AJ157" i="25"/>
  <c r="AU168" i="25"/>
  <c r="AF152" i="25"/>
  <c r="AV163" i="25"/>
  <c r="AT151" i="25"/>
  <c r="AT169" i="25"/>
  <c r="AD161" i="25"/>
  <c r="AL157" i="25"/>
  <c r="AX149" i="25"/>
  <c r="AH144" i="25"/>
  <c r="AV162" i="25"/>
  <c r="AB153" i="25"/>
  <c r="AH160" i="25"/>
  <c r="AR165" i="25"/>
  <c r="AV153" i="25"/>
  <c r="X147" i="25"/>
  <c r="AU164" i="25"/>
  <c r="AM147" i="25"/>
  <c r="AT146" i="25"/>
  <c r="AL148" i="25"/>
  <c r="AS169" i="25"/>
  <c r="AT148" i="25"/>
  <c r="AI151" i="25"/>
  <c r="AF150" i="25"/>
  <c r="AS157" i="25"/>
  <c r="AW165" i="25"/>
  <c r="X162" i="25"/>
  <c r="AR164" i="25"/>
  <c r="Z146" i="25"/>
  <c r="AO151" i="25"/>
  <c r="AU148" i="25"/>
  <c r="AD159" i="25"/>
  <c r="AQ157" i="25"/>
  <c r="AJ144" i="25"/>
  <c r="AG152" i="25"/>
  <c r="AJ168" i="25"/>
  <c r="AG169" i="25"/>
  <c r="Y147" i="25"/>
  <c r="AR150" i="25"/>
  <c r="AV165" i="25"/>
  <c r="AK147" i="25"/>
  <c r="AP165" i="25"/>
  <c r="AS166" i="25"/>
  <c r="AS144" i="25"/>
  <c r="X146" i="25"/>
  <c r="AN160" i="25"/>
  <c r="AY146" i="25"/>
  <c r="AF151" i="25"/>
  <c r="AI166" i="25"/>
  <c r="AS146" i="25"/>
  <c r="AH167" i="25"/>
  <c r="X154" i="25"/>
  <c r="AK171" i="25"/>
  <c r="AG161" i="25"/>
  <c r="AC155" i="25"/>
  <c r="AJ148" i="25"/>
  <c r="AY156" i="25"/>
  <c r="AE169" i="25"/>
  <c r="AO171" i="25"/>
  <c r="AR162" i="25"/>
  <c r="AD147" i="25"/>
  <c r="X149" i="25"/>
  <c r="AV149" i="25"/>
  <c r="AJ150" i="25"/>
  <c r="AW167" i="25"/>
  <c r="AP147" i="25"/>
  <c r="AT159" i="25"/>
  <c r="AW162" i="25"/>
  <c r="AV159" i="25"/>
  <c r="AS150" i="25"/>
  <c r="AC161" i="25"/>
  <c r="Z151" i="25"/>
  <c r="AI148" i="25"/>
  <c r="AR146" i="25"/>
  <c r="AJ152" i="25"/>
  <c r="AK166" i="25"/>
  <c r="X144" i="25"/>
  <c r="X167" i="25"/>
  <c r="AN158" i="25"/>
  <c r="AV161" i="25"/>
  <c r="AB164" i="25"/>
  <c r="AA167" i="25"/>
  <c r="AO154" i="25"/>
  <c r="AT149" i="25"/>
  <c r="X170" i="25"/>
  <c r="AW151" i="25"/>
  <c r="AD170" i="25"/>
  <c r="AG168" i="25"/>
  <c r="AC165" i="25"/>
  <c r="AF147" i="25"/>
  <c r="AQ155" i="25"/>
  <c r="AB145" i="25"/>
  <c r="AW145" i="25"/>
  <c r="AC144" i="25"/>
  <c r="AC157" i="25"/>
  <c r="Z158" i="25"/>
  <c r="AC163" i="25"/>
  <c r="AR167" i="25"/>
  <c r="AE171" i="25"/>
  <c r="AC147" i="25"/>
  <c r="AI153" i="25"/>
  <c r="AN148" i="25"/>
  <c r="AK153" i="25"/>
  <c r="AI159" i="25"/>
  <c r="AE170" i="25"/>
  <c r="AE159" i="25"/>
  <c r="AI164" i="25"/>
  <c r="AR160" i="25"/>
  <c r="AT150" i="25"/>
  <c r="AM150" i="25"/>
  <c r="AL168" i="25"/>
  <c r="AC153" i="25"/>
  <c r="AE157" i="25"/>
  <c r="AU163" i="25"/>
  <c r="AD152" i="25"/>
  <c r="AD151" i="25"/>
  <c r="AY163" i="25"/>
  <c r="AE168" i="25"/>
  <c r="AL146" i="25"/>
  <c r="Z148" i="25"/>
  <c r="AH164" i="25"/>
  <c r="AA158" i="25"/>
  <c r="AF156" i="25"/>
  <c r="AR148" i="25"/>
  <c r="AA155" i="25"/>
  <c r="AR154" i="25"/>
  <c r="Z150" i="25"/>
  <c r="AX164" i="25"/>
  <c r="AL149" i="25"/>
  <c r="AB158" i="25"/>
  <c r="AQ147" i="25"/>
  <c r="AC162" i="25"/>
  <c r="AA150" i="25"/>
  <c r="Y151" i="25"/>
  <c r="AO168" i="25"/>
  <c r="AN163" i="25"/>
  <c r="AG149" i="25"/>
  <c r="AA156" i="25"/>
  <c r="AS155" i="25"/>
  <c r="AP170" i="25"/>
  <c r="AU149" i="25"/>
  <c r="AR161" i="25"/>
  <c r="AV145" i="25"/>
  <c r="X158" i="25"/>
  <c r="AH153" i="25"/>
  <c r="AA166" i="25"/>
  <c r="AW159" i="25"/>
  <c r="Z166" i="25"/>
  <c r="AP145" i="25"/>
  <c r="AO160" i="25"/>
  <c r="AC145" i="25"/>
  <c r="AG171" i="25"/>
  <c r="X161" i="25"/>
  <c r="Y153" i="25"/>
  <c r="AX157" i="25"/>
  <c r="AY144" i="25"/>
  <c r="X166" i="25"/>
  <c r="AJ171" i="25"/>
  <c r="AK154" i="25"/>
  <c r="AS147" i="25"/>
  <c r="AW163" i="25"/>
  <c r="AN151" i="25"/>
  <c r="AB161" i="25"/>
  <c r="AX156" i="25"/>
  <c r="Y158" i="25"/>
  <c r="AD153" i="25"/>
  <c r="AI150" i="25"/>
  <c r="AK148" i="25"/>
  <c r="Z169" i="25"/>
  <c r="AU156" i="25"/>
  <c r="AJ167" i="25"/>
  <c r="AB167" i="25"/>
  <c r="AP159" i="25"/>
  <c r="AA169" i="25"/>
  <c r="AR158" i="25"/>
  <c r="AD149" i="25"/>
  <c r="AJ158" i="25"/>
  <c r="Y162" i="25"/>
  <c r="AP144" i="25"/>
  <c r="Y163" i="25"/>
  <c r="AL151" i="25"/>
  <c r="Z145" i="25"/>
  <c r="X156" i="25"/>
  <c r="AA164" i="25"/>
  <c r="AN154" i="25"/>
  <c r="AL155" i="25"/>
  <c r="Y148" i="25"/>
  <c r="AA168" i="25"/>
  <c r="Z144" i="25"/>
  <c r="AN166" i="25"/>
  <c r="AM151" i="25"/>
  <c r="AR147" i="25"/>
  <c r="AO155" i="25"/>
  <c r="AM167" i="25"/>
  <c r="AE153" i="25"/>
  <c r="AX161" i="25"/>
  <c r="Y159" i="25"/>
  <c r="Z154" i="25"/>
  <c r="AI157" i="25"/>
  <c r="AQ146" i="25"/>
  <c r="AT156" i="25"/>
  <c r="Y157" i="25"/>
  <c r="AO156" i="25"/>
  <c r="AV166" i="25"/>
  <c r="AV144" i="25"/>
  <c r="AB168" i="25"/>
  <c r="AI168" i="25"/>
  <c r="AJ153" i="25"/>
  <c r="AE166" i="25"/>
  <c r="AP156" i="25"/>
  <c r="AS171" i="25"/>
  <c r="AC166" i="25"/>
  <c r="AI149" i="25"/>
  <c r="Y170" i="25"/>
  <c r="AW152" i="25"/>
  <c r="AM166" i="25"/>
  <c r="AS168" i="25"/>
  <c r="AW161" i="25"/>
  <c r="AS162" i="25"/>
  <c r="AG160" i="25"/>
  <c r="AA146" i="25"/>
  <c r="AP150" i="25"/>
  <c r="AG151" i="25"/>
  <c r="AT164" i="25"/>
  <c r="AF165" i="25"/>
  <c r="X163" i="25"/>
  <c r="AM170" i="25"/>
  <c r="AW148" i="25"/>
  <c r="AD167" i="25"/>
  <c r="AM171" i="25"/>
  <c r="AO170" i="25"/>
  <c r="AQ165" i="25"/>
  <c r="AY159" i="25"/>
  <c r="AM165" i="25"/>
  <c r="AN157" i="25"/>
  <c r="AA144" i="25"/>
  <c r="AV157" i="25"/>
  <c r="AP164" i="25"/>
  <c r="AC171" i="25"/>
  <c r="AW171" i="25"/>
  <c r="AU162" i="25"/>
  <c r="AB146" i="25"/>
  <c r="AC148" i="25"/>
  <c r="AI154" i="25"/>
  <c r="AD160" i="25"/>
  <c r="AD144" i="25"/>
  <c r="AT171" i="25"/>
  <c r="AJ162" i="25"/>
  <c r="AE149" i="25"/>
  <c r="AO159" i="25"/>
  <c r="AX166" i="25"/>
  <c r="AF163" i="25"/>
  <c r="AD158" i="25"/>
  <c r="AB165" i="25"/>
  <c r="Z147" i="25"/>
  <c r="AG163" i="25"/>
  <c r="AQ159" i="25"/>
  <c r="X164" i="25"/>
  <c r="AI160" i="25"/>
  <c r="AE158" i="25"/>
  <c r="AJ160" i="25"/>
  <c r="AD146" i="25"/>
  <c r="AG144" i="25"/>
  <c r="AM145" i="25"/>
  <c r="AC170" i="25"/>
  <c r="AK159" i="25"/>
  <c r="AX144" i="25"/>
  <c r="AA170" i="25"/>
  <c r="AO162" i="25"/>
  <c r="AD164" i="25"/>
  <c r="AN155" i="25"/>
  <c r="AS158" i="25"/>
  <c r="AN153" i="25"/>
  <c r="AR152" i="25"/>
  <c r="AW166" i="25"/>
  <c r="AE144" i="25"/>
  <c r="AS163" i="25"/>
  <c r="AK152" i="25"/>
  <c r="AO145" i="25"/>
  <c r="AQ170" i="25"/>
  <c r="AJ159" i="25"/>
  <c r="AA157" i="25"/>
  <c r="AO146" i="25"/>
  <c r="AY149" i="25"/>
  <c r="AI169" i="25"/>
  <c r="AP152" i="25"/>
  <c r="Z164" i="25"/>
  <c r="AS159" i="25"/>
  <c r="AQ168" i="25"/>
  <c r="AO163" i="25"/>
  <c r="AB151" i="25"/>
  <c r="AF169" i="25"/>
  <c r="AM158" i="25"/>
  <c r="Z161" i="25"/>
  <c r="AI171" i="25"/>
  <c r="AL150" i="25"/>
  <c r="AE163" i="25"/>
  <c r="AT170" i="25"/>
  <c r="AJ163" i="25"/>
  <c r="AR153" i="25"/>
  <c r="AI152" i="25"/>
  <c r="Y152" i="25"/>
  <c r="AQ145" i="25"/>
  <c r="AH151" i="25"/>
  <c r="AS145" i="25"/>
  <c r="AF168" i="25"/>
  <c r="AO148" i="25"/>
  <c r="AM149" i="25"/>
  <c r="AX170" i="25"/>
  <c r="AC159" i="25"/>
  <c r="AX159" i="25"/>
  <c r="AT167" i="25"/>
  <c r="AB157" i="25"/>
  <c r="Z157" i="25"/>
  <c r="AQ160" i="25"/>
  <c r="AA148" i="25"/>
  <c r="AV147" i="25"/>
  <c r="Z160" i="25"/>
  <c r="AI162" i="25"/>
  <c r="AV164" i="25"/>
  <c r="AH170" i="25"/>
  <c r="AI163" i="25"/>
  <c r="AH157" i="25"/>
  <c r="AM161" i="25"/>
  <c r="AK165" i="25"/>
  <c r="AQ171" i="25"/>
  <c r="AX168" i="25"/>
  <c r="AG159" i="25"/>
  <c r="AK151" i="25"/>
  <c r="AP148" i="25"/>
  <c r="AH145" i="25"/>
  <c r="AQ150" i="25"/>
  <c r="AE162" i="25"/>
  <c r="AU147" i="25"/>
  <c r="Z168" i="25"/>
  <c r="AA151" i="25"/>
  <c r="AG166" i="25"/>
  <c r="AM156" i="25"/>
  <c r="AU145" i="25"/>
  <c r="AK144" i="25"/>
  <c r="AW146" i="25"/>
  <c r="AC154" i="25"/>
  <c r="AT158" i="25"/>
  <c r="Y168" i="25"/>
  <c r="AL169" i="25"/>
  <c r="AW149" i="25"/>
  <c r="X148" i="25"/>
  <c r="AT145" i="25"/>
  <c r="AI156" i="25"/>
  <c r="AU157" i="25"/>
  <c r="AG165" i="25"/>
  <c r="AP169" i="25"/>
  <c r="AP146" i="25"/>
  <c r="AX151" i="25"/>
  <c r="X153" i="25"/>
  <c r="AO161" i="25"/>
  <c r="AR166" i="25"/>
  <c r="AY167" i="25"/>
  <c r="AW158" i="25"/>
  <c r="AY166" i="25"/>
  <c r="AU155" i="25"/>
  <c r="AE161" i="25"/>
  <c r="AQ162" i="25"/>
  <c r="AV150" i="25"/>
  <c r="AT147" i="25"/>
  <c r="AS170" i="25"/>
  <c r="AP171" i="25"/>
  <c r="AY148" i="25"/>
  <c r="AO157" i="25"/>
  <c r="AG146" i="25"/>
  <c r="AA171" i="25"/>
  <c r="AR159" i="25"/>
  <c r="AW156" i="25"/>
  <c r="AL156" i="25"/>
  <c r="AF148" i="25"/>
  <c r="AK157" i="25"/>
  <c r="AH155" i="25"/>
  <c r="AU151" i="25"/>
  <c r="Y169" i="25"/>
  <c r="AW144" i="25"/>
  <c r="AP160" i="25"/>
  <c r="AS167" i="25"/>
  <c r="AC167" i="25"/>
  <c r="AL159" i="25"/>
  <c r="AX153" i="25"/>
  <c r="AR145" i="25"/>
  <c r="AY151" i="25"/>
  <c r="AE156" i="25"/>
  <c r="AY150" i="25"/>
  <c r="AM144" i="25"/>
  <c r="X151" i="25"/>
  <c r="AV146" i="25"/>
  <c r="AE152" i="25"/>
  <c r="Y150" i="25"/>
  <c r="AF154" i="25"/>
  <c r="AR171" i="25"/>
  <c r="AX165" i="25"/>
  <c r="AB148" i="25"/>
  <c r="AT161" i="25"/>
  <c r="AN149" i="25"/>
  <c r="AJ146" i="25"/>
  <c r="AN164" i="25"/>
  <c r="Y165" i="25"/>
  <c r="AW157" i="25"/>
  <c r="AA162" i="25"/>
  <c r="AD163" i="25"/>
  <c r="AU144" i="25"/>
  <c r="AD171" i="25"/>
  <c r="AM152" i="25"/>
  <c r="AF159" i="25"/>
  <c r="AV169" i="25"/>
  <c r="Y145" i="25"/>
  <c r="AQ169" i="25"/>
  <c r="AR155" i="25"/>
  <c r="AC156" i="25"/>
  <c r="AY161" i="25"/>
  <c r="AN170" i="25"/>
  <c r="X169" i="25"/>
  <c r="AQ158" i="25"/>
  <c r="AV158" i="25"/>
  <c r="Y171" i="25"/>
  <c r="AD148" i="25"/>
  <c r="AW169" i="25"/>
  <c r="AI155" i="25"/>
  <c r="AT157" i="25"/>
  <c r="AG155" i="25"/>
  <c r="AQ153" i="25"/>
  <c r="AY145" i="25"/>
  <c r="AK146" i="25"/>
  <c r="AL144" i="25"/>
  <c r="AF166" i="25"/>
  <c r="AP153" i="25"/>
  <c r="AB162" i="25"/>
  <c r="AX146" i="25"/>
  <c r="AY157" i="25"/>
  <c r="AI170" i="25"/>
  <c r="AP158" i="25"/>
  <c r="AQ164" i="25"/>
  <c r="AN156" i="25"/>
  <c r="AF171" i="25"/>
  <c r="Z152" i="25"/>
  <c r="AI167" i="25"/>
  <c r="Z170" i="25"/>
  <c r="Z165" i="25"/>
  <c r="AD155" i="25"/>
  <c r="AT162" i="25"/>
  <c r="AM162" i="25"/>
  <c r="AG156" i="25"/>
  <c r="AF145" i="25"/>
  <c r="X168" i="25"/>
  <c r="AX148" i="25"/>
  <c r="AR149" i="25"/>
  <c r="AW170" i="25"/>
  <c r="Z171" i="25"/>
  <c r="AM164" i="25"/>
  <c r="AC169" i="25"/>
  <c r="AQ161" i="25"/>
  <c r="AD156" i="25"/>
  <c r="AG170" i="25"/>
  <c r="AO149" i="25"/>
  <c r="AT152" i="25"/>
  <c r="AE145" i="25"/>
  <c r="AW153" i="25"/>
  <c r="AY154" i="25"/>
  <c r="Y156" i="25"/>
  <c r="AE164" i="25"/>
  <c r="AC158" i="25"/>
  <c r="AY153" i="25"/>
  <c r="AD154" i="25"/>
  <c r="AT154" i="25"/>
  <c r="Y155" i="25"/>
  <c r="AK169" i="25"/>
  <c r="AQ151" i="25"/>
  <c r="AQ163" i="25"/>
  <c r="AS153" i="25"/>
  <c r="AJ149" i="25"/>
  <c r="AY170" i="25"/>
  <c r="Z156" i="25"/>
  <c r="AC168" i="25"/>
  <c r="AS148" i="25"/>
  <c r="AR168" i="25"/>
  <c r="AB166" i="25"/>
  <c r="AA154" i="25"/>
  <c r="AL145" i="25"/>
  <c r="AU166" i="25"/>
  <c r="AT160" i="25"/>
  <c r="AS152" i="25"/>
  <c r="AY164" i="25"/>
  <c r="AB144" i="25"/>
  <c r="AU160" i="25"/>
  <c r="AJ154" i="25"/>
  <c r="AJ169" i="25"/>
  <c r="AU169" i="25"/>
  <c r="AE146" i="25"/>
  <c r="Z153" i="25"/>
  <c r="AV170" i="25"/>
  <c r="AX167" i="25"/>
  <c r="Y161" i="25"/>
  <c r="AC164" i="25"/>
  <c r="AA163" i="25"/>
  <c r="AE151" i="25"/>
  <c r="AG154" i="25"/>
  <c r="AV160" i="25"/>
  <c r="Y144" i="25"/>
  <c r="AN152" i="25"/>
  <c r="AC150" i="25"/>
  <c r="AC160" i="25"/>
  <c r="AU165" i="25"/>
  <c r="AB160" i="25"/>
  <c r="AE154" i="25"/>
  <c r="AL167" i="25"/>
  <c r="AK155" i="25"/>
  <c r="AN162" i="25"/>
  <c r="AU154" i="25"/>
  <c r="Z159" i="25"/>
  <c r="Z163" i="25"/>
  <c r="AI165" i="25"/>
  <c r="AK145" i="25"/>
  <c r="AO169" i="25"/>
  <c r="AO166" i="25"/>
  <c r="AU146" i="25"/>
  <c r="AE150" i="25"/>
  <c r="AK158" i="25"/>
  <c r="AF157" i="25"/>
  <c r="AI161" i="25"/>
  <c r="AL171" i="25"/>
  <c r="AU171" i="25"/>
  <c r="X160" i="25"/>
  <c r="AM146" i="25"/>
  <c r="AX150" i="25"/>
  <c r="AI144" i="25"/>
  <c r="AS151" i="25"/>
  <c r="AH163" i="25"/>
  <c r="AL152" i="25"/>
  <c r="Z162" i="25"/>
  <c r="AA145" i="25"/>
  <c r="AR144" i="25"/>
  <c r="AW168" i="25"/>
  <c r="AP168" i="25"/>
  <c r="AG145" i="25"/>
  <c r="AQ144" i="25"/>
  <c r="AW160" i="25"/>
  <c r="AA165" i="25"/>
  <c r="AW150" i="25"/>
  <c r="AT168" i="25"/>
  <c r="AK160" i="25"/>
  <c r="AX160" i="25"/>
  <c r="AV156" i="25"/>
  <c r="AD169" i="25"/>
  <c r="AB163" i="25"/>
  <c r="AK162" i="25"/>
  <c r="AP157" i="25"/>
  <c r="AG162" i="25"/>
  <c r="AJ170" i="25"/>
  <c r="AQ152" i="25"/>
  <c r="AP161" i="25"/>
  <c r="AM169" i="25"/>
  <c r="AL161" i="25"/>
  <c r="AT163" i="25"/>
  <c r="AH169" i="25"/>
  <c r="AB152" i="25"/>
  <c r="AJ155" i="25"/>
  <c r="AG164" i="25"/>
  <c r="AX147" i="25"/>
  <c r="AL160" i="25"/>
  <c r="AY169" i="25"/>
  <c r="AO152" i="25"/>
  <c r="AU170" i="25"/>
  <c r="AQ166" i="25"/>
  <c r="Y167" i="25"/>
  <c r="AH161" i="25"/>
  <c r="AO147" i="25"/>
  <c r="AF149" i="25"/>
  <c r="AH147" i="25"/>
  <c r="AX152" i="25"/>
  <c r="AA147" i="25"/>
  <c r="AV148" i="25"/>
  <c r="AS164" i="25"/>
  <c r="AV151" i="25"/>
  <c r="AC152" i="25"/>
  <c r="AY168" i="25"/>
  <c r="AT144" i="25"/>
  <c r="AA153" i="25"/>
  <c r="AL158" i="25"/>
  <c r="AF164" i="25"/>
  <c r="AW154" i="25"/>
  <c r="AG148" i="25"/>
  <c r="AP162" i="25"/>
  <c r="AQ154" i="25"/>
  <c r="AA160" i="25"/>
  <c r="AH171" i="25"/>
  <c r="AS156" i="25"/>
  <c r="AE147" i="25"/>
  <c r="AN145" i="25"/>
  <c r="I143" i="25"/>
  <c r="AD168" i="25"/>
  <c r="AW147" i="25"/>
  <c r="AO144" i="25"/>
  <c r="AU167" i="25"/>
  <c r="AF146" i="25"/>
  <c r="AA161" i="25"/>
  <c r="AB171" i="25"/>
  <c r="AI145" i="25"/>
  <c r="AU152" i="25"/>
  <c r="AN161" i="25"/>
  <c r="Y166" i="25"/>
  <c r="AF158" i="25"/>
  <c r="AJ164" i="25"/>
  <c r="AX145" i="25"/>
  <c r="Y164" i="25"/>
  <c r="AX158" i="25"/>
  <c r="AH159" i="25"/>
  <c r="AL164" i="25"/>
  <c r="AB170" i="25"/>
  <c r="AX171" i="25"/>
  <c r="Y146" i="25"/>
  <c r="AO167" i="25"/>
  <c r="AV155" i="25"/>
  <c r="AI146" i="25"/>
  <c r="Y160" i="25"/>
  <c r="AG158" i="25"/>
  <c r="AH165" i="25"/>
  <c r="AH149" i="25"/>
  <c r="AB147" i="25"/>
  <c r="AB149" i="25"/>
  <c r="X171" i="25"/>
  <c r="AC146" i="25"/>
  <c r="AY155" i="25"/>
  <c r="AF155" i="25"/>
  <c r="AU161" i="25"/>
  <c r="AG150" i="25"/>
  <c r="AH162" i="25"/>
  <c r="AO165" i="25"/>
  <c r="AG167" i="25"/>
  <c r="AR169" i="25"/>
  <c r="AY160" i="25"/>
  <c r="AS154" i="25"/>
  <c r="AN144" i="25"/>
  <c r="AU150" i="25"/>
  <c r="AW155" i="25"/>
  <c r="AE148" i="25"/>
  <c r="AF160" i="25"/>
  <c r="AN150" i="25"/>
  <c r="AC151" i="25"/>
  <c r="AL163" i="25"/>
  <c r="AN165" i="25"/>
  <c r="AS149" i="25"/>
  <c r="AJ165" i="25"/>
  <c r="AH146" i="25"/>
  <c r="AS160" i="25"/>
  <c r="AY147" i="25"/>
  <c r="AG153" i="25"/>
  <c r="AB150" i="25"/>
  <c r="AJ147" i="25"/>
  <c r="AX163" i="25"/>
  <c r="AK163" i="25"/>
  <c r="AT153" i="25"/>
  <c r="X145" i="25"/>
  <c r="X150" i="25"/>
  <c r="AH168" i="25"/>
  <c r="AV167" i="25"/>
  <c r="AD145" i="25"/>
  <c r="AX162" i="25"/>
  <c r="AW164" i="25"/>
  <c r="AN169" i="25"/>
  <c r="AB155" i="25"/>
  <c r="AH156" i="25"/>
  <c r="X152" i="25"/>
  <c r="AK161" i="25"/>
  <c r="Z155" i="25"/>
  <c r="AN159" i="25"/>
  <c r="AN171" i="25"/>
  <c r="AO158" i="25"/>
  <c r="AF153" i="25"/>
  <c r="AP155" i="25"/>
  <c r="AT166" i="25"/>
  <c r="AJ156" i="25"/>
  <c r="AA159" i="25"/>
  <c r="AY171" i="25"/>
  <c r="AR157" i="25"/>
  <c r="AM157" i="25"/>
  <c r="AA149" i="25"/>
  <c r="AH150" i="25"/>
  <c r="AM160" i="25"/>
  <c r="Z149" i="25"/>
  <c r="AX154" i="25"/>
  <c r="AI158" i="25"/>
  <c r="AH158" i="25"/>
  <c r="AL170" i="25"/>
  <c r="AC149" i="25"/>
  <c r="AL165" i="25"/>
  <c r="AA152" i="25"/>
  <c r="AO153" i="25"/>
  <c r="AT155" i="25"/>
  <c r="AN167" i="25"/>
  <c r="AR151" i="25"/>
  <c r="AE167" i="25"/>
  <c r="AK150" i="25"/>
  <c r="AH152" i="25"/>
  <c r="X157" i="25"/>
  <c r="AN168" i="25"/>
  <c r="AM148" i="25"/>
  <c r="AX155" i="25"/>
  <c r="AB159" i="25"/>
  <c r="AO150" i="25"/>
  <c r="X159" i="25"/>
  <c r="AL166" i="25"/>
  <c r="AX169" i="25"/>
  <c r="AF167" i="25"/>
  <c r="AJ151" i="25"/>
  <c r="AR163" i="25"/>
  <c r="AB169" i="25"/>
  <c r="AE160" i="25"/>
  <c r="AM159" i="25"/>
  <c r="AD162" i="25"/>
  <c r="AM168" i="25"/>
  <c r="AV103" i="9"/>
  <c r="AW81" i="9"/>
  <c r="AW75" i="9" s="1"/>
  <c r="AW76" i="9" s="1"/>
  <c r="D14" i="11" a="1"/>
  <c r="Z178" i="25" l="1"/>
  <c r="Z179" i="25"/>
  <c r="AA179" i="25" s="1"/>
  <c r="AA180" i="25"/>
  <c r="AB180" i="25" s="1"/>
  <c r="AC182" i="25"/>
  <c r="AD182" i="25" s="1"/>
  <c r="AE182" i="25" s="1"/>
  <c r="AG186" i="25"/>
  <c r="AH186" i="25" s="1"/>
  <c r="AI186" i="25" s="1"/>
  <c r="AJ186" i="25" s="1"/>
  <c r="AB181" i="25"/>
  <c r="AC181" i="25" s="1"/>
  <c r="AI188" i="25"/>
  <c r="AJ188" i="25" s="1"/>
  <c r="AE184" i="25"/>
  <c r="AF184" i="25" s="1"/>
  <c r="AG184" i="25" s="1"/>
  <c r="AS198" i="25"/>
  <c r="AT198" i="25" s="1"/>
  <c r="AU198" i="25" s="1"/>
  <c r="AV198" i="25" s="1"/>
  <c r="AK190" i="25"/>
  <c r="AL190" i="25" s="1"/>
  <c r="AO194" i="25"/>
  <c r="AP194" i="25" s="1"/>
  <c r="AQ194" i="25" s="1"/>
  <c r="AR194" i="25" s="1"/>
  <c r="AD183" i="25"/>
  <c r="AE183" i="25" s="1"/>
  <c r="AF183" i="25" s="1"/>
  <c r="AM192" i="25"/>
  <c r="AN192" i="25" s="1"/>
  <c r="AO192" i="25" s="1"/>
  <c r="AL191" i="25"/>
  <c r="AM191" i="25" s="1"/>
  <c r="AN191" i="25" s="1"/>
  <c r="AU46" i="40" a="1"/>
  <c r="AU46" i="40" s="1"/>
  <c r="AR197" i="25"/>
  <c r="AS197" i="25" s="1"/>
  <c r="AN193" i="25"/>
  <c r="AO193" i="25" s="1"/>
  <c r="AJ189" i="25"/>
  <c r="AK189" i="25" s="1"/>
  <c r="AU200" i="25"/>
  <c r="AV200" i="25" s="1"/>
  <c r="AW200" i="25" s="1"/>
  <c r="AX200" i="25" s="1"/>
  <c r="AY200" i="25" s="1"/>
  <c r="I233" i="25" s="1"/>
  <c r="AH187" i="25"/>
  <c r="AI187" i="25" s="1"/>
  <c r="AJ187" i="25" s="1"/>
  <c r="AX203" i="25"/>
  <c r="AY203" i="25" s="1"/>
  <c r="AW202" i="25"/>
  <c r="AX202" i="25" s="1"/>
  <c r="AY202" i="25" s="1"/>
  <c r="AP195" i="25"/>
  <c r="AQ195" i="25" s="1"/>
  <c r="AF185" i="25"/>
  <c r="AG185" i="25" s="1"/>
  <c r="AU62" i="40"/>
  <c r="AT199" i="25"/>
  <c r="AU199" i="25" s="1"/>
  <c r="AV199" i="25" s="1"/>
  <c r="AW199" i="25" s="1"/>
  <c r="AV201" i="25"/>
  <c r="AW201" i="25" s="1"/>
  <c r="AY204" i="25"/>
  <c r="I237" i="25" s="1"/>
  <c r="AQ196" i="25"/>
  <c r="AR196" i="25" s="1"/>
  <c r="AS196" i="25" s="1"/>
  <c r="D14" i="11"/>
  <c r="AW83" i="9"/>
  <c r="AW84" i="9" s="1"/>
  <c r="AW85" i="9" s="1"/>
  <c r="AX80" i="9" s="1"/>
  <c r="I238" i="25"/>
  <c r="AQ238" i="25" s="1"/>
  <c r="AA177" i="25"/>
  <c r="AB177" i="25" s="1"/>
  <c r="AV59" i="9"/>
  <c r="AW77" i="9"/>
  <c r="AW78" i="9" s="1"/>
  <c r="AX71" i="9" s="1"/>
  <c r="AA143" i="25"/>
  <c r="AG143" i="25"/>
  <c r="AS143" i="25"/>
  <c r="AH143" i="25"/>
  <c r="Y143" i="25"/>
  <c r="Z143" i="25"/>
  <c r="AK143" i="25"/>
  <c r="AN143" i="25"/>
  <c r="AT143" i="25"/>
  <c r="AR143" i="25"/>
  <c r="AP143" i="25"/>
  <c r="AF143" i="25"/>
  <c r="AD143" i="25"/>
  <c r="AL143" i="25"/>
  <c r="AC143" i="25"/>
  <c r="AJ143" i="25"/>
  <c r="AE143" i="25"/>
  <c r="AO143" i="25"/>
  <c r="AM143" i="25"/>
  <c r="AB143" i="25"/>
  <c r="X143" i="25"/>
  <c r="AQ143" i="25"/>
  <c r="AI143" i="25"/>
  <c r="I60" i="40"/>
  <c r="AX143" i="25"/>
  <c r="AU143" i="25"/>
  <c r="AY143" i="25"/>
  <c r="AV143" i="25"/>
  <c r="AW143" i="25"/>
  <c r="AA178" i="25"/>
  <c r="AV66" i="9"/>
  <c r="I235" i="25" l="1"/>
  <c r="AA235" i="25" s="1"/>
  <c r="AB179" i="25"/>
  <c r="AC179" i="25" s="1"/>
  <c r="AK188" i="25"/>
  <c r="AL188" i="25" s="1"/>
  <c r="AM188" i="25" s="1"/>
  <c r="AD181" i="25"/>
  <c r="AE181" i="25" s="1"/>
  <c r="AF181" i="25" s="1"/>
  <c r="I236" i="25"/>
  <c r="AR236" i="25" s="1"/>
  <c r="AP193" i="25"/>
  <c r="AQ193" i="25" s="1"/>
  <c r="AR193" i="25" s="1"/>
  <c r="AX199" i="25"/>
  <c r="AY199" i="25" s="1"/>
  <c r="I232" i="25" s="1"/>
  <c r="AR232" i="25" s="1"/>
  <c r="AX201" i="25"/>
  <c r="AY201" i="25" s="1"/>
  <c r="AR195" i="25"/>
  <c r="AS195" i="25" s="1"/>
  <c r="AT195" i="25" s="1"/>
  <c r="AU195" i="25" s="1"/>
  <c r="AV195" i="25" s="1"/>
  <c r="AA238" i="25"/>
  <c r="AM238" i="25"/>
  <c r="AL238" i="25"/>
  <c r="AD238" i="25"/>
  <c r="AB238" i="25"/>
  <c r="AJ238" i="25"/>
  <c r="AP238" i="25"/>
  <c r="AK238" i="25"/>
  <c r="AH238" i="25"/>
  <c r="AV238" i="25"/>
  <c r="AT238" i="25"/>
  <c r="X238" i="25"/>
  <c r="AY238" i="25"/>
  <c r="AI238" i="25"/>
  <c r="AE238" i="25"/>
  <c r="AU238" i="25"/>
  <c r="AO238" i="25"/>
  <c r="AR238" i="25"/>
  <c r="Z238" i="25"/>
  <c r="AS238" i="25"/>
  <c r="AC238" i="25"/>
  <c r="AX238" i="25"/>
  <c r="Y238" i="25"/>
  <c r="AW238" i="25"/>
  <c r="AF238" i="25"/>
  <c r="AG238" i="25"/>
  <c r="AN238" i="25"/>
  <c r="AT196" i="25"/>
  <c r="AU196" i="25" s="1"/>
  <c r="AS194" i="25"/>
  <c r="AT194" i="25" s="1"/>
  <c r="AF182" i="25"/>
  <c r="AG182" i="25" s="1"/>
  <c r="AL189" i="25"/>
  <c r="AM189" i="25" s="1"/>
  <c r="AN189" i="25" s="1"/>
  <c r="AW198" i="25"/>
  <c r="AX198" i="25" s="1"/>
  <c r="AY198" i="25" s="1"/>
  <c r="I231" i="25" s="1"/>
  <c r="AM190" i="25"/>
  <c r="AN190" i="25" s="1"/>
  <c r="AG183" i="25"/>
  <c r="AH183" i="25" s="1"/>
  <c r="AI183" i="25" s="1"/>
  <c r="AH184" i="25"/>
  <c r="AK187" i="25"/>
  <c r="AA60" i="40"/>
  <c r="AH185" i="25"/>
  <c r="AV67" i="9"/>
  <c r="AV68" i="9" s="1"/>
  <c r="AW63" i="9" s="1"/>
  <c r="AK186" i="25"/>
  <c r="AT197" i="25"/>
  <c r="AU197" i="25" s="1"/>
  <c r="AV197" i="25" s="1"/>
  <c r="AO191" i="25"/>
  <c r="AX81" i="9"/>
  <c r="AX75" i="9" s="1"/>
  <c r="AX76" i="9" s="1"/>
  <c r="AB178" i="25"/>
  <c r="Z60" i="40"/>
  <c r="AW103" i="9"/>
  <c r="AV60" i="9"/>
  <c r="AV61" i="9" s="1"/>
  <c r="AW54" i="9" s="1"/>
  <c r="X237" i="25"/>
  <c r="AT237" i="25"/>
  <c r="AF237" i="25"/>
  <c r="AL237" i="25"/>
  <c r="AO237" i="25"/>
  <c r="AP237" i="25"/>
  <c r="AI237" i="25"/>
  <c r="AS237" i="25"/>
  <c r="AB237" i="25"/>
  <c r="AM237" i="25"/>
  <c r="AW237" i="25"/>
  <c r="AQ237" i="25"/>
  <c r="Z237" i="25"/>
  <c r="AU237" i="25"/>
  <c r="AH237" i="25"/>
  <c r="AY237" i="25"/>
  <c r="AX237" i="25"/>
  <c r="AG237" i="25"/>
  <c r="AR237" i="25"/>
  <c r="AC237" i="25"/>
  <c r="AE237" i="25"/>
  <c r="AD237" i="25"/>
  <c r="Y237" i="25"/>
  <c r="AA237" i="25"/>
  <c r="AK237" i="25"/>
  <c r="AJ237" i="25"/>
  <c r="AV237" i="25"/>
  <c r="AN237" i="25"/>
  <c r="AC180" i="25"/>
  <c r="X60" i="40"/>
  <c r="Y60" i="40"/>
  <c r="AP192" i="25"/>
  <c r="AC177" i="25"/>
  <c r="AQ233" i="25"/>
  <c r="AX233" i="25"/>
  <c r="AU233" i="25"/>
  <c r="AG233" i="25"/>
  <c r="AV233" i="25"/>
  <c r="AR233" i="25"/>
  <c r="AL233" i="25"/>
  <c r="AT233" i="25"/>
  <c r="AY233" i="25"/>
  <c r="AM233" i="25"/>
  <c r="AD233" i="25"/>
  <c r="Y233" i="25"/>
  <c r="AF233" i="25"/>
  <c r="AI233" i="25"/>
  <c r="AB233" i="25"/>
  <c r="Z233" i="25"/>
  <c r="AN233" i="25"/>
  <c r="AP233" i="25"/>
  <c r="AK233" i="25"/>
  <c r="AJ233" i="25"/>
  <c r="AO233" i="25"/>
  <c r="AC233" i="25"/>
  <c r="AA233" i="25"/>
  <c r="AE233" i="25"/>
  <c r="AW233" i="25"/>
  <c r="X233" i="25"/>
  <c r="AH233" i="25"/>
  <c r="AS233" i="25"/>
  <c r="AJ235" i="25" l="1"/>
  <c r="AY235" i="25"/>
  <c r="AK235" i="25"/>
  <c r="Y235" i="25"/>
  <c r="AT235" i="25"/>
  <c r="AQ235" i="25"/>
  <c r="AM235" i="25"/>
  <c r="AD235" i="25"/>
  <c r="AE235" i="25"/>
  <c r="AO235" i="25"/>
  <c r="AI235" i="25"/>
  <c r="AN235" i="25"/>
  <c r="Z235" i="25"/>
  <c r="AB235" i="25"/>
  <c r="AU235" i="25"/>
  <c r="AF235" i="25"/>
  <c r="AS235" i="25"/>
  <c r="AX235" i="25"/>
  <c r="AG235" i="25"/>
  <c r="AH235" i="25"/>
  <c r="X235" i="25"/>
  <c r="AR235" i="25"/>
  <c r="AP235" i="25"/>
  <c r="AW235" i="25"/>
  <c r="AL235" i="25"/>
  <c r="AV235" i="25"/>
  <c r="AN236" i="25"/>
  <c r="AC235" i="25"/>
  <c r="AM236" i="25"/>
  <c r="AP236" i="25"/>
  <c r="AH236" i="25"/>
  <c r="Z236" i="25"/>
  <c r="AC236" i="25"/>
  <c r="AA236" i="25"/>
  <c r="AU236" i="25"/>
  <c r="AW236" i="25"/>
  <c r="Y236" i="25"/>
  <c r="AL236" i="25"/>
  <c r="AO236" i="25"/>
  <c r="AD236" i="25"/>
  <c r="AX236" i="25"/>
  <c r="AJ236" i="25"/>
  <c r="AV236" i="25"/>
  <c r="AE236" i="25"/>
  <c r="AK236" i="25"/>
  <c r="AB236" i="25"/>
  <c r="AT236" i="25"/>
  <c r="AQ236" i="25"/>
  <c r="AI236" i="25"/>
  <c r="AG236" i="25"/>
  <c r="AS236" i="25"/>
  <c r="AS193" i="25"/>
  <c r="AT193" i="25" s="1"/>
  <c r="AU193" i="25" s="1"/>
  <c r="AG181" i="25"/>
  <c r="AH181" i="25" s="1"/>
  <c r="AI181" i="25" s="1"/>
  <c r="AF236" i="25"/>
  <c r="X236" i="25"/>
  <c r="AY236" i="25"/>
  <c r="AQ232" i="25"/>
  <c r="AP232" i="25"/>
  <c r="AA232" i="25"/>
  <c r="X232" i="25"/>
  <c r="AW232" i="25"/>
  <c r="Y232" i="25"/>
  <c r="AS232" i="25"/>
  <c r="AM232" i="25"/>
  <c r="AU232" i="25"/>
  <c r="AI232" i="25"/>
  <c r="AJ232" i="25"/>
  <c r="AX232" i="25"/>
  <c r="AH232" i="25"/>
  <c r="AT232" i="25"/>
  <c r="AK232" i="25"/>
  <c r="AD232" i="25"/>
  <c r="AG232" i="25"/>
  <c r="Z232" i="25"/>
  <c r="AV232" i="25"/>
  <c r="AL232" i="25"/>
  <c r="AF232" i="25"/>
  <c r="AB232" i="25"/>
  <c r="AC232" i="25"/>
  <c r="AN232" i="25"/>
  <c r="AE232" i="25"/>
  <c r="AY232" i="25"/>
  <c r="AO232" i="25"/>
  <c r="I234" i="25"/>
  <c r="AN188" i="25"/>
  <c r="AO188" i="25" s="1"/>
  <c r="AP188" i="25" s="1"/>
  <c r="AX83" i="9"/>
  <c r="AX84" i="9" s="1"/>
  <c r="AX85" i="9" s="1"/>
  <c r="AY80" i="9" s="1"/>
  <c r="AU231" i="25"/>
  <c r="AE231" i="25"/>
  <c r="AG231" i="25"/>
  <c r="AP231" i="25"/>
  <c r="AN231" i="25"/>
  <c r="X231" i="25"/>
  <c r="AC231" i="25"/>
  <c r="AH231" i="25"/>
  <c r="AM231" i="25"/>
  <c r="AT231" i="25"/>
  <c r="AX231" i="25"/>
  <c r="AV231" i="25"/>
  <c r="Y231" i="25"/>
  <c r="AY231" i="25"/>
  <c r="AJ231" i="25"/>
  <c r="AB231" i="25"/>
  <c r="Z231" i="25"/>
  <c r="AS231" i="25"/>
  <c r="AL231" i="25"/>
  <c r="AI231" i="25"/>
  <c r="AD231" i="25"/>
  <c r="AK231" i="25"/>
  <c r="AW231" i="25"/>
  <c r="AO231" i="25"/>
  <c r="AQ231" i="25"/>
  <c r="AA231" i="25"/>
  <c r="AF231" i="25"/>
  <c r="AR231" i="25"/>
  <c r="AJ183" i="25"/>
  <c r="AK183" i="25" s="1"/>
  <c r="AO190" i="25"/>
  <c r="AP190" i="25" s="1"/>
  <c r="AI185" i="25"/>
  <c r="AJ185" i="25" s="1"/>
  <c r="AL187" i="25"/>
  <c r="AM187" i="25" s="1"/>
  <c r="AV196" i="25"/>
  <c r="AW196" i="25" s="1"/>
  <c r="AH182" i="25"/>
  <c r="AD179" i="25"/>
  <c r="AE179" i="25" s="1"/>
  <c r="AC178" i="25"/>
  <c r="AC60" i="40" s="1"/>
  <c r="AD180" i="25"/>
  <c r="AE180" i="25" s="1"/>
  <c r="AI184" i="25"/>
  <c r="AW195" i="25"/>
  <c r="AX195" i="25" s="1"/>
  <c r="AY195" i="25" s="1"/>
  <c r="I228" i="25" s="1"/>
  <c r="AW197" i="25"/>
  <c r="AX197" i="25" s="1"/>
  <c r="AY197" i="25" s="1"/>
  <c r="AV102" i="9"/>
  <c r="AV106" i="9" s="1"/>
  <c r="AV46" i="40" s="1" a="1"/>
  <c r="AV46" i="40" s="1"/>
  <c r="AU194" i="25"/>
  <c r="AW64" i="9"/>
  <c r="AW58" i="9" s="1"/>
  <c r="AW59" i="9" s="1"/>
  <c r="AX77" i="9"/>
  <c r="AL186" i="25"/>
  <c r="AB60" i="40"/>
  <c r="AO189" i="25"/>
  <c r="AP189" i="25" s="1"/>
  <c r="AQ189" i="25" s="1"/>
  <c r="AD177" i="25"/>
  <c r="AP191" i="25"/>
  <c r="AQ192" i="25"/>
  <c r="AR192" i="25" s="1"/>
  <c r="AS192" i="25" s="1"/>
  <c r="AT192" i="25" s="1"/>
  <c r="AU192" i="25" s="1"/>
  <c r="AV192" i="25" s="1"/>
  <c r="AW192" i="25" s="1"/>
  <c r="AX192" i="25" s="1"/>
  <c r="AY192" i="25" s="1"/>
  <c r="AQ190" i="25" l="1"/>
  <c r="AR190" i="25" s="1"/>
  <c r="AS190" i="25" s="1"/>
  <c r="AT190" i="25" s="1"/>
  <c r="AU190" i="25" s="1"/>
  <c r="AV190" i="25" s="1"/>
  <c r="AW190" i="25" s="1"/>
  <c r="AX190" i="25" s="1"/>
  <c r="AY190" i="25" s="1"/>
  <c r="I223" i="25" s="1"/>
  <c r="AL234" i="25"/>
  <c r="Y234" i="25"/>
  <c r="AK234" i="25"/>
  <c r="AV234" i="25"/>
  <c r="X234" i="25"/>
  <c r="AO234" i="25"/>
  <c r="AA234" i="25"/>
  <c r="AG234" i="25"/>
  <c r="AY234" i="25"/>
  <c r="AR234" i="25"/>
  <c r="AM234" i="25"/>
  <c r="Z234" i="25"/>
  <c r="AF234" i="25"/>
  <c r="AQ234" i="25"/>
  <c r="AC234" i="25"/>
  <c r="AB234" i="25"/>
  <c r="AS234" i="25"/>
  <c r="AT234" i="25"/>
  <c r="AH234" i="25"/>
  <c r="AD234" i="25"/>
  <c r="AN234" i="25"/>
  <c r="AX234" i="25"/>
  <c r="AJ234" i="25"/>
  <c r="AP234" i="25"/>
  <c r="AW234" i="25"/>
  <c r="AI234" i="25"/>
  <c r="AU234" i="25"/>
  <c r="AE234" i="25"/>
  <c r="AX103" i="9"/>
  <c r="I230" i="25"/>
  <c r="AV230" i="25" s="1"/>
  <c r="AD178" i="25"/>
  <c r="AE178" i="25" s="1"/>
  <c r="AV193" i="25"/>
  <c r="AW193" i="25" s="1"/>
  <c r="AX193" i="25" s="1"/>
  <c r="AY193" i="25" s="1"/>
  <c r="I226" i="25" s="1"/>
  <c r="AW66" i="9"/>
  <c r="AW67" i="9" s="1"/>
  <c r="AX196" i="25"/>
  <c r="AY196" i="25" s="1"/>
  <c r="I229" i="25" s="1"/>
  <c r="AB229" i="25" s="1"/>
  <c r="AK185" i="25"/>
  <c r="AL185" i="25" s="1"/>
  <c r="AH228" i="25"/>
  <c r="AS228" i="25"/>
  <c r="AQ228" i="25"/>
  <c r="AN228" i="25"/>
  <c r="AC228" i="25"/>
  <c r="AD228" i="25"/>
  <c r="AG228" i="25"/>
  <c r="AP228" i="25"/>
  <c r="Z228" i="25"/>
  <c r="AX228" i="25"/>
  <c r="AO228" i="25"/>
  <c r="AV228" i="25"/>
  <c r="AI228" i="25"/>
  <c r="X228" i="25"/>
  <c r="AL228" i="25"/>
  <c r="AJ228" i="25"/>
  <c r="AK228" i="25"/>
  <c r="AE228" i="25"/>
  <c r="AF228" i="25"/>
  <c r="AA228" i="25"/>
  <c r="AB228" i="25"/>
  <c r="AW228" i="25"/>
  <c r="AM228" i="25"/>
  <c r="Y228" i="25"/>
  <c r="AY228" i="25"/>
  <c r="AT228" i="25"/>
  <c r="AR228" i="25"/>
  <c r="AU228" i="25"/>
  <c r="AR189" i="25"/>
  <c r="AS189" i="25" s="1"/>
  <c r="AT189" i="25" s="1"/>
  <c r="AU189" i="25" s="1"/>
  <c r="AV189" i="25" s="1"/>
  <c r="AW189" i="25" s="1"/>
  <c r="AX189" i="25" s="1"/>
  <c r="AY189" i="25" s="1"/>
  <c r="AW60" i="9"/>
  <c r="AW61" i="9" s="1"/>
  <c r="AX54" i="9" s="1"/>
  <c r="AF180" i="25"/>
  <c r="AG180" i="25" s="1"/>
  <c r="AH180" i="25" s="1"/>
  <c r="AI180" i="25" s="1"/>
  <c r="AJ180" i="25" s="1"/>
  <c r="AK180" i="25" s="1"/>
  <c r="AL180" i="25" s="1"/>
  <c r="AM180" i="25" s="1"/>
  <c r="AY81" i="9"/>
  <c r="AY75" i="9" s="1"/>
  <c r="AE177" i="25"/>
  <c r="AF177" i="25" s="1"/>
  <c r="AJ184" i="25"/>
  <c r="AQ191" i="25"/>
  <c r="AR191" i="25" s="1"/>
  <c r="AS191" i="25" s="1"/>
  <c r="AT191" i="25" s="1"/>
  <c r="AL183" i="25"/>
  <c r="AQ188" i="25"/>
  <c r="AR188" i="25" s="1"/>
  <c r="AS188" i="25" s="1"/>
  <c r="AT188" i="25" s="1"/>
  <c r="AU188" i="25" s="1"/>
  <c r="AV188" i="25" s="1"/>
  <c r="AW188" i="25" s="1"/>
  <c r="AX188" i="25" s="1"/>
  <c r="AY188" i="25" s="1"/>
  <c r="I221" i="25" s="1"/>
  <c r="AN187" i="25"/>
  <c r="AO187" i="25" s="1"/>
  <c r="AJ181" i="25"/>
  <c r="AM186" i="25"/>
  <c r="AN186" i="25" s="1"/>
  <c r="AO186" i="25" s="1"/>
  <c r="AP186" i="25" s="1"/>
  <c r="AI182" i="25"/>
  <c r="AV14" i="11"/>
  <c r="AV37" i="11" s="1"/>
  <c r="AV62" i="40"/>
  <c r="AX78" i="9"/>
  <c r="AY71" i="9" s="1"/>
  <c r="AV194" i="25"/>
  <c r="AW194" i="25" s="1"/>
  <c r="AX194" i="25" s="1"/>
  <c r="I225" i="25"/>
  <c r="AF179" i="25"/>
  <c r="AY230" i="25" l="1"/>
  <c r="AW230" i="25"/>
  <c r="AO230" i="25"/>
  <c r="AE230" i="25"/>
  <c r="AM230" i="25"/>
  <c r="Y230" i="25"/>
  <c r="AF230" i="25"/>
  <c r="AB230" i="25"/>
  <c r="AD230" i="25"/>
  <c r="AI230" i="25"/>
  <c r="Z230" i="25"/>
  <c r="AT230" i="25"/>
  <c r="AK230" i="25"/>
  <c r="AD60" i="40"/>
  <c r="AL230" i="25"/>
  <c r="AQ230" i="25"/>
  <c r="AN230" i="25"/>
  <c r="X230" i="25"/>
  <c r="AG230" i="25"/>
  <c r="AA230" i="25"/>
  <c r="AJ230" i="25"/>
  <c r="AC230" i="25"/>
  <c r="AP230" i="25"/>
  <c r="AH230" i="25"/>
  <c r="AR230" i="25"/>
  <c r="AX230" i="25"/>
  <c r="AU230" i="25"/>
  <c r="AS230" i="25"/>
  <c r="AF178" i="25"/>
  <c r="AG178" i="25" s="1"/>
  <c r="AX229" i="25"/>
  <c r="AQ229" i="25"/>
  <c r="AA229" i="25"/>
  <c r="AC229" i="25"/>
  <c r="AN229" i="25"/>
  <c r="Z229" i="25"/>
  <c r="AI229" i="25"/>
  <c r="AO229" i="25"/>
  <c r="AT229" i="25"/>
  <c r="AJ229" i="25"/>
  <c r="AU229" i="25"/>
  <c r="AP229" i="25"/>
  <c r="AL229" i="25"/>
  <c r="AE229" i="25"/>
  <c r="AD229" i="25"/>
  <c r="AW229" i="25"/>
  <c r="X226" i="25"/>
  <c r="AT226" i="25"/>
  <c r="AV226" i="25"/>
  <c r="AK226" i="25"/>
  <c r="AO226" i="25"/>
  <c r="AD226" i="25"/>
  <c r="AF226" i="25"/>
  <c r="AL226" i="25"/>
  <c r="AI226" i="25"/>
  <c r="AJ226" i="25"/>
  <c r="Y226" i="25"/>
  <c r="AX226" i="25"/>
  <c r="AG226" i="25"/>
  <c r="AM226" i="25"/>
  <c r="AS226" i="25"/>
  <c r="AB226" i="25"/>
  <c r="AC226" i="25"/>
  <c r="AP226" i="25"/>
  <c r="AQ226" i="25"/>
  <c r="AY226" i="25"/>
  <c r="Z226" i="25"/>
  <c r="AE226" i="25"/>
  <c r="AN226" i="25"/>
  <c r="AH226" i="25"/>
  <c r="AW226" i="25"/>
  <c r="AU226" i="25"/>
  <c r="AR226" i="25"/>
  <c r="AA226" i="25"/>
  <c r="AF229" i="25"/>
  <c r="X229" i="25"/>
  <c r="AS229" i="25"/>
  <c r="AH229" i="25"/>
  <c r="AY229" i="25"/>
  <c r="AM229" i="25"/>
  <c r="AG229" i="25"/>
  <c r="AV229" i="25"/>
  <c r="Y229" i="25"/>
  <c r="AY76" i="9"/>
  <c r="AY77" i="9" s="1"/>
  <c r="AR229" i="25"/>
  <c r="AK229" i="25"/>
  <c r="AM185" i="25"/>
  <c r="AN185" i="25" s="1"/>
  <c r="AP187" i="25"/>
  <c r="AQ187" i="25" s="1"/>
  <c r="AR187" i="25" s="1"/>
  <c r="AS187" i="25" s="1"/>
  <c r="AT187" i="25" s="1"/>
  <c r="AU187" i="25" s="1"/>
  <c r="AV187" i="25" s="1"/>
  <c r="AW187" i="25" s="1"/>
  <c r="AX187" i="25" s="1"/>
  <c r="AY187" i="25" s="1"/>
  <c r="I220" i="25" s="1"/>
  <c r="AY221" i="25"/>
  <c r="AH221" i="25"/>
  <c r="AU221" i="25"/>
  <c r="AL221" i="25"/>
  <c r="AA221" i="25"/>
  <c r="AI221" i="25"/>
  <c r="AE221" i="25"/>
  <c r="AK221" i="25"/>
  <c r="Y221" i="25"/>
  <c r="AC221" i="25"/>
  <c r="AD221" i="25"/>
  <c r="AM221" i="25"/>
  <c r="AN221" i="25"/>
  <c r="AP221" i="25"/>
  <c r="AG221" i="25"/>
  <c r="AB221" i="25"/>
  <c r="AJ221" i="25"/>
  <c r="AS221" i="25"/>
  <c r="AX221" i="25"/>
  <c r="AF221" i="25"/>
  <c r="X221" i="25"/>
  <c r="AV221" i="25"/>
  <c r="AO221" i="25"/>
  <c r="AW221" i="25"/>
  <c r="Z221" i="25"/>
  <c r="AT221" i="25"/>
  <c r="AQ221" i="25"/>
  <c r="AR221" i="25"/>
  <c r="AF223" i="25"/>
  <c r="AJ223" i="25"/>
  <c r="AW223" i="25"/>
  <c r="Z223" i="25"/>
  <c r="AG223" i="25"/>
  <c r="AU223" i="25"/>
  <c r="AQ223" i="25"/>
  <c r="AA223" i="25"/>
  <c r="AX223" i="25"/>
  <c r="AD223" i="25"/>
  <c r="AP223" i="25"/>
  <c r="AV223" i="25"/>
  <c r="AT223" i="25"/>
  <c r="AK223" i="25"/>
  <c r="Y223" i="25"/>
  <c r="AE223" i="25"/>
  <c r="AN223" i="25"/>
  <c r="AR223" i="25"/>
  <c r="AM223" i="25"/>
  <c r="AO223" i="25"/>
  <c r="AL223" i="25"/>
  <c r="AI223" i="25"/>
  <c r="AS223" i="25"/>
  <c r="AB223" i="25"/>
  <c r="AC223" i="25"/>
  <c r="AY223" i="25"/>
  <c r="AH223" i="25"/>
  <c r="X223" i="25"/>
  <c r="AU191" i="25"/>
  <c r="AV191" i="25" s="1"/>
  <c r="AW191" i="25" s="1"/>
  <c r="AX191" i="25" s="1"/>
  <c r="AY191" i="25" s="1"/>
  <c r="I224" i="25" s="1"/>
  <c r="AM183" i="25"/>
  <c r="AN183" i="25" s="1"/>
  <c r="AO183" i="25" s="1"/>
  <c r="AP183" i="25" s="1"/>
  <c r="AQ183" i="25" s="1"/>
  <c r="AR183" i="25" s="1"/>
  <c r="AS183" i="25" s="1"/>
  <c r="AT183" i="25" s="1"/>
  <c r="AU183" i="25" s="1"/>
  <c r="AV183" i="25" s="1"/>
  <c r="AW183" i="25" s="1"/>
  <c r="AX183" i="25" s="1"/>
  <c r="AY183" i="25" s="1"/>
  <c r="I216" i="25" s="1"/>
  <c r="AJ182" i="25"/>
  <c r="AW102" i="9"/>
  <c r="AW106" i="9" s="1"/>
  <c r="AW14" i="11" s="1"/>
  <c r="AW37" i="11" s="1"/>
  <c r="I222" i="25"/>
  <c r="AW68" i="9"/>
  <c r="AX63" i="9" s="1"/>
  <c r="AE60" i="40"/>
  <c r="AG177" i="25"/>
  <c r="AY194" i="25"/>
  <c r="I227" i="25" s="1"/>
  <c r="AK184" i="25"/>
  <c r="AL184" i="25" s="1"/>
  <c r="AM184" i="25" s="1"/>
  <c r="AN184" i="25" s="1"/>
  <c r="AO184" i="25" s="1"/>
  <c r="AP184" i="25" s="1"/>
  <c r="AQ184" i="25" s="1"/>
  <c r="AR184" i="25" s="1"/>
  <c r="AS184" i="25" s="1"/>
  <c r="AT184" i="25" s="1"/>
  <c r="AU184" i="25" s="1"/>
  <c r="AV184" i="25" s="1"/>
  <c r="AW184" i="25" s="1"/>
  <c r="AX184" i="25" s="1"/>
  <c r="AY184" i="25" s="1"/>
  <c r="I217" i="25" s="1"/>
  <c r="AN180" i="25"/>
  <c r="AO180" i="25" s="1"/>
  <c r="AP180" i="25" s="1"/>
  <c r="AQ180" i="25" s="1"/>
  <c r="AR180" i="25" s="1"/>
  <c r="AS180" i="25" s="1"/>
  <c r="AT180" i="25" s="1"/>
  <c r="AU180" i="25" s="1"/>
  <c r="AV180" i="25" s="1"/>
  <c r="AW180" i="25" s="1"/>
  <c r="AX180" i="25" s="1"/>
  <c r="AY180" i="25" s="1"/>
  <c r="I213" i="25" s="1"/>
  <c r="AQ186" i="25"/>
  <c r="AR186" i="25" s="1"/>
  <c r="AS186" i="25" s="1"/>
  <c r="AT186" i="25" s="1"/>
  <c r="AU186" i="25" s="1"/>
  <c r="AV186" i="25" s="1"/>
  <c r="AW186" i="25" s="1"/>
  <c r="AX186" i="25" s="1"/>
  <c r="AY186" i="25" s="1"/>
  <c r="I219" i="25" s="1"/>
  <c r="AG179" i="25"/>
  <c r="AH179" i="25" s="1"/>
  <c r="AI179" i="25" s="1"/>
  <c r="AJ179" i="25" s="1"/>
  <c r="AK179" i="25" s="1"/>
  <c r="AL179" i="25" s="1"/>
  <c r="AM179" i="25" s="1"/>
  <c r="AN179" i="25" s="1"/>
  <c r="AO179" i="25" s="1"/>
  <c r="AP179" i="25" s="1"/>
  <c r="AQ179" i="25" s="1"/>
  <c r="AR179" i="25" s="1"/>
  <c r="AS179" i="25" s="1"/>
  <c r="AT179" i="25" s="1"/>
  <c r="AU179" i="25" s="1"/>
  <c r="AV179" i="25" s="1"/>
  <c r="AW179" i="25" s="1"/>
  <c r="AX179" i="25" s="1"/>
  <c r="AY179" i="25" s="1"/>
  <c r="I212" i="25" s="1"/>
  <c r="AN225" i="25"/>
  <c r="AJ225" i="25"/>
  <c r="AI225" i="25"/>
  <c r="AG225" i="25"/>
  <c r="AH225" i="25"/>
  <c r="AQ225" i="25"/>
  <c r="Y225" i="25"/>
  <c r="AD225" i="25"/>
  <c r="Z225" i="25"/>
  <c r="AO225" i="25"/>
  <c r="AY225" i="25"/>
  <c r="AV225" i="25"/>
  <c r="AS225" i="25"/>
  <c r="AW225" i="25"/>
  <c r="AT225" i="25"/>
  <c r="AX225" i="25"/>
  <c r="AE225" i="25"/>
  <c r="AP225" i="25"/>
  <c r="AB225" i="25"/>
  <c r="AF225" i="25"/>
  <c r="AR225" i="25"/>
  <c r="AA225" i="25"/>
  <c r="AL225" i="25"/>
  <c r="AC225" i="25"/>
  <c r="X225" i="25"/>
  <c r="AM225" i="25"/>
  <c r="AK225" i="25"/>
  <c r="AU225" i="25"/>
  <c r="AK181" i="25"/>
  <c r="AL181" i="25" s="1"/>
  <c r="AM181" i="25" s="1"/>
  <c r="AN181" i="25" s="1"/>
  <c r="AO181" i="25" s="1"/>
  <c r="AP181" i="25" s="1"/>
  <c r="AQ181" i="25" s="1"/>
  <c r="AR181" i="25" s="1"/>
  <c r="AS181" i="25" s="1"/>
  <c r="AT181" i="25" s="1"/>
  <c r="AU181" i="25" s="1"/>
  <c r="AV181" i="25" s="1"/>
  <c r="AW181" i="25" s="1"/>
  <c r="AX181" i="25" s="1"/>
  <c r="AY181" i="25" s="1"/>
  <c r="I214" i="25" s="1"/>
  <c r="AY83" i="9"/>
  <c r="AF60" i="40" l="1"/>
  <c r="AH178" i="25"/>
  <c r="AI178" i="25" s="1"/>
  <c r="AJ178" i="25" s="1"/>
  <c r="AK178" i="25" s="1"/>
  <c r="AL178" i="25" s="1"/>
  <c r="AM178" i="25" s="1"/>
  <c r="AN178" i="25" s="1"/>
  <c r="AO178" i="25" s="1"/>
  <c r="AP178" i="25" s="1"/>
  <c r="AQ178" i="25" s="1"/>
  <c r="AR178" i="25" s="1"/>
  <c r="AS178" i="25" s="1"/>
  <c r="AT178" i="25" s="1"/>
  <c r="AU178" i="25" s="1"/>
  <c r="AV178" i="25" s="1"/>
  <c r="AW178" i="25" s="1"/>
  <c r="AX178" i="25" s="1"/>
  <c r="AY178" i="25" s="1"/>
  <c r="I211" i="25" s="1"/>
  <c r="AW211" i="25" s="1"/>
  <c r="AO185" i="25"/>
  <c r="AP185" i="25" s="1"/>
  <c r="AQ185" i="25" s="1"/>
  <c r="AR185" i="25" s="1"/>
  <c r="AS185" i="25" s="1"/>
  <c r="AT185" i="25" s="1"/>
  <c r="AU185" i="25" s="1"/>
  <c r="AV185" i="25" s="1"/>
  <c r="AG217" i="25"/>
  <c r="AU217" i="25"/>
  <c r="AM217" i="25"/>
  <c r="AJ217" i="25"/>
  <c r="AW217" i="25"/>
  <c r="AN217" i="25"/>
  <c r="AE217" i="25"/>
  <c r="AL217" i="25"/>
  <c r="AQ217" i="25"/>
  <c r="AS217" i="25"/>
  <c r="AP217" i="25"/>
  <c r="Z217" i="25"/>
  <c r="AX217" i="25"/>
  <c r="X217" i="25"/>
  <c r="AD217" i="25"/>
  <c r="AA217" i="25"/>
  <c r="Y217" i="25"/>
  <c r="AI217" i="25"/>
  <c r="AF217" i="25"/>
  <c r="AK217" i="25"/>
  <c r="AV217" i="25"/>
  <c r="AB217" i="25"/>
  <c r="AH217" i="25"/>
  <c r="AY217" i="25"/>
  <c r="AC217" i="25"/>
  <c r="AO217" i="25"/>
  <c r="AR217" i="25"/>
  <c r="AT217" i="25"/>
  <c r="AL216" i="25"/>
  <c r="Z216" i="25"/>
  <c r="AV216" i="25"/>
  <c r="AH216" i="25"/>
  <c r="AJ216" i="25"/>
  <c r="AW216" i="25"/>
  <c r="AX216" i="25"/>
  <c r="AG216" i="25"/>
  <c r="AT216" i="25"/>
  <c r="AQ216" i="25"/>
  <c r="AP216" i="25"/>
  <c r="AR216" i="25"/>
  <c r="AB216" i="25"/>
  <c r="AD216" i="25"/>
  <c r="AK216" i="25"/>
  <c r="AS216" i="25"/>
  <c r="AY216" i="25"/>
  <c r="X216" i="25"/>
  <c r="AC216" i="25"/>
  <c r="Y216" i="25"/>
  <c r="AU216" i="25"/>
  <c r="AM216" i="25"/>
  <c r="AN216" i="25"/>
  <c r="AE216" i="25"/>
  <c r="AA216" i="25"/>
  <c r="AI216" i="25"/>
  <c r="AF216" i="25"/>
  <c r="AO216" i="25"/>
  <c r="AL212" i="25"/>
  <c r="AX212" i="25"/>
  <c r="AB212" i="25"/>
  <c r="AT212" i="25"/>
  <c r="AS212" i="25"/>
  <c r="AW212" i="25"/>
  <c r="AO212" i="25"/>
  <c r="Y212" i="25"/>
  <c r="AQ212" i="25"/>
  <c r="AE212" i="25"/>
  <c r="AD212" i="25"/>
  <c r="AP212" i="25"/>
  <c r="AU212" i="25"/>
  <c r="AN212" i="25"/>
  <c r="AY212" i="25"/>
  <c r="AH212" i="25"/>
  <c r="AG212" i="25"/>
  <c r="AA212" i="25"/>
  <c r="AR212" i="25"/>
  <c r="AI212" i="25"/>
  <c r="X212" i="25"/>
  <c r="AM212" i="25"/>
  <c r="AK212" i="25"/>
  <c r="AJ212" i="25"/>
  <c r="Z212" i="25"/>
  <c r="AF212" i="25"/>
  <c r="AV212" i="25"/>
  <c r="AC212" i="25"/>
  <c r="AD214" i="25"/>
  <c r="AK214" i="25"/>
  <c r="X214" i="25"/>
  <c r="AM214" i="25"/>
  <c r="AS214" i="25"/>
  <c r="Z214" i="25"/>
  <c r="AJ214" i="25"/>
  <c r="AN214" i="25"/>
  <c r="AX214" i="25"/>
  <c r="AE214" i="25"/>
  <c r="AF214" i="25"/>
  <c r="AY214" i="25"/>
  <c r="AA214" i="25"/>
  <c r="AB214" i="25"/>
  <c r="AR214" i="25"/>
  <c r="AP214" i="25"/>
  <c r="AW214" i="25"/>
  <c r="AO214" i="25"/>
  <c r="AV214" i="25"/>
  <c r="AL214" i="25"/>
  <c r="Y214" i="25"/>
  <c r="AI214" i="25"/>
  <c r="AC214" i="25"/>
  <c r="AG214" i="25"/>
  <c r="AQ214" i="25"/>
  <c r="AU214" i="25"/>
  <c r="AH214" i="25"/>
  <c r="AT214" i="25"/>
  <c r="AD224" i="25"/>
  <c r="AO224" i="25"/>
  <c r="AS224" i="25"/>
  <c r="AW224" i="25"/>
  <c r="AF224" i="25"/>
  <c r="AE224" i="25"/>
  <c r="AX224" i="25"/>
  <c r="AR224" i="25"/>
  <c r="Z224" i="25"/>
  <c r="AA224" i="25"/>
  <c r="AG224" i="25"/>
  <c r="X224" i="25"/>
  <c r="AC224" i="25"/>
  <c r="AK224" i="25"/>
  <c r="AL224" i="25"/>
  <c r="AQ224" i="25"/>
  <c r="AP224" i="25"/>
  <c r="AN224" i="25"/>
  <c r="AT224" i="25"/>
  <c r="AJ224" i="25"/>
  <c r="Y224" i="25"/>
  <c r="AI224" i="25"/>
  <c r="AM224" i="25"/>
  <c r="AU224" i="25"/>
  <c r="AH224" i="25"/>
  <c r="AY224" i="25"/>
  <c r="AV224" i="25"/>
  <c r="AB224" i="25"/>
  <c r="AQ219" i="25"/>
  <c r="AJ219" i="25"/>
  <c r="AK219" i="25"/>
  <c r="AH219" i="25"/>
  <c r="AX219" i="25"/>
  <c r="AC219" i="25"/>
  <c r="AI219" i="25"/>
  <c r="AM219" i="25"/>
  <c r="AV219" i="25"/>
  <c r="AL219" i="25"/>
  <c r="AD219" i="25"/>
  <c r="Z219" i="25"/>
  <c r="AW219" i="25"/>
  <c r="AG219" i="25"/>
  <c r="AN219" i="25"/>
  <c r="X219" i="25"/>
  <c r="AP219" i="25"/>
  <c r="Y219" i="25"/>
  <c r="AE219" i="25"/>
  <c r="AB219" i="25"/>
  <c r="AR219" i="25"/>
  <c r="AF219" i="25"/>
  <c r="AT219" i="25"/>
  <c r="AS219" i="25"/>
  <c r="AU219" i="25"/>
  <c r="AA219" i="25"/>
  <c r="AY219" i="25"/>
  <c r="AO219" i="25"/>
  <c r="X213" i="25"/>
  <c r="AA213" i="25"/>
  <c r="AU213" i="25"/>
  <c r="AY213" i="25"/>
  <c r="Z213" i="25"/>
  <c r="AD213" i="25"/>
  <c r="AN213" i="25"/>
  <c r="AE213" i="25"/>
  <c r="AX213" i="25"/>
  <c r="AO213" i="25"/>
  <c r="AP213" i="25"/>
  <c r="AW213" i="25"/>
  <c r="AS213" i="25"/>
  <c r="AF213" i="25"/>
  <c r="AV213" i="25"/>
  <c r="AJ213" i="25"/>
  <c r="AQ213" i="25"/>
  <c r="AK213" i="25"/>
  <c r="AI213" i="25"/>
  <c r="Y213" i="25"/>
  <c r="AH213" i="25"/>
  <c r="AL213" i="25"/>
  <c r="AT213" i="25"/>
  <c r="AM213" i="25"/>
  <c r="AC213" i="25"/>
  <c r="AB213" i="25"/>
  <c r="AG213" i="25"/>
  <c r="AR213" i="25"/>
  <c r="AS220" i="25"/>
  <c r="AW220" i="25"/>
  <c r="AM220" i="25"/>
  <c r="Z220" i="25"/>
  <c r="AQ220" i="25"/>
  <c r="AY220" i="25"/>
  <c r="AA220" i="25"/>
  <c r="AI220" i="25"/>
  <c r="AK220" i="25"/>
  <c r="AF220" i="25"/>
  <c r="AU220" i="25"/>
  <c r="AR220" i="25"/>
  <c r="AP220" i="25"/>
  <c r="AN220" i="25"/>
  <c r="Y220" i="25"/>
  <c r="AE220" i="25"/>
  <c r="AD220" i="25"/>
  <c r="AO220" i="25"/>
  <c r="AB220" i="25"/>
  <c r="AL220" i="25"/>
  <c r="AV220" i="25"/>
  <c r="AX220" i="25"/>
  <c r="AH220" i="25"/>
  <c r="X220" i="25"/>
  <c r="AJ220" i="25"/>
  <c r="AC220" i="25"/>
  <c r="AG220" i="25"/>
  <c r="AT220" i="25"/>
  <c r="AG60" i="40"/>
  <c r="AK182" i="25"/>
  <c r="AL182" i="25" s="1"/>
  <c r="AM182" i="25" s="1"/>
  <c r="AN182" i="25" s="1"/>
  <c r="AO182" i="25" s="1"/>
  <c r="AP182" i="25" s="1"/>
  <c r="AQ182" i="25" s="1"/>
  <c r="AR182" i="25" s="1"/>
  <c r="AS182" i="25" s="1"/>
  <c r="AT182" i="25" s="1"/>
  <c r="AU182" i="25" s="1"/>
  <c r="AV182" i="25" s="1"/>
  <c r="AW182" i="25" s="1"/>
  <c r="AX182" i="25" s="1"/>
  <c r="AY182" i="25" s="1"/>
  <c r="I215" i="25" s="1"/>
  <c r="AY84" i="9"/>
  <c r="AY103" i="9" s="1"/>
  <c r="AY78" i="9"/>
  <c r="AH177" i="25"/>
  <c r="AF227" i="25"/>
  <c r="Y227" i="25"/>
  <c r="AK227" i="25"/>
  <c r="AW227" i="25"/>
  <c r="AB227" i="25"/>
  <c r="AO227" i="25"/>
  <c r="AN227" i="25"/>
  <c r="AR227" i="25"/>
  <c r="AT227" i="25"/>
  <c r="AY227" i="25"/>
  <c r="AU227" i="25"/>
  <c r="X227" i="25"/>
  <c r="Z227" i="25"/>
  <c r="AM227" i="25"/>
  <c r="AP227" i="25"/>
  <c r="AC227" i="25"/>
  <c r="AX227" i="25"/>
  <c r="AA227" i="25"/>
  <c r="AH227" i="25"/>
  <c r="AE227" i="25"/>
  <c r="AJ227" i="25"/>
  <c r="AD227" i="25"/>
  <c r="AI227" i="25"/>
  <c r="AG227" i="25"/>
  <c r="AS227" i="25"/>
  <c r="AV227" i="25"/>
  <c r="AQ227" i="25"/>
  <c r="AL227" i="25"/>
  <c r="AX64" i="9"/>
  <c r="AX58" i="9" s="1"/>
  <c r="AW46" i="40" a="1"/>
  <c r="AW46" i="40" s="1"/>
  <c r="AW222" i="25"/>
  <c r="Z222" i="25"/>
  <c r="AX222" i="25"/>
  <c r="AG222" i="25"/>
  <c r="AQ222" i="25"/>
  <c r="AU222" i="25"/>
  <c r="AH222" i="25"/>
  <c r="AC222" i="25"/>
  <c r="AD222" i="25"/>
  <c r="AO222" i="25"/>
  <c r="AF222" i="25"/>
  <c r="AM222" i="25"/>
  <c r="AA222" i="25"/>
  <c r="AL222" i="25"/>
  <c r="AP222" i="25"/>
  <c r="Y222" i="25"/>
  <c r="AT222" i="25"/>
  <c r="AE222" i="25"/>
  <c r="AY222" i="25"/>
  <c r="AN222" i="25"/>
  <c r="AV222" i="25"/>
  <c r="AB222" i="25"/>
  <c r="X222" i="25"/>
  <c r="AR222" i="25"/>
  <c r="AK222" i="25"/>
  <c r="AJ222" i="25"/>
  <c r="AS222" i="25"/>
  <c r="AI222" i="25"/>
  <c r="AW62" i="40"/>
  <c r="AY211" i="25" l="1"/>
  <c r="AJ211" i="25"/>
  <c r="AF211" i="25"/>
  <c r="X211" i="25"/>
  <c r="AI211" i="25"/>
  <c r="AB211" i="25"/>
  <c r="AR211" i="25"/>
  <c r="AE211" i="25"/>
  <c r="AL211" i="25"/>
  <c r="AK211" i="25"/>
  <c r="AT211" i="25"/>
  <c r="AU211" i="25"/>
  <c r="AP211" i="25"/>
  <c r="AO211" i="25"/>
  <c r="AN211" i="25"/>
  <c r="AG211" i="25"/>
  <c r="AD211" i="25"/>
  <c r="AC211" i="25"/>
  <c r="AV211" i="25"/>
  <c r="AQ211" i="25"/>
  <c r="Y211" i="25"/>
  <c r="AH211" i="25"/>
  <c r="Z211" i="25"/>
  <c r="AX211" i="25"/>
  <c r="AM211" i="25"/>
  <c r="AA211" i="25"/>
  <c r="AS211" i="25"/>
  <c r="AX66" i="9"/>
  <c r="AX67" i="9" s="1"/>
  <c r="AX68" i="9" s="1"/>
  <c r="AY63" i="9" s="1"/>
  <c r="AY85" i="9"/>
  <c r="AW185" i="25"/>
  <c r="AX185" i="25" s="1"/>
  <c r="AY185" i="25" s="1"/>
  <c r="I218" i="25" s="1"/>
  <c r="AG215" i="25"/>
  <c r="AF215" i="25"/>
  <c r="AD215" i="25"/>
  <c r="AT215" i="25"/>
  <c r="AQ215" i="25"/>
  <c r="AJ215" i="25"/>
  <c r="AL215" i="25"/>
  <c r="AX215" i="25"/>
  <c r="AC215" i="25"/>
  <c r="AO215" i="25"/>
  <c r="AU215" i="25"/>
  <c r="AH215" i="25"/>
  <c r="AK215" i="25"/>
  <c r="AR215" i="25"/>
  <c r="AW215" i="25"/>
  <c r="AA215" i="25"/>
  <c r="AI215" i="25"/>
  <c r="AV215" i="25"/>
  <c r="AY215" i="25"/>
  <c r="Y215" i="25"/>
  <c r="AE215" i="25"/>
  <c r="AP215" i="25"/>
  <c r="AN215" i="25"/>
  <c r="AM215" i="25"/>
  <c r="AS215" i="25"/>
  <c r="Z215" i="25"/>
  <c r="AB215" i="25"/>
  <c r="X215" i="25"/>
  <c r="AH60" i="40"/>
  <c r="AX59" i="9"/>
  <c r="AI177" i="25"/>
  <c r="AI218" i="25" l="1"/>
  <c r="AV218" i="25"/>
  <c r="AA218" i="25"/>
  <c r="Y218" i="25"/>
  <c r="AT218" i="25"/>
  <c r="AW218" i="25"/>
  <c r="AQ218" i="25"/>
  <c r="AU218" i="25"/>
  <c r="AS218" i="25"/>
  <c r="AL218" i="25"/>
  <c r="Z218" i="25"/>
  <c r="X218" i="25"/>
  <c r="AK218" i="25"/>
  <c r="AX218" i="25"/>
  <c r="AC218" i="25"/>
  <c r="AJ218" i="25"/>
  <c r="AF218" i="25"/>
  <c r="AY218" i="25"/>
  <c r="AO218" i="25"/>
  <c r="AD218" i="25"/>
  <c r="AH218" i="25"/>
  <c r="AE218" i="25"/>
  <c r="AM218" i="25"/>
  <c r="AN218" i="25"/>
  <c r="AP218" i="25"/>
  <c r="AB218" i="25"/>
  <c r="AR218" i="25"/>
  <c r="AG218" i="25"/>
  <c r="AY64" i="9"/>
  <c r="AY58" i="9" s="1"/>
  <c r="AI60" i="40"/>
  <c r="AJ177" i="25"/>
  <c r="AX60" i="9"/>
  <c r="AX61" i="9" s="1"/>
  <c r="AY54" i="9" s="1"/>
  <c r="AY66" i="9" l="1"/>
  <c r="AY67" i="9" s="1"/>
  <c r="AY68" i="9" s="1"/>
  <c r="AJ60" i="40"/>
  <c r="AK177" i="25"/>
  <c r="AY59" i="9"/>
  <c r="AX102" i="9"/>
  <c r="AX106" i="9" s="1"/>
  <c r="AX14" i="11" s="1"/>
  <c r="AX37" i="11" s="1"/>
  <c r="AX46" i="40" l="1" a="1"/>
  <c r="AX46" i="40" s="1"/>
  <c r="AX62" i="40"/>
  <c r="AY60" i="9"/>
  <c r="AY61" i="9" s="1"/>
  <c r="AK60" i="40"/>
  <c r="AL177" i="25"/>
  <c r="AL60" i="40" l="1"/>
  <c r="AM177" i="25"/>
  <c r="AY102" i="9"/>
  <c r="AY106" i="9" s="1"/>
  <c r="AY14" i="11" s="1"/>
  <c r="AY37" i="11" s="1"/>
  <c r="AY62" i="40" l="1"/>
  <c r="AY46" i="40" a="1"/>
  <c r="AY46" i="40" s="1"/>
  <c r="AM60" i="40"/>
  <c r="AN177" i="25"/>
  <c r="AN60" i="40" l="1"/>
  <c r="AO177" i="25"/>
  <c r="AO60" i="40" l="1"/>
  <c r="AP177" i="25"/>
  <c r="AP60" i="40" l="1"/>
  <c r="AQ177" i="25"/>
  <c r="AQ60" i="40" l="1"/>
  <c r="AR177" i="25"/>
  <c r="AR60" i="40" l="1"/>
  <c r="AS177" i="25"/>
  <c r="AS60" i="40" l="1"/>
  <c r="AT177" i="25"/>
  <c r="AT60" i="40" l="1"/>
  <c r="AU177" i="25"/>
  <c r="AU60" i="40" l="1"/>
  <c r="AV177" i="25"/>
  <c r="AV60" i="40" l="1"/>
  <c r="AW177" i="25"/>
  <c r="AW60" i="40" l="1"/>
  <c r="AX177" i="25"/>
  <c r="AX60" i="40" l="1"/>
  <c r="AY177" i="25"/>
  <c r="AY60" i="40" l="1"/>
  <c r="I210" i="25"/>
  <c r="AL210" i="25" l="1"/>
  <c r="AN210" i="25"/>
  <c r="AH210" i="25"/>
  <c r="AP210" i="25"/>
  <c r="AI210" i="25"/>
  <c r="AK210" i="25"/>
  <c r="AX210" i="25"/>
  <c r="AQ210" i="25"/>
  <c r="AB210" i="25"/>
  <c r="AS210" i="25"/>
  <c r="X210" i="25"/>
  <c r="AO210" i="25"/>
  <c r="AF210" i="25"/>
  <c r="AM210" i="25"/>
  <c r="AW210" i="25"/>
  <c r="Y210" i="25"/>
  <c r="AR210" i="25"/>
  <c r="AG210" i="25"/>
  <c r="AD210" i="25"/>
  <c r="AY210" i="25"/>
  <c r="AU210" i="25"/>
  <c r="AE210" i="25"/>
  <c r="Z210" i="25"/>
  <c r="AV210" i="25"/>
  <c r="AJ210" i="25"/>
  <c r="AT210" i="25"/>
  <c r="AA210" i="25"/>
  <c r="AC210" i="25"/>
  <c r="I44" i="40" a="1"/>
  <c r="I44" i="40" s="1"/>
  <c r="AV242" i="25" l="1"/>
  <c r="AV8" i="8" s="1"/>
  <c r="AU242" i="25"/>
  <c r="AU8" i="8" s="1"/>
  <c r="Y242" i="25"/>
  <c r="Y44" i="40" s="1" a="1"/>
  <c r="Y44" i="40" s="1"/>
  <c r="AQ242" i="25"/>
  <c r="AQ44" i="40" s="1" a="1"/>
  <c r="AQ44" i="40" s="1"/>
  <c r="Z242" i="25"/>
  <c r="Z44" i="40" s="1" a="1"/>
  <c r="Z44" i="40" s="1"/>
  <c r="AW242" i="25"/>
  <c r="AW8" i="8" s="1"/>
  <c r="AX242" i="25"/>
  <c r="AX8" i="8" s="1"/>
  <c r="AE242" i="25"/>
  <c r="AE44" i="40" s="1" a="1"/>
  <c r="AE44" i="40" s="1"/>
  <c r="AM242" i="25"/>
  <c r="AM44" i="40" s="1" a="1"/>
  <c r="AM44" i="40" s="1"/>
  <c r="AK242" i="25"/>
  <c r="AK44" i="40" s="1" a="1"/>
  <c r="AK44" i="40" s="1"/>
  <c r="AN242" i="25"/>
  <c r="AN44" i="40" s="1" a="1"/>
  <c r="AN44" i="40" s="1"/>
  <c r="AF242" i="25"/>
  <c r="AF44" i="40" s="1" a="1"/>
  <c r="AF44" i="40" s="1"/>
  <c r="AI242" i="25"/>
  <c r="AI44" i="40" s="1" a="1"/>
  <c r="AI44" i="40" s="1"/>
  <c r="AC242" i="25"/>
  <c r="AC44" i="40" s="1" a="1"/>
  <c r="AC44" i="40" s="1"/>
  <c r="AY242" i="25"/>
  <c r="AY8" i="8" s="1"/>
  <c r="AO242" i="25"/>
  <c r="AO44" i="40" s="1" a="1"/>
  <c r="AO44" i="40" s="1"/>
  <c r="AP242" i="25"/>
  <c r="AP44" i="40" s="1" a="1"/>
  <c r="AP44" i="40" s="1"/>
  <c r="AA242" i="25"/>
  <c r="AA44" i="40" s="1" a="1"/>
  <c r="AA44" i="40" s="1"/>
  <c r="AD242" i="25"/>
  <c r="AD44" i="40" s="1" a="1"/>
  <c r="AD44" i="40" s="1"/>
  <c r="X242" i="25"/>
  <c r="X44" i="40" s="1" a="1"/>
  <c r="X44" i="40" s="1"/>
  <c r="AH242" i="25"/>
  <c r="AH44" i="40" s="1" a="1"/>
  <c r="AH44" i="40" s="1"/>
  <c r="AT242" i="25"/>
  <c r="AT44" i="40" s="1" a="1"/>
  <c r="AT44" i="40" s="1"/>
  <c r="AG242" i="25"/>
  <c r="AG44" i="40" s="1" a="1"/>
  <c r="AG44" i="40" s="1"/>
  <c r="AS242" i="25"/>
  <c r="AS44" i="40" s="1" a="1"/>
  <c r="AS44" i="40" s="1"/>
  <c r="AJ242" i="25"/>
  <c r="AJ44" i="40" s="1" a="1"/>
  <c r="AJ44" i="40" s="1"/>
  <c r="AR242" i="25"/>
  <c r="AR44" i="40" s="1" a="1"/>
  <c r="AR44" i="40" s="1"/>
  <c r="AB242" i="25"/>
  <c r="AB44" i="40" s="1" a="1"/>
  <c r="AB44" i="40" s="1"/>
  <c r="AL242" i="25"/>
  <c r="AL44" i="40" s="1" a="1"/>
  <c r="AL44" i="40" s="1"/>
  <c r="D8" i="8" a="1"/>
  <c r="AU44" i="40" l="1" a="1"/>
  <c r="AU44" i="40" s="1"/>
  <c r="AV44" i="40" a="1"/>
  <c r="AV44" i="40" s="1"/>
  <c r="AX44" i="40" a="1"/>
  <c r="AX44" i="40" s="1"/>
  <c r="AW44" i="40" a="1"/>
  <c r="AW44" i="40" s="1"/>
  <c r="D8" i="8"/>
  <c r="AY44" i="40" a="1"/>
  <c r="AY44" i="40" s="1"/>
  <c r="AY19" i="8"/>
  <c r="AX19" i="8"/>
  <c r="AW19" i="8"/>
  <c r="AU19" i="8"/>
  <c r="AV19" i="8"/>
  <c r="AX20" i="8" l="1"/>
  <c r="AX36" i="8" s="1"/>
  <c r="AX9" i="12" s="1"/>
  <c r="AX28" i="8"/>
  <c r="AU20" i="8"/>
  <c r="AU36" i="8" s="1"/>
  <c r="AU28" i="8"/>
  <c r="AU29" i="8" s="1"/>
  <c r="AY20" i="8"/>
  <c r="AY36" i="8" s="1"/>
  <c r="AY9" i="12" s="1"/>
  <c r="AY28" i="8"/>
  <c r="AW20" i="8"/>
  <c r="AW36" i="8" s="1"/>
  <c r="AW9" i="12" s="1"/>
  <c r="AW28" i="8"/>
  <c r="AV28" i="8"/>
  <c r="AV20" i="8"/>
  <c r="AU46" i="8" l="1"/>
  <c r="AU48" i="8" s="1"/>
  <c r="AU19" i="13"/>
  <c r="AV24" i="8"/>
  <c r="AU9" i="12"/>
  <c r="AU37" i="8"/>
  <c r="AV36" i="8"/>
  <c r="AV9" i="12" s="1"/>
  <c r="D19" i="13" a="1"/>
  <c r="D19" i="13" l="1"/>
  <c r="AV25" i="8"/>
  <c r="AV26" i="8" s="1"/>
  <c r="AU18" i="11"/>
  <c r="AU40" i="8"/>
  <c r="AV32" i="8"/>
  <c r="AU89" i="13"/>
  <c r="AU44" i="13" s="1"/>
  <c r="AU68" i="13"/>
  <c r="AU73" i="13" s="1"/>
  <c r="AU49" i="8"/>
  <c r="AU8" i="39" s="1"/>
  <c r="AU51" i="8"/>
  <c r="AU52" i="8" s="1"/>
  <c r="AU10" i="12" s="1"/>
  <c r="D18" i="11" a="1"/>
  <c r="D8" i="39" a="1"/>
  <c r="AV33" i="8" l="1"/>
  <c r="AV34" i="8" s="1"/>
  <c r="AV37" i="8" s="1"/>
  <c r="D8" i="39"/>
  <c r="D18" i="11"/>
  <c r="AV16" i="13"/>
  <c r="AV29" i="8"/>
  <c r="AV17" i="13"/>
  <c r="AU12" i="12"/>
  <c r="AU74" i="13"/>
  <c r="AU77" i="13" s="1"/>
  <c r="AU78" i="13" s="1"/>
  <c r="AU45" i="40" a="1"/>
  <c r="AU45" i="40" s="1"/>
  <c r="AU20" i="39"/>
  <c r="AU61" i="40"/>
  <c r="AU52" i="11"/>
  <c r="AU53" i="11" s="1"/>
  <c r="AU54" i="11" s="1"/>
  <c r="AU22" i="13" l="1"/>
  <c r="AU11" i="26"/>
  <c r="AV46" i="8"/>
  <c r="AV48" i="8" s="1"/>
  <c r="AV19" i="13"/>
  <c r="AW24" i="8"/>
  <c r="AV40" i="8"/>
  <c r="AV18" i="11"/>
  <c r="AV52" i="11" s="1"/>
  <c r="AV53" i="11" s="1"/>
  <c r="AV54" i="11" s="1"/>
  <c r="AW32" i="8"/>
  <c r="AV57" i="13"/>
  <c r="AV36" i="13" s="1"/>
  <c r="D11" i="26" a="1"/>
  <c r="D22" i="13" a="1"/>
  <c r="D11" i="26" l="1"/>
  <c r="D22" i="13"/>
  <c r="AV89" i="13"/>
  <c r="AV44" i="13" s="1"/>
  <c r="AV68" i="13"/>
  <c r="AV73" i="13" s="1"/>
  <c r="AV49" i="8"/>
  <c r="AV8" i="39" s="1"/>
  <c r="AV51" i="8"/>
  <c r="AV52" i="8" s="1"/>
  <c r="AU45" i="26"/>
  <c r="AW25" i="8"/>
  <c r="AW17" i="13" s="1"/>
  <c r="AU70" i="13"/>
  <c r="AU76" i="13" s="1"/>
  <c r="AU79" i="13" s="1"/>
  <c r="AW33" i="8" l="1"/>
  <c r="AW34" i="8" s="1"/>
  <c r="AW37" i="8" s="1"/>
  <c r="AW18" i="11" s="1"/>
  <c r="AW52" i="11" s="1"/>
  <c r="AW53" i="11" s="1"/>
  <c r="AW54" i="11" s="1"/>
  <c r="AW26" i="8"/>
  <c r="AW29" i="8" s="1"/>
  <c r="AV20" i="39"/>
  <c r="AV10" i="12"/>
  <c r="AV61" i="40"/>
  <c r="AV45" i="40" a="1"/>
  <c r="AV45" i="40" s="1"/>
  <c r="AU80" i="13"/>
  <c r="AU48" i="26"/>
  <c r="AU49" i="26" s="1"/>
  <c r="AU52" i="26" s="1"/>
  <c r="AU53" i="26" s="1"/>
  <c r="AW16" i="13" l="1"/>
  <c r="AW57" i="13" s="1"/>
  <c r="AW36" i="13" s="1"/>
  <c r="AX32" i="8"/>
  <c r="AW40" i="8"/>
  <c r="AV12" i="12"/>
  <c r="AU82" i="13"/>
  <c r="AU83" i="13" s="1"/>
  <c r="AU91" i="13"/>
  <c r="AU92" i="13" s="1"/>
  <c r="AU45" i="13" s="1"/>
  <c r="AW46" i="8"/>
  <c r="AW48" i="8" s="1"/>
  <c r="AX24" i="8"/>
  <c r="AW19" i="13"/>
  <c r="AU50" i="26"/>
  <c r="AX25" i="8" l="1"/>
  <c r="AX17" i="13" s="1"/>
  <c r="AW89" i="13"/>
  <c r="AW44" i="13" s="1"/>
  <c r="AW68" i="13"/>
  <c r="AW73" i="13" s="1"/>
  <c r="AV22" i="13"/>
  <c r="AV70" i="13" s="1"/>
  <c r="AV11" i="26"/>
  <c r="AU86" i="13"/>
  <c r="AU46" i="13"/>
  <c r="AW49" i="8"/>
  <c r="AW8" i="39" s="1"/>
  <c r="AW51" i="8"/>
  <c r="AW52" i="8" s="1"/>
  <c r="AX26" i="8" l="1"/>
  <c r="AX16" i="13" s="1"/>
  <c r="AX57" i="13" s="1"/>
  <c r="AX36" i="13" s="1"/>
  <c r="AW20" i="39"/>
  <c r="AU47" i="13"/>
  <c r="AU14" i="12"/>
  <c r="AV45" i="26"/>
  <c r="AW10" i="12"/>
  <c r="AW61" i="40"/>
  <c r="AW45" i="40" a="1"/>
  <c r="AW45" i="40" s="1"/>
  <c r="AX33" i="8"/>
  <c r="AX34" i="8" s="1"/>
  <c r="AX37" i="8" s="1"/>
  <c r="AX29" i="8" l="1"/>
  <c r="AX46" i="8" s="1"/>
  <c r="AX48" i="8" s="1"/>
  <c r="AU20" i="12"/>
  <c r="AW12" i="12"/>
  <c r="AX18" i="11"/>
  <c r="AX52" i="11" s="1"/>
  <c r="AX53" i="11" s="1"/>
  <c r="AX54" i="11" s="1"/>
  <c r="AY32" i="8"/>
  <c r="AX40" i="8"/>
  <c r="AV48" i="26"/>
  <c r="AV49" i="26" s="1"/>
  <c r="AV52" i="26" s="1"/>
  <c r="AV53" i="26" s="1"/>
  <c r="AY24" i="8" l="1"/>
  <c r="AY25" i="8" s="1"/>
  <c r="AY17" i="13" s="1"/>
  <c r="AX19" i="13"/>
  <c r="AX89" i="13" s="1"/>
  <c r="AX44" i="13" s="1"/>
  <c r="AX49" i="8"/>
  <c r="AX51" i="8"/>
  <c r="AX52" i="8" s="1"/>
  <c r="AX10" i="12" s="1"/>
  <c r="AU8" i="11"/>
  <c r="AU7" i="13"/>
  <c r="AW22" i="13"/>
  <c r="AW70" i="13" s="1"/>
  <c r="AW11" i="26"/>
  <c r="AV50" i="26"/>
  <c r="AW54" i="26" s="1"/>
  <c r="AX68" i="13"/>
  <c r="AX73" i="13" s="1"/>
  <c r="D8" i="11" a="1"/>
  <c r="D7" i="13" a="1"/>
  <c r="AY26" i="8" l="1"/>
  <c r="AY29" i="8" s="1"/>
  <c r="AY33" i="8"/>
  <c r="AY34" i="8" s="1"/>
  <c r="AY37" i="8" s="1"/>
  <c r="AY40" i="8" s="1"/>
  <c r="D8" i="11"/>
  <c r="D7" i="13"/>
  <c r="AX12" i="12"/>
  <c r="AX8" i="39"/>
  <c r="AX45" i="40" a="1"/>
  <c r="AX45" i="40" s="1"/>
  <c r="AW45" i="26"/>
  <c r="AU31" i="11"/>
  <c r="AU38" i="13"/>
  <c r="AU48" i="13" s="1"/>
  <c r="AX61" i="40"/>
  <c r="AY16" i="13" l="1"/>
  <c r="AY57" i="13" s="1"/>
  <c r="AY36" i="13" s="1"/>
  <c r="AY18" i="11"/>
  <c r="AY52" i="11" s="1"/>
  <c r="AY53" i="11" s="1"/>
  <c r="AY54" i="11" s="1"/>
  <c r="AX20" i="39"/>
  <c r="AW48" i="26"/>
  <c r="AW49" i="26" s="1"/>
  <c r="AW52" i="26" s="1"/>
  <c r="AW53" i="26" s="1"/>
  <c r="AX11" i="26"/>
  <c r="AX22" i="13"/>
  <c r="AX70" i="13" s="1"/>
  <c r="AU96" i="13"/>
  <c r="AY46" i="8"/>
  <c r="AY48" i="8" s="1"/>
  <c r="AY19" i="13"/>
  <c r="AX45" i="26" l="1"/>
  <c r="AY49" i="8"/>
  <c r="AY8" i="39" s="1"/>
  <c r="AY51" i="8"/>
  <c r="AY52" i="8" s="1"/>
  <c r="AW50" i="26"/>
  <c r="AX54" i="26" s="1"/>
  <c r="AY89" i="13"/>
  <c r="AY44" i="13" s="1"/>
  <c r="AY68" i="13"/>
  <c r="AY73" i="13" s="1"/>
  <c r="AU100" i="13"/>
  <c r="AU98" i="13"/>
  <c r="AU99" i="13" s="1"/>
  <c r="AY61" i="40" l="1"/>
  <c r="AY20" i="39"/>
  <c r="AY10" i="12"/>
  <c r="AY45" i="40" a="1"/>
  <c r="AY45" i="40" s="1"/>
  <c r="AU101" i="13"/>
  <c r="AU104" i="13" s="1"/>
  <c r="AU102" i="13"/>
  <c r="AX48" i="26"/>
  <c r="AX49" i="26" s="1"/>
  <c r="AX52" i="26" s="1"/>
  <c r="AX53" i="26" s="1"/>
  <c r="AX50" i="26" l="1"/>
  <c r="AY54" i="26" s="1"/>
  <c r="AU105" i="13"/>
  <c r="AU49" i="13" s="1"/>
  <c r="I28" i="39"/>
  <c r="I21" i="39"/>
  <c r="AY12" i="12"/>
  <c r="AU50" i="13"/>
  <c r="AU12" i="11"/>
  <c r="D12" i="11" a="1"/>
  <c r="AU11" i="11" l="1"/>
  <c r="AU34" i="11" s="1"/>
  <c r="D12" i="11"/>
  <c r="I60" i="39"/>
  <c r="AU50" i="39"/>
  <c r="AV50" i="39"/>
  <c r="AW50" i="39"/>
  <c r="AX50" i="39"/>
  <c r="AU35" i="11"/>
  <c r="AY50" i="39"/>
  <c r="AY11" i="26"/>
  <c r="AY22" i="13"/>
  <c r="AY70" i="13" s="1"/>
  <c r="I32" i="39"/>
  <c r="I40" i="39"/>
  <c r="D11" i="11" a="1"/>
  <c r="AU56" i="11" l="1"/>
  <c r="AU58" i="11" s="1"/>
  <c r="AU59" i="11" s="1"/>
  <c r="AU63" i="11" s="1"/>
  <c r="D11" i="11"/>
  <c r="I43" i="39"/>
  <c r="I42" i="39"/>
  <c r="I34" i="39"/>
  <c r="I35" i="39"/>
  <c r="AY45" i="26"/>
  <c r="AU38" i="11"/>
  <c r="I45" i="39" l="1"/>
  <c r="I37" i="39"/>
  <c r="AU49" i="11"/>
  <c r="AU48" i="11"/>
  <c r="AY48" i="26"/>
  <c r="AY49" i="26" s="1"/>
  <c r="AY52" i="26" s="1"/>
  <c r="AY53" i="26" s="1"/>
  <c r="I48" i="39" l="1"/>
  <c r="AU52" i="39" s="1"/>
  <c r="AU57" i="39" s="1"/>
  <c r="AY50" i="26"/>
  <c r="AU71" i="11"/>
  <c r="AU64" i="11"/>
  <c r="AU67" i="11" s="1"/>
  <c r="AU77" i="11"/>
  <c r="AW52" i="39" l="1"/>
  <c r="AX52" i="39"/>
  <c r="AY52" i="39"/>
  <c r="AY57" i="39" s="1"/>
  <c r="AY58" i="39" s="1"/>
  <c r="AY49" i="40" s="1" a="1"/>
  <c r="AY49" i="40" s="1"/>
  <c r="AV52" i="39"/>
  <c r="AU65" i="11"/>
  <c r="AV62" i="11" s="1"/>
  <c r="AU73" i="11"/>
  <c r="AU72" i="11"/>
  <c r="AU58" i="39"/>
  <c r="AU49" i="40" s="1" a="1"/>
  <c r="AU49" i="40" s="1"/>
  <c r="AV57" i="39" l="1"/>
  <c r="AX57" i="39"/>
  <c r="AX58" i="39" s="1"/>
  <c r="AX49" i="40" s="1" a="1"/>
  <c r="AX49" i="40" s="1"/>
  <c r="AW57" i="39"/>
  <c r="AW58" i="39" s="1"/>
  <c r="AU78" i="11"/>
  <c r="AU82" i="11" s="1"/>
  <c r="AU83" i="11" s="1"/>
  <c r="AU84" i="11" s="1"/>
  <c r="AU87" i="11" s="1"/>
  <c r="AW49" i="40" l="1" a="1"/>
  <c r="AW49" i="40" s="1"/>
  <c r="AV58" i="39"/>
  <c r="AV49" i="40" s="1" a="1"/>
  <c r="AV49" i="40" s="1"/>
  <c r="I61" i="39"/>
  <c r="AU79" i="11"/>
  <c r="AV76" i="11" s="1"/>
  <c r="AU21" i="12"/>
  <c r="AU14" i="13"/>
  <c r="AU91" i="11"/>
  <c r="D14" i="13" a="1"/>
  <c r="I62" i="39" l="1"/>
  <c r="I49" i="40" s="1" a="1"/>
  <c r="I49" i="40" s="1"/>
  <c r="AU24" i="12"/>
  <c r="D14" i="13"/>
  <c r="AU95" i="11"/>
  <c r="AU101" i="11"/>
  <c r="AU92" i="11"/>
  <c r="AU51" i="13"/>
  <c r="AU20" i="26" l="1"/>
  <c r="AU69" i="26" s="1"/>
  <c r="AU27" i="12"/>
  <c r="AU50" i="40" s="1" a="1"/>
  <c r="AU50" i="40" s="1"/>
  <c r="AU96" i="11"/>
  <c r="AU97" i="11"/>
  <c r="D20" i="26" a="1"/>
  <c r="AU65" i="40" l="1"/>
  <c r="D20" i="26"/>
  <c r="AU102" i="11"/>
  <c r="AU120" i="26"/>
  <c r="AU73" i="26"/>
  <c r="AU124" i="26" l="1"/>
  <c r="AU34" i="26"/>
  <c r="AU106" i="11"/>
  <c r="AU107" i="11" s="1"/>
  <c r="AU103" i="11"/>
  <c r="AV100" i="11" s="1"/>
  <c r="AU15" i="13" l="1"/>
  <c r="AU64" i="40"/>
  <c r="AU48" i="40" a="1"/>
  <c r="AU48" i="40" s="1"/>
  <c r="AU58" i="26"/>
  <c r="AU59" i="26" s="1"/>
  <c r="AU37" i="26"/>
  <c r="AU38" i="26" s="1"/>
  <c r="D15" i="13" a="1"/>
  <c r="AU60" i="26" l="1"/>
  <c r="D15" i="13"/>
  <c r="AU39" i="26"/>
  <c r="AV41" i="26" s="1"/>
  <c r="AV71" i="26" s="1"/>
  <c r="AV122" i="26" s="1"/>
  <c r="AU62" i="26"/>
  <c r="AU63" i="26" s="1"/>
  <c r="AU52" i="13"/>
  <c r="AU53" i="13" s="1"/>
  <c r="AU51" i="40" l="1" a="1"/>
  <c r="AU51" i="40" s="1"/>
  <c r="AU66" i="40"/>
  <c r="AU84" i="13"/>
  <c r="AV35" i="13"/>
  <c r="AV58" i="13" l="1"/>
  <c r="AV37" i="13"/>
  <c r="AU63" i="40"/>
  <c r="AU47" i="40" a="1"/>
  <c r="AU47" i="40" s="1"/>
  <c r="AV72" i="13" l="1"/>
  <c r="AV74" i="13" l="1"/>
  <c r="AV77" i="13" s="1"/>
  <c r="AV78" i="13" s="1"/>
  <c r="AV76" i="13"/>
  <c r="AV79" i="13" l="1"/>
  <c r="AV80" i="13" l="1"/>
  <c r="AV82" i="13" l="1"/>
  <c r="AV83" i="13" s="1"/>
  <c r="AV91" i="13"/>
  <c r="AV92" i="13" s="1"/>
  <c r="AV45" i="13" s="1"/>
  <c r="AV46" i="13" l="1"/>
  <c r="AV86" i="13"/>
  <c r="AV14" i="12" l="1"/>
  <c r="AV47" i="13"/>
  <c r="AV20" i="12" l="1"/>
  <c r="AV7" i="13" l="1"/>
  <c r="AV8" i="11"/>
  <c r="AV31" i="11" l="1"/>
  <c r="AV38" i="13"/>
  <c r="AV48" i="13" s="1"/>
  <c r="AV96" i="13" l="1"/>
  <c r="AV98" i="13" l="1"/>
  <c r="AV99" i="13" s="1"/>
  <c r="AV100" i="13"/>
  <c r="AV101" i="13" l="1"/>
  <c r="AV104" i="13" s="1"/>
  <c r="AV102" i="13"/>
  <c r="AV105" i="13" l="1"/>
  <c r="AV11" i="11" s="1"/>
  <c r="AV50" i="13"/>
  <c r="AV12" i="11"/>
  <c r="AV35" i="11" s="1"/>
  <c r="AV49" i="13" l="1"/>
  <c r="AV56" i="11"/>
  <c r="AV58" i="11" s="1"/>
  <c r="AV59" i="11" s="1"/>
  <c r="AV63" i="11" s="1"/>
  <c r="AV34" i="11"/>
  <c r="AV38" i="11" s="1"/>
  <c r="AV49" i="11" l="1"/>
  <c r="AV48" i="11"/>
  <c r="AV71" i="11" l="1"/>
  <c r="AV77" i="11"/>
  <c r="AV64" i="11"/>
  <c r="AV65" i="11" l="1"/>
  <c r="AV67" i="11"/>
  <c r="AV72" i="11"/>
  <c r="AV73" i="11"/>
  <c r="AV78" i="11" l="1"/>
  <c r="AV79" i="11" s="1"/>
  <c r="AW76" i="11" s="1"/>
  <c r="AW62" i="11"/>
  <c r="AV82" i="11" l="1"/>
  <c r="AV83" i="11" l="1"/>
  <c r="AV84" i="11" s="1"/>
  <c r="AV87" i="11" l="1"/>
  <c r="AV21" i="12"/>
  <c r="AV24" i="12" l="1"/>
  <c r="AV14" i="13"/>
  <c r="AV91" i="11"/>
  <c r="AV101" i="11" l="1"/>
  <c r="AV95" i="11"/>
  <c r="AV92" i="11"/>
  <c r="AV51" i="13"/>
  <c r="AV20" i="26"/>
  <c r="AV27" i="12"/>
  <c r="AV96" i="11" l="1"/>
  <c r="AV97" i="11"/>
  <c r="AV69" i="26"/>
  <c r="AV50" i="40" a="1"/>
  <c r="AV50" i="40" s="1"/>
  <c r="AV65" i="40"/>
  <c r="AV120" i="26" l="1"/>
  <c r="AV73" i="26"/>
  <c r="AV102" i="11"/>
  <c r="AV124" i="26" l="1"/>
  <c r="AV34" i="26"/>
  <c r="AV103" i="11"/>
  <c r="AW100" i="11" s="1"/>
  <c r="AV106" i="11"/>
  <c r="AV107" i="11" s="1"/>
  <c r="AV15" i="13" l="1"/>
  <c r="AV64" i="40"/>
  <c r="AV48" i="40" a="1"/>
  <c r="AV48" i="40" s="1"/>
  <c r="AV37" i="26"/>
  <c r="AV38" i="26" s="1"/>
  <c r="AV58" i="26"/>
  <c r="AV59" i="26" s="1"/>
  <c r="AV62" i="26" l="1"/>
  <c r="AV63" i="26" s="1"/>
  <c r="AV60" i="26"/>
  <c r="AV39" i="26"/>
  <c r="AV52" i="13"/>
  <c r="AV53" i="13" s="1"/>
  <c r="AV51" i="40" l="1" a="1"/>
  <c r="AV51" i="40" s="1"/>
  <c r="AW64" i="26"/>
  <c r="AW66" i="26" s="1"/>
  <c r="AW72" i="26" s="1"/>
  <c r="AV84" i="13"/>
  <c r="AV63" i="40" s="1"/>
  <c r="AW35" i="13"/>
  <c r="AW41" i="26"/>
  <c r="AW71" i="26" s="1"/>
  <c r="AW122" i="26" s="1"/>
  <c r="AV66" i="40"/>
  <c r="AV47" i="40" l="1" a="1"/>
  <c r="AV47" i="40" s="1"/>
  <c r="AW58" i="13"/>
  <c r="AW37" i="13"/>
  <c r="AW72" i="13" l="1"/>
  <c r="AW74" i="13" l="1"/>
  <c r="AW77" i="13" s="1"/>
  <c r="AW78" i="13" s="1"/>
  <c r="AW76" i="13"/>
  <c r="AW79" i="13" l="1"/>
  <c r="AW80" i="13" l="1"/>
  <c r="AW91" i="13" l="1"/>
  <c r="AW92" i="13" s="1"/>
  <c r="AW45" i="13" s="1"/>
  <c r="AW82" i="13"/>
  <c r="AW83" i="13" s="1"/>
  <c r="AW46" i="13" l="1"/>
  <c r="AW86" i="13"/>
  <c r="AW47" i="13" l="1"/>
  <c r="AW14" i="12"/>
  <c r="AW20" i="12" l="1"/>
  <c r="AW8" i="11" l="1"/>
  <c r="AW7" i="13"/>
  <c r="AW31" i="11" l="1"/>
  <c r="AW38" i="13"/>
  <c r="AW48" i="13" s="1"/>
  <c r="AW96" i="13" l="1"/>
  <c r="AW100" i="13" l="1"/>
  <c r="AW98" i="13"/>
  <c r="AW99" i="13" s="1"/>
  <c r="AW102" i="13" l="1"/>
  <c r="AW101" i="13"/>
  <c r="AW104" i="13" s="1"/>
  <c r="AW105" i="13" l="1"/>
  <c r="AW49" i="13" s="1"/>
  <c r="AW12" i="11"/>
  <c r="AW35" i="11" s="1"/>
  <c r="AW50" i="13"/>
  <c r="AW11" i="11" l="1"/>
  <c r="AW34" i="11" s="1"/>
  <c r="AW38" i="11" s="1"/>
  <c r="AW56" i="11" l="1"/>
  <c r="AW58" i="11" s="1"/>
  <c r="AW59" i="11" s="1"/>
  <c r="AW63" i="11" s="1"/>
  <c r="AW48" i="11"/>
  <c r="AW49" i="11"/>
  <c r="AW64" i="11" l="1"/>
  <c r="AW67" i="11" s="1"/>
  <c r="AW77" i="11"/>
  <c r="AW71" i="11"/>
  <c r="AW65" i="11" l="1"/>
  <c r="AW72" i="11"/>
  <c r="AW73" i="11"/>
  <c r="AW78" i="11" l="1"/>
  <c r="AX62" i="11"/>
  <c r="AW82" i="11" l="1"/>
  <c r="AW83" i="11" s="1"/>
  <c r="AW84" i="11" s="1"/>
  <c r="AW79" i="11"/>
  <c r="AX76" i="11" l="1"/>
  <c r="AW21" i="12"/>
  <c r="AW87" i="11"/>
  <c r="AW14" i="13" l="1"/>
  <c r="AW91" i="11"/>
  <c r="AW24" i="12"/>
  <c r="AW27" i="12" l="1"/>
  <c r="AW20" i="26"/>
  <c r="AW101" i="11"/>
  <c r="AW95" i="11"/>
  <c r="AW92" i="11"/>
  <c r="AW51" i="13"/>
  <c r="AW109" i="26" l="1"/>
  <c r="AW115" i="26" s="1"/>
  <c r="AW116" i="26" s="1"/>
  <c r="AW99" i="26" s="1"/>
  <c r="AW88" i="26"/>
  <c r="AW94" i="26" s="1"/>
  <c r="AW69" i="26"/>
  <c r="AW97" i="11"/>
  <c r="AW96" i="11"/>
  <c r="AW50" i="40" a="1"/>
  <c r="AW50" i="40" s="1"/>
  <c r="AW65" i="40"/>
  <c r="AW120" i="26" l="1"/>
  <c r="AW73" i="26"/>
  <c r="AW95" i="26"/>
  <c r="AW123" i="26"/>
  <c r="AW102" i="11"/>
  <c r="AW34" i="26" l="1"/>
  <c r="AW124" i="26"/>
  <c r="AW106" i="11"/>
  <c r="AW107" i="11" s="1"/>
  <c r="AW103" i="11"/>
  <c r="AX100" i="11" s="1"/>
  <c r="AW78" i="26"/>
  <c r="AW81" i="26" l="1"/>
  <c r="AW82" i="26" s="1"/>
  <c r="AW83" i="26" s="1"/>
  <c r="AX85" i="26" s="1"/>
  <c r="AX93" i="26" s="1"/>
  <c r="AW102" i="26"/>
  <c r="AW103" i="26" s="1"/>
  <c r="AW104" i="26" s="1"/>
  <c r="AX106" i="26" s="1"/>
  <c r="AX114" i="26" s="1"/>
  <c r="AW15" i="13"/>
  <c r="AW48" i="40" a="1"/>
  <c r="AW48" i="40" s="1"/>
  <c r="AW64" i="40"/>
  <c r="AW58" i="26"/>
  <c r="AW59" i="26" s="1"/>
  <c r="AW37" i="26"/>
  <c r="AW38" i="26" s="1"/>
  <c r="AW60" i="26" l="1"/>
  <c r="AW52" i="13"/>
  <c r="AW53" i="13" s="1"/>
  <c r="AW62" i="26"/>
  <c r="AW63" i="26" s="1"/>
  <c r="AW39" i="26"/>
  <c r="AX64" i="26" l="1"/>
  <c r="AX66" i="26" s="1"/>
  <c r="AX72" i="26" s="1"/>
  <c r="AX41" i="26"/>
  <c r="AX71" i="26" s="1"/>
  <c r="AX122" i="26" s="1"/>
  <c r="AW66" i="40"/>
  <c r="AW51" i="40" a="1"/>
  <c r="AW51" i="40" s="1"/>
  <c r="AW84" i="13"/>
  <c r="AX35" i="13"/>
  <c r="AX58" i="13" l="1"/>
  <c r="AX37" i="13"/>
  <c r="AW47" i="40" a="1"/>
  <c r="AW47" i="40" s="1"/>
  <c r="AW63" i="40"/>
  <c r="AX72" i="13" l="1"/>
  <c r="AX74" i="13" l="1"/>
  <c r="AX77" i="13" s="1"/>
  <c r="AX78" i="13" s="1"/>
  <c r="AX76" i="13"/>
  <c r="AX79" i="13" l="1"/>
  <c r="AX80" i="13" l="1"/>
  <c r="AX91" i="13" l="1"/>
  <c r="AX92" i="13" s="1"/>
  <c r="AX45" i="13" s="1"/>
  <c r="AX82" i="13"/>
  <c r="AX83" i="13" s="1"/>
  <c r="AX46" i="13" l="1"/>
  <c r="AX86" i="13"/>
  <c r="AX14" i="12" l="1"/>
  <c r="AX47" i="13"/>
  <c r="AX20" i="12" l="1"/>
  <c r="AX7" i="13" l="1"/>
  <c r="AX8" i="11"/>
  <c r="AX31" i="11" l="1"/>
  <c r="AX38" i="13"/>
  <c r="AX48" i="13" s="1"/>
  <c r="AX96" i="13" l="1"/>
  <c r="AX100" i="13" l="1"/>
  <c r="AX98" i="13"/>
  <c r="AX99" i="13" s="1"/>
  <c r="AX102" i="13" l="1"/>
  <c r="AX101" i="13"/>
  <c r="AX104" i="13" s="1"/>
  <c r="AX105" i="13" l="1"/>
  <c r="AX49" i="13" s="1"/>
  <c r="AX12" i="11"/>
  <c r="AX35" i="11" s="1"/>
  <c r="AX50" i="13"/>
  <c r="AX11" i="11" l="1"/>
  <c r="AX56" i="11" s="1"/>
  <c r="AX58" i="11" s="1"/>
  <c r="AX59" i="11" s="1"/>
  <c r="AX63" i="11" s="1"/>
  <c r="AX34" i="11" l="1"/>
  <c r="AX38" i="11" s="1"/>
  <c r="AX48" i="11" s="1"/>
  <c r="AX49" i="11" l="1"/>
  <c r="AX71" i="11"/>
  <c r="AX77" i="11"/>
  <c r="AX64" i="11"/>
  <c r="AX67" i="11" s="1"/>
  <c r="AX65" i="11" l="1"/>
  <c r="AX72" i="11"/>
  <c r="AX73" i="11"/>
  <c r="AX78" i="11" l="1"/>
  <c r="AY62" i="11"/>
  <c r="AX82" i="11" l="1"/>
  <c r="AX83" i="11" s="1"/>
  <c r="AX84" i="11" s="1"/>
  <c r="AX79" i="11"/>
  <c r="AX87" i="11" l="1"/>
  <c r="AX21" i="12"/>
  <c r="AY76" i="11"/>
  <c r="AX24" i="12" l="1"/>
  <c r="AX14" i="13"/>
  <c r="AX91" i="11"/>
  <c r="AX101" i="11" l="1"/>
  <c r="AX95" i="11"/>
  <c r="AX92" i="11"/>
  <c r="AX27" i="12"/>
  <c r="AX20" i="26"/>
  <c r="AX51" i="13"/>
  <c r="AX88" i="26" l="1"/>
  <c r="AX94" i="26" s="1"/>
  <c r="AX69" i="26"/>
  <c r="AX109" i="26"/>
  <c r="AX115" i="26" s="1"/>
  <c r="AX116" i="26" s="1"/>
  <c r="AX99" i="26" s="1"/>
  <c r="AX50" i="40" a="1"/>
  <c r="AX50" i="40" s="1"/>
  <c r="AX65" i="40"/>
  <c r="AX97" i="11"/>
  <c r="AX96" i="11"/>
  <c r="AX102" i="11" l="1"/>
  <c r="AX73" i="26"/>
  <c r="AX120" i="26"/>
  <c r="AX95" i="26"/>
  <c r="AX123" i="26"/>
  <c r="AX103" i="11" l="1"/>
  <c r="AX106" i="11"/>
  <c r="AX107" i="11" s="1"/>
  <c r="AX15" i="13" s="1"/>
  <c r="AX52" i="13" s="1"/>
  <c r="AX53" i="13" s="1"/>
  <c r="AX78" i="26"/>
  <c r="AX124" i="26"/>
  <c r="AX34" i="26"/>
  <c r="AY100" i="11" l="1"/>
  <c r="AX64" i="40"/>
  <c r="AX48" i="40" a="1"/>
  <c r="AX48" i="40" s="1"/>
  <c r="AY35" i="13"/>
  <c r="AX84" i="13"/>
  <c r="AX81" i="26"/>
  <c r="AX82" i="26" s="1"/>
  <c r="AX83" i="26" s="1"/>
  <c r="AY85" i="26" s="1"/>
  <c r="AY93" i="26" s="1"/>
  <c r="AX37" i="26"/>
  <c r="AX38" i="26" s="1"/>
  <c r="AX58" i="26"/>
  <c r="AX59" i="26" s="1"/>
  <c r="AX102" i="26"/>
  <c r="AX103" i="26" s="1"/>
  <c r="AX104" i="26" s="1"/>
  <c r="AY106" i="26" s="1"/>
  <c r="AY114" i="26" s="1"/>
  <c r="AX62" i="26" l="1"/>
  <c r="AX63" i="26" s="1"/>
  <c r="AX60" i="26"/>
  <c r="AX39" i="26"/>
  <c r="AX63" i="40"/>
  <c r="AX47" i="40" a="1"/>
  <c r="AX47" i="40" s="1"/>
  <c r="AY58" i="13"/>
  <c r="AY37" i="13"/>
  <c r="AX66" i="40" l="1"/>
  <c r="AY64" i="26"/>
  <c r="AY66" i="26" s="1"/>
  <c r="AY72" i="26" s="1"/>
  <c r="AY41" i="26"/>
  <c r="AY71" i="26" s="1"/>
  <c r="AY122" i="26" s="1"/>
  <c r="AX51" i="40" a="1"/>
  <c r="AX51" i="40" s="1"/>
  <c r="AY72" i="13"/>
  <c r="AY74" i="13" l="1"/>
  <c r="AY77" i="13" s="1"/>
  <c r="AY78" i="13" s="1"/>
  <c r="AY76" i="13"/>
  <c r="AY79" i="13" l="1"/>
  <c r="AY80" i="13" l="1"/>
  <c r="AY82" i="13" l="1"/>
  <c r="AY83" i="13" s="1"/>
  <c r="AY91" i="13"/>
  <c r="AY92" i="13" s="1"/>
  <c r="AY45" i="13" s="1"/>
  <c r="AY46" i="13" l="1"/>
  <c r="AY86" i="13"/>
  <c r="AY47" i="13" l="1"/>
  <c r="AY14" i="12"/>
  <c r="AY20" i="12" l="1"/>
  <c r="AY7" i="13" l="1"/>
  <c r="AY8" i="11"/>
  <c r="AY31" i="11" l="1"/>
  <c r="AY38" i="13"/>
  <c r="AY48" i="13" s="1"/>
  <c r="AY96" i="13" l="1"/>
  <c r="AY98" i="13" l="1"/>
  <c r="AY99" i="13" s="1"/>
  <c r="AY100" i="13"/>
  <c r="AY101" i="13" l="1"/>
  <c r="AY104" i="13" s="1"/>
  <c r="AY102" i="13"/>
  <c r="AY105" i="13" l="1"/>
  <c r="AY49" i="13" s="1"/>
  <c r="AY12" i="11"/>
  <c r="AY35" i="11" s="1"/>
  <c r="AY50" i="13"/>
  <c r="AY11" i="11" l="1"/>
  <c r="AY56" i="11" s="1"/>
  <c r="AY58" i="11" s="1"/>
  <c r="AY59" i="11" s="1"/>
  <c r="AY63" i="11" s="1"/>
  <c r="AY34" i="11" l="1"/>
  <c r="AY38" i="11" s="1"/>
  <c r="AY49" i="11" s="1"/>
  <c r="AY48" i="11" l="1"/>
  <c r="AY77" i="11" s="1"/>
  <c r="AY71" i="11" l="1"/>
  <c r="AY72" i="11" s="1"/>
  <c r="AY64" i="11"/>
  <c r="AY67" i="11" s="1"/>
  <c r="AY73" i="11" l="1"/>
  <c r="AY78" i="11" s="1"/>
  <c r="AY65" i="11"/>
  <c r="AY79" i="11" l="1"/>
  <c r="AY82" i="11"/>
  <c r="AY83" i="11" s="1"/>
  <c r="AY84" i="11" s="1"/>
  <c r="AY87" i="11" l="1"/>
  <c r="AY21" i="12"/>
  <c r="AY24" i="12" l="1"/>
  <c r="AY14" i="13"/>
  <c r="AY91" i="11"/>
  <c r="AY27" i="12" l="1"/>
  <c r="AY20" i="26"/>
  <c r="AY95" i="11"/>
  <c r="AY101" i="11"/>
  <c r="AY92" i="11"/>
  <c r="AY51" i="13"/>
  <c r="AY97" i="11" l="1"/>
  <c r="AY96" i="11"/>
  <c r="AY109" i="26"/>
  <c r="AY115" i="26" s="1"/>
  <c r="AY116" i="26" s="1"/>
  <c r="AY99" i="26" s="1"/>
  <c r="AY88" i="26"/>
  <c r="AY94" i="26" s="1"/>
  <c r="AY69" i="26"/>
  <c r="AY65" i="40"/>
  <c r="AY50" i="40" a="1"/>
  <c r="AY50" i="40" s="1"/>
  <c r="AY102" i="11" l="1"/>
  <c r="AY106" i="11" s="1"/>
  <c r="AY107" i="11" s="1"/>
  <c r="AY15" i="13" s="1"/>
  <c r="AY73" i="26"/>
  <c r="AY120" i="26"/>
  <c r="AY95" i="26"/>
  <c r="AY123" i="26"/>
  <c r="AY103" i="11" l="1"/>
  <c r="AY64" i="40" s="1"/>
  <c r="AY124" i="26"/>
  <c r="AY34" i="26"/>
  <c r="AY78" i="26"/>
  <c r="AY52" i="13"/>
  <c r="AY53" i="13" s="1"/>
  <c r="AY84" i="13" s="1"/>
  <c r="AY48" i="40" l="1" a="1"/>
  <c r="AY48" i="40" s="1"/>
  <c r="AY47" i="40" a="1"/>
  <c r="AY47" i="40" s="1"/>
  <c r="AY63" i="40"/>
  <c r="AY81" i="26"/>
  <c r="AY82" i="26" s="1"/>
  <c r="AY83" i="26" s="1"/>
  <c r="AY102" i="26"/>
  <c r="AY103" i="26" s="1"/>
  <c r="AY104" i="26" s="1"/>
  <c r="AY37" i="26"/>
  <c r="AY38" i="26" s="1"/>
  <c r="AY58" i="26"/>
  <c r="AY59" i="26" s="1"/>
  <c r="AY60" i="26" l="1"/>
  <c r="AY62" i="26"/>
  <c r="AY63" i="26" s="1"/>
  <c r="AY39" i="26"/>
  <c r="AY51" i="40" l="1" a="1"/>
  <c r="AY51" i="40" s="1"/>
  <c r="I16" i="40" s="1"/>
  <c r="AY66" i="40"/>
  <c r="I17" i="40" s="1"/>
  <c r="I7" i="40" l="1"/>
  <c r="H1" i="12" s="1"/>
  <c r="H1" i="36" l="1"/>
  <c r="H1" i="35"/>
  <c r="H1" i="13"/>
  <c r="H1" i="25"/>
  <c r="H1" i="40"/>
  <c r="H1" i="8"/>
  <c r="H1" i="2"/>
  <c r="H1" i="4"/>
  <c r="H1" i="11"/>
  <c r="H1" i="26"/>
  <c r="H1" i="15"/>
  <c r="H1" i="27"/>
  <c r="H1" i="9"/>
  <c r="H1" i="14"/>
  <c r="H1" i="39"/>
  <c r="H1"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<sst xmlns="http://schemas.openxmlformats.org/spreadsheetml/2006/main" count="6239" uniqueCount="963">
  <si>
    <t>Input</t>
  </si>
  <si>
    <t>Parameter</t>
  </si>
  <si>
    <t>Licence condition</t>
  </si>
  <si>
    <t>Units</t>
  </si>
  <si>
    <t>Term</t>
  </si>
  <si>
    <t>Constant</t>
  </si>
  <si>
    <t>Annual values</t>
  </si>
  <si>
    <t>PCFM year ending</t>
  </si>
  <si>
    <t>Variable inputs</t>
  </si>
  <si>
    <t>Actual totex</t>
  </si>
  <si>
    <t>Capitalisation rate 1</t>
  </si>
  <si>
    <t>Actual load related capex</t>
  </si>
  <si>
    <t>ALC</t>
  </si>
  <si>
    <t>&gt;</t>
  </si>
  <si>
    <t>Actual other capex</t>
  </si>
  <si>
    <t>AOC</t>
  </si>
  <si>
    <t>Actual business support (opex)</t>
  </si>
  <si>
    <t>ACO</t>
  </si>
  <si>
    <t>Actual directs (opex)</t>
  </si>
  <si>
    <t>ADO</t>
  </si>
  <si>
    <t>ARE</t>
  </si>
  <si>
    <t>Capitalisation rate 2</t>
  </si>
  <si>
    <t>ALCU</t>
  </si>
  <si>
    <t>AOCU</t>
  </si>
  <si>
    <t>ACOU</t>
  </si>
  <si>
    <t>ADOU</t>
  </si>
  <si>
    <t>AREU</t>
  </si>
  <si>
    <t>Pass-through costs</t>
  </si>
  <si>
    <t>Shrinkage</t>
  </si>
  <si>
    <t>SpC 6.1</t>
  </si>
  <si>
    <t>SLt</t>
  </si>
  <si>
    <t>Licensed Activity</t>
  </si>
  <si>
    <t>LFt</t>
  </si>
  <si>
    <t>Prescribed Rates</t>
  </si>
  <si>
    <t>RBt</t>
  </si>
  <si>
    <t>Pension Scheme Established Deficit repair</t>
  </si>
  <si>
    <t>EDEt</t>
  </si>
  <si>
    <t>Third Party Damage and Water Ingress Costs</t>
  </si>
  <si>
    <t>TPWIt</t>
  </si>
  <si>
    <t>Gas Illegally Taken</t>
  </si>
  <si>
    <t>TGt</t>
  </si>
  <si>
    <t>NTS Exit Flat Capacity Costs and NTS Exit Flex Capacity Costs</t>
  </si>
  <si>
    <t>ECt</t>
  </si>
  <si>
    <t>CDSP Costs</t>
  </si>
  <si>
    <t>CDSPt</t>
  </si>
  <si>
    <t>Miscellaneous pass-through</t>
  </si>
  <si>
    <t>MPt</t>
  </si>
  <si>
    <t>Stranraer LDZ [SGN Scotland only]</t>
  </si>
  <si>
    <t>SLDZt</t>
  </si>
  <si>
    <t>Incentive revenue</t>
  </si>
  <si>
    <t>Customer Satisfaction Survey ODI</t>
  </si>
  <si>
    <t>SpC 4.2</t>
  </si>
  <si>
    <t>CSt</t>
  </si>
  <si>
    <t>Complaints metric ODI</t>
  </si>
  <si>
    <t>SpC 4.3</t>
  </si>
  <si>
    <t>CMt</t>
  </si>
  <si>
    <t>Unplanned Interruption Mean Duration ODI [NGN, SGN and WWU]</t>
  </si>
  <si>
    <t>SpC 4.5</t>
  </si>
  <si>
    <t>UIPt</t>
  </si>
  <si>
    <t>Unplanned Interruption Mean Duration ODI [Cadent only]</t>
  </si>
  <si>
    <t>SpC 4.4</t>
  </si>
  <si>
    <t>Collaborative streetworks ODI [Cadent Lon &amp; EoE, SGN So only]</t>
  </si>
  <si>
    <t>SpC 4.7</t>
  </si>
  <si>
    <t>CSWt</t>
  </si>
  <si>
    <t>Other revenue allowances</t>
  </si>
  <si>
    <t>SpC 5.2</t>
  </si>
  <si>
    <t>NIAt</t>
  </si>
  <si>
    <t xml:space="preserve">Carry-over Network Innovation Allowance </t>
  </si>
  <si>
    <t>SpC 5.3</t>
  </si>
  <si>
    <t>CNIAt</t>
  </si>
  <si>
    <t xml:space="preserve">Vulnerability and carbon monoxide allowance </t>
  </si>
  <si>
    <t>SpC 5.4</t>
  </si>
  <si>
    <t>VCMt</t>
  </si>
  <si>
    <t>Spare non-TIM 1</t>
  </si>
  <si>
    <t>Spare non-TIM 2</t>
  </si>
  <si>
    <t>Spare non-TIM 3</t>
  </si>
  <si>
    <t>Legacy adjustments</t>
  </si>
  <si>
    <t>scalar</t>
  </si>
  <si>
    <t>Directly remunerated services</t>
  </si>
  <si>
    <t>Pre-vesting directly remunerated services</t>
  </si>
  <si>
    <t>PREDRSt</t>
  </si>
  <si>
    <t>Post-vesting directly remunerated services</t>
  </si>
  <si>
    <t>POSDRSt</t>
  </si>
  <si>
    <t>Other income from directly remenerated services</t>
  </si>
  <si>
    <t>OIDRSt</t>
  </si>
  <si>
    <t>Identified directly remunerated services costs</t>
  </si>
  <si>
    <t>IDRSt</t>
  </si>
  <si>
    <t>Finance inputs</t>
  </si>
  <si>
    <t>Adjusted net debt</t>
  </si>
  <si>
    <t>ANDt</t>
  </si>
  <si>
    <t>Tax deductible net interest cost</t>
  </si>
  <si>
    <t>TDNIt</t>
  </si>
  <si>
    <t>Tax allowance adjustment</t>
  </si>
  <si>
    <t>SpC 2.2</t>
  </si>
  <si>
    <t>TAXAt</t>
  </si>
  <si>
    <t>Tax liability allowance adjustments - driven by tax trigger events</t>
  </si>
  <si>
    <t>TTEt</t>
  </si>
  <si>
    <t>OGPAt</t>
  </si>
  <si>
    <t>OSRPAt</t>
  </si>
  <si>
    <t>General pool capital allowance opening balance brought forward</t>
  </si>
  <si>
    <t>OGPt</t>
  </si>
  <si>
    <t>Special Rate capital allowance opening balance brought forward</t>
  </si>
  <si>
    <t>OSRPt</t>
  </si>
  <si>
    <t>OSBPt</t>
  </si>
  <si>
    <t>ODRPt</t>
  </si>
  <si>
    <t>LODRPt</t>
  </si>
  <si>
    <t>Tax loss brought forward</t>
  </si>
  <si>
    <t>OTLt</t>
  </si>
  <si>
    <t>Totex allocation to "General" tax pool</t>
  </si>
  <si>
    <t>%</t>
  </si>
  <si>
    <t>ARGPt</t>
  </si>
  <si>
    <t>Totex allocation to "Special Rate" tax pool</t>
  </si>
  <si>
    <t>ARSRt</t>
  </si>
  <si>
    <t>Totex allocation to "Structures and Buildings" tax pool</t>
  </si>
  <si>
    <t>ARSBt</t>
  </si>
  <si>
    <t>Totex allocation to "Deferred Revenue" tax pool</t>
  </si>
  <si>
    <t>ARDRt</t>
  </si>
  <si>
    <t>Totex allocation to "Revenue" tax pool</t>
  </si>
  <si>
    <t>ARRt</t>
  </si>
  <si>
    <t>Totex allocation to "Non Qualifying" tax pool</t>
  </si>
  <si>
    <t>ARNQt</t>
  </si>
  <si>
    <t>Variant allowances</t>
  </si>
  <si>
    <t>Variant allowances (including Real Price Effects)</t>
  </si>
  <si>
    <t>SpC 3.25</t>
  </si>
  <si>
    <t>SpC 3.1</t>
  </si>
  <si>
    <t>NARMt</t>
  </si>
  <si>
    <t>SpC 3.10</t>
  </si>
  <si>
    <t>T1MDt</t>
  </si>
  <si>
    <t>SpC 3.11</t>
  </si>
  <si>
    <t>T1SRt</t>
  </si>
  <si>
    <t>SpC 3.30</t>
  </si>
  <si>
    <t>SpC 3.29</t>
  </si>
  <si>
    <t>SpC 3.28</t>
  </si>
  <si>
    <t>SpC 3.12</t>
  </si>
  <si>
    <t>SpC 3.13</t>
  </si>
  <si>
    <t>OTCt</t>
  </si>
  <si>
    <t>SpC 3.31</t>
  </si>
  <si>
    <t>SpC 3.2</t>
  </si>
  <si>
    <t>SpC 3.3</t>
  </si>
  <si>
    <t>SpC 3.4</t>
  </si>
  <si>
    <t>SpC 3.27</t>
  </si>
  <si>
    <t>SpC 3.26</t>
  </si>
  <si>
    <t>SpC 3.5</t>
  </si>
  <si>
    <t>SpC 3.16</t>
  </si>
  <si>
    <t>REt</t>
  </si>
  <si>
    <t>SpC 3.17</t>
  </si>
  <si>
    <t>REPt</t>
  </si>
  <si>
    <t>SpC 3.8</t>
  </si>
  <si>
    <t>CAMt</t>
  </si>
  <si>
    <t>SpC 3.19</t>
  </si>
  <si>
    <t>HPRAt</t>
  </si>
  <si>
    <t>SpC 3.14</t>
  </si>
  <si>
    <t>SpC 3.6</t>
  </si>
  <si>
    <t>SpC 3.23</t>
  </si>
  <si>
    <t>SpC 3.24</t>
  </si>
  <si>
    <t>STWt</t>
  </si>
  <si>
    <t>SpC 3.22</t>
  </si>
  <si>
    <t>NLLRt</t>
  </si>
  <si>
    <t>SpC 3.15</t>
  </si>
  <si>
    <t>DIVt</t>
  </si>
  <si>
    <t>SpC 3.21</t>
  </si>
  <si>
    <t>SpC 3.7</t>
  </si>
  <si>
    <t>SpC 3.9</t>
  </si>
  <si>
    <t>Variant attributes</t>
  </si>
  <si>
    <t>TIM</t>
  </si>
  <si>
    <t>CapRate 1</t>
  </si>
  <si>
    <t>CapRate 2</t>
  </si>
  <si>
    <t>Totex variant allowances allocation percentages</t>
  </si>
  <si>
    <t>Load related capex</t>
  </si>
  <si>
    <t>Non-load related capex - other</t>
  </si>
  <si>
    <t>Business support (opex)</t>
  </si>
  <si>
    <t>Directs opex</t>
  </si>
  <si>
    <t>Repex</t>
  </si>
  <si>
    <t>Fixed Inputs</t>
  </si>
  <si>
    <t>Totex allowance</t>
  </si>
  <si>
    <t>Non-variant allowances</t>
  </si>
  <si>
    <t>Non-variant allowed load related capex</t>
  </si>
  <si>
    <t>Non-variant allowed non-load related capex - other</t>
  </si>
  <si>
    <t>Non-variant allowed business support (opex)</t>
  </si>
  <si>
    <t>Non-variant allowed directs opex</t>
  </si>
  <si>
    <t>Non-variant allowed repex</t>
  </si>
  <si>
    <t>BPIt</t>
  </si>
  <si>
    <t>Notional gearing for "Tax clawback gearing level test"</t>
  </si>
  <si>
    <t>Tax trigger deadband</t>
  </si>
  <si>
    <t>Operational performance and return adjustment</t>
  </si>
  <si>
    <t>SpC 2.3</t>
  </si>
  <si>
    <t>annual real %</t>
  </si>
  <si>
    <t>RAV and assets</t>
  </si>
  <si>
    <t>Pre-vesting assets</t>
  </si>
  <si>
    <t>Pre-vesting asset life</t>
  </si>
  <si>
    <t>years</t>
  </si>
  <si>
    <t>Pre-vesting RAV disposals</t>
  </si>
  <si>
    <t>Post-vesting assets</t>
  </si>
  <si>
    <t>year ending</t>
  </si>
  <si>
    <t>Pre-RIIO net additions to RAV</t>
  </si>
  <si>
    <t>Disposals net proceeds</t>
  </si>
  <si>
    <t>Fuel Poor</t>
  </si>
  <si>
    <t>Post-vesting asset life</t>
  </si>
  <si>
    <t>Years additional customer discount applied</t>
  </si>
  <si>
    <t>NPV of future transportation revenue</t>
  </si>
  <si>
    <t>Community based schemes actual capex spend</t>
  </si>
  <si>
    <t>One off schemes actual capex spend</t>
  </si>
  <si>
    <t>Cross-subsidy adjustment</t>
  </si>
  <si>
    <t>iBoxx trailing average</t>
  </si>
  <si>
    <t>iBTAt</t>
  </si>
  <si>
    <t>Risk-free rate</t>
  </si>
  <si>
    <t>RFR</t>
  </si>
  <si>
    <t>RPE annual growth</t>
  </si>
  <si>
    <t>annual %</t>
  </si>
  <si>
    <t>RPEt</t>
  </si>
  <si>
    <t>Corporation tax rate</t>
  </si>
  <si>
    <t>CTt</t>
  </si>
  <si>
    <t>General pool capital allowance rate</t>
  </si>
  <si>
    <t>GCAt</t>
  </si>
  <si>
    <t>Special Rates capital allowance rate</t>
  </si>
  <si>
    <t>SRCAt</t>
  </si>
  <si>
    <t>SBCAt</t>
  </si>
  <si>
    <t>DRCAt</t>
  </si>
  <si>
    <t>Allowed return on capital</t>
  </si>
  <si>
    <t>Uplift on iBoxx trailing average</t>
  </si>
  <si>
    <t>CDEUt</t>
  </si>
  <si>
    <t>Equity Beta</t>
  </si>
  <si>
    <t>Total Market Return</t>
  </si>
  <si>
    <t>RIIO-2 notional gearing</t>
  </si>
  <si>
    <t>G</t>
  </si>
  <si>
    <t>Annual notional gearing</t>
  </si>
  <si>
    <t>Finance</t>
  </si>
  <si>
    <t>Minimum equity issuance threshold</t>
  </si>
  <si>
    <t>Equity issuance costs</t>
  </si>
  <si>
    <t>CPIH index-linked debt as a percentage of net debt</t>
  </si>
  <si>
    <t>TIM and capitalisation</t>
  </si>
  <si>
    <t>year</t>
  </si>
  <si>
    <t>index</t>
  </si>
  <si>
    <t>Nominal</t>
  </si>
  <si>
    <t>Flags</t>
  </si>
  <si>
    <t>RIIO-3</t>
  </si>
  <si>
    <t>flag</t>
  </si>
  <si>
    <t>RIIO-2</t>
  </si>
  <si>
    <t>Price base</t>
  </si>
  <si>
    <t>named_range</t>
  </si>
  <si>
    <t>£m 23/24 prices</t>
  </si>
  <si>
    <t>End of sheet</t>
  </si>
  <si>
    <t>Total</t>
  </si>
  <si>
    <t>Variant attributes (including Real Price Effects)</t>
  </si>
  <si>
    <t>Pass-through expenditure</t>
  </si>
  <si>
    <t>Output delivery incentives</t>
  </si>
  <si>
    <t>Other revenue allowance</t>
  </si>
  <si>
    <t>Inflation and price conversion</t>
  </si>
  <si>
    <t>Price indices and inflation rates</t>
  </si>
  <si>
    <t>Price control base year</t>
  </si>
  <si>
    <t>Price conversion factors</t>
  </si>
  <si>
    <t>Real to nominal conversion factor</t>
  </si>
  <si>
    <t>Allowed return on debt</t>
  </si>
  <si>
    <t>Allowed return on equity</t>
  </si>
  <si>
    <t>Vanilla allowed return of capital</t>
  </si>
  <si>
    <t>Vanilla allowed return on capital</t>
  </si>
  <si>
    <t>Inflation</t>
  </si>
  <si>
    <t>Notional structure</t>
  </si>
  <si>
    <t>RAV indexation</t>
  </si>
  <si>
    <t>Inflation applied to indexed portion of capital structure</t>
  </si>
  <si>
    <t>Semi-nominal WACC</t>
  </si>
  <si>
    <t>RPE index</t>
  </si>
  <si>
    <t>Tax allowance</t>
  </si>
  <si>
    <t>Inputs for true ups to allowed revenue</t>
  </si>
  <si>
    <t>Other finance inputs</t>
  </si>
  <si>
    <t>Operational performance and return adjustments</t>
  </si>
  <si>
    <t>Variant allowances detailed calculation</t>
  </si>
  <si>
    <t>Variant allowances percentage allocation</t>
  </si>
  <si>
    <t>RPE non-variant allowances</t>
  </si>
  <si>
    <t>RPE PCDs</t>
  </si>
  <si>
    <t>RPE UMs</t>
  </si>
  <si>
    <t>Variant allowances allocation to totex categories</t>
  </si>
  <si>
    <t>Years of pre-vesting depreciation remaining</t>
  </si>
  <si>
    <t>FuelPoor</t>
  </si>
  <si>
    <t>Allowed totex</t>
  </si>
  <si>
    <t>Cap Rate 1</t>
  </si>
  <si>
    <t>Cap Rate 2</t>
  </si>
  <si>
    <t>Pre-TIM overspend (underspend)</t>
  </si>
  <si>
    <t>Post-TIM overspend (underspend)</t>
  </si>
  <si>
    <t>Post-TIM totex</t>
  </si>
  <si>
    <t>Capitalisation split</t>
  </si>
  <si>
    <t>Cap Rate Repex</t>
  </si>
  <si>
    <t>Totex</t>
  </si>
  <si>
    <t>text</t>
  </si>
  <si>
    <t>Exported values</t>
  </si>
  <si>
    <t>Community based schemes additional customer discount</t>
  </si>
  <si>
    <t>Sum of digits</t>
  </si>
  <si>
    <t>integer</t>
  </si>
  <si>
    <t>Scheme year</t>
  </si>
  <si>
    <t>RAV</t>
  </si>
  <si>
    <t>Cost</t>
  </si>
  <si>
    <t>Opening balance brought forward</t>
  </si>
  <si>
    <t>Balance carried forward</t>
  </si>
  <si>
    <t>Depreciation</t>
  </si>
  <si>
    <t>2010 Schemes</t>
  </si>
  <si>
    <t>2011 Schemes</t>
  </si>
  <si>
    <t>2012 Schemes</t>
  </si>
  <si>
    <t>2013 Schemes</t>
  </si>
  <si>
    <t>Slow money</t>
  </si>
  <si>
    <t>Pre-vesting depreciation</t>
  </si>
  <si>
    <t>Smoothing profile for recovery of backlog depreciation</t>
  </si>
  <si>
    <t>FuelPoor depreciation</t>
  </si>
  <si>
    <t>RAV running total</t>
  </si>
  <si>
    <t>Opening RAV (before inflation)</t>
  </si>
  <si>
    <t>Opening RAV (after inflation)</t>
  </si>
  <si>
    <t>Closing RAV</t>
  </si>
  <si>
    <t>Real</t>
  </si>
  <si>
    <t>RAV Return</t>
  </si>
  <si>
    <t>Single year discount factor</t>
  </si>
  <si>
    <t>Discounted closing RAV</t>
  </si>
  <si>
    <t>NPV-neutral RAV return base</t>
  </si>
  <si>
    <t>Tax pool additions</t>
  </si>
  <si>
    <t>Tax pool allocation</t>
  </si>
  <si>
    <t>General pool additions</t>
  </si>
  <si>
    <t>Special Rate pool additions</t>
  </si>
  <si>
    <t>Structures and Buildings pool additions</t>
  </si>
  <si>
    <t>Deferred revenue pool additions</t>
  </si>
  <si>
    <t>Non-qualifying expenditure</t>
  </si>
  <si>
    <t>Revenue pool additions</t>
  </si>
  <si>
    <t>Capital allowances</t>
  </si>
  <si>
    <t>General Pool</t>
  </si>
  <si>
    <t>Tax book value pre-depreciation</t>
  </si>
  <si>
    <t>General pool capital allowance (reducing balance)</t>
  </si>
  <si>
    <t>Closing balance carried forward</t>
  </si>
  <si>
    <t>Transfer</t>
  </si>
  <si>
    <t>Closing balance carried forward (limited to 0)</t>
  </si>
  <si>
    <t>Special rates Pool</t>
  </si>
  <si>
    <t>Structures and Buildings pool</t>
  </si>
  <si>
    <t>Structures and Buildings capital allowance (straight line)</t>
  </si>
  <si>
    <t>Deferred revenue expenditure</t>
  </si>
  <si>
    <t>Total capital allowances</t>
  </si>
  <si>
    <t>General pool</t>
  </si>
  <si>
    <t>Special Rates pool</t>
  </si>
  <si>
    <t>Calculated revenue (before tax)</t>
  </si>
  <si>
    <t>Tax allowance (including adjustment)</t>
  </si>
  <si>
    <t>Corporation tax charge after losses</t>
  </si>
  <si>
    <t>Closing net debt (before tax and debt costs)</t>
  </si>
  <si>
    <t>Core net debt</t>
  </si>
  <si>
    <t>Start of price control notional debt re-set</t>
  </si>
  <si>
    <t>Less directly remunerated services adjustment</t>
  </si>
  <si>
    <t>Less cross-subsidy adjustment</t>
  </si>
  <si>
    <t>Closing value</t>
  </si>
  <si>
    <t>Regearing</t>
  </si>
  <si>
    <t>Overall opening gearing</t>
  </si>
  <si>
    <t>Start of price control notional regearing</t>
  </si>
  <si>
    <t>Start of price control change in notional gearing</t>
  </si>
  <si>
    <t>Equity issuance threshold met</t>
  </si>
  <si>
    <t>Financing costs</t>
  </si>
  <si>
    <t>Dividends</t>
  </si>
  <si>
    <t>Notional dividends</t>
  </si>
  <si>
    <t>Debt</t>
  </si>
  <si>
    <t>Fixed rate average net debt</t>
  </si>
  <si>
    <t>CPIH rate average net debt</t>
  </si>
  <si>
    <t>Principal inflation accretion on CPIH index-linked debt</t>
  </si>
  <si>
    <t>Grossing up factor for tax on tax charge after losses</t>
  </si>
  <si>
    <t>Profit attributable to corporation tax (before Tax Clawback)</t>
  </si>
  <si>
    <t>Tax trigger calculations</t>
  </si>
  <si>
    <t>Deadband value</t>
  </si>
  <si>
    <t>Tax trigger adjustment</t>
  </si>
  <si>
    <t>Profit impact of tax trigger</t>
  </si>
  <si>
    <t>Tax clawback calculations</t>
  </si>
  <si>
    <t>Actual gearing</t>
  </si>
  <si>
    <t>Gearing level test</t>
  </si>
  <si>
    <t>Tax clawback applies?</t>
  </si>
  <si>
    <t>Regulatory tax losses</t>
  </si>
  <si>
    <t>Taxable losses brought forward</t>
  </si>
  <si>
    <t>In-year taxable loss</t>
  </si>
  <si>
    <t>Profits used to offset outstanding losses</t>
  </si>
  <si>
    <t>Profits attributable to corporation tax (after taxable losses)</t>
  </si>
  <si>
    <t>Tax paid</t>
  </si>
  <si>
    <t>Tax base</t>
  </si>
  <si>
    <t>Profits attributable to corporation tax</t>
  </si>
  <si>
    <t>Tax losses</t>
  </si>
  <si>
    <t>Revenue</t>
  </si>
  <si>
    <t>Base revenue</t>
  </si>
  <si>
    <t>Return adjustment</t>
  </si>
  <si>
    <t>Calculated revenue</t>
  </si>
  <si>
    <t>Calculated revenue (without DRS/SIU adjustment)</t>
  </si>
  <si>
    <t>Long term CPIH inflation forecast</t>
  </si>
  <si>
    <t>Month</t>
  </si>
  <si>
    <t>Real to nominal conversion factor (financial year end)</t>
  </si>
  <si>
    <t>Less revenue tax pool additions</t>
  </si>
  <si>
    <t>Real Price Effects</t>
  </si>
  <si>
    <t>RPE indexation</t>
  </si>
  <si>
    <t>RPE allowances</t>
  </si>
  <si>
    <t>Tax pools</t>
  </si>
  <si>
    <t>End sheet</t>
  </si>
  <si>
    <t>Total Post-TIM over(under)spend - cap rate 1</t>
  </si>
  <si>
    <t>Total Post-TIM over(under)spend - cap rate 2</t>
  </si>
  <si>
    <t>Total Post-TIM over(under)spend - repex</t>
  </si>
  <si>
    <t>Post-TIM totex - cap rate 1</t>
  </si>
  <si>
    <t>Post-TIM totex - cap rate 2</t>
  </si>
  <si>
    <t>Post-TIM totex - repex</t>
  </si>
  <si>
    <t>Cap on relief for carried forward losses</t>
  </si>
  <si>
    <t>Deduction allowance for carried forward losses</t>
  </si>
  <si>
    <t>Input calculations</t>
  </si>
  <si>
    <t>Movement in net debt required for notional regearing change</t>
  </si>
  <si>
    <t>Restriction on relief for carried forward losses</t>
  </si>
  <si>
    <t>Outturn (index)</t>
  </si>
  <si>
    <t>Forecast (%)</t>
  </si>
  <si>
    <t>CPIH (index)</t>
  </si>
  <si>
    <t>Historic totex available</t>
  </si>
  <si>
    <t>Actual repex</t>
  </si>
  <si>
    <t xml:space="preserve">RIIO-3 network innovation allowance </t>
  </si>
  <si>
    <t xml:space="preserve">RIIO-3 Network Innovation Allowance </t>
  </si>
  <si>
    <t>General pool opening balance adjustment</t>
  </si>
  <si>
    <t>Special Rate pool opening balance adjustment</t>
  </si>
  <si>
    <t>Structures and Buildings capital allowance opening balance brought forward</t>
  </si>
  <si>
    <t>Deferred Revenue opening balance brought forward</t>
  </si>
  <si>
    <t>Business Plan Incentive</t>
  </si>
  <si>
    <t>General pool additions qualifying for full expensing allowance</t>
  </si>
  <si>
    <t>General pool full expensing allowance rate</t>
  </si>
  <si>
    <t>Pre-vesting RAV cost</t>
  </si>
  <si>
    <t>Start of smoothing period</t>
  </si>
  <si>
    <t>Structures and Buildings capital allowance rate</t>
  </si>
  <si>
    <t>Deferred Revenue capital allowance rate</t>
  </si>
  <si>
    <t>Capitalisation rate repex</t>
  </si>
  <si>
    <t>Funding Adjustment Rate ('sharing factor')</t>
  </si>
  <si>
    <t>Financial Year</t>
  </si>
  <si>
    <t>Equity portion</t>
  </si>
  <si>
    <t>Fixed rate debt portion</t>
  </si>
  <si>
    <t>RAV inflation</t>
  </si>
  <si>
    <t>Other revenue allowance costs</t>
  </si>
  <si>
    <t>Fast money - cap rate 1</t>
  </si>
  <si>
    <t>Slow money - cap rate 1</t>
  </si>
  <si>
    <t>Fast money - cap rate 2</t>
  </si>
  <si>
    <t>Slow money - cap rate 2</t>
  </si>
  <si>
    <t>Fast money - repex</t>
  </si>
  <si>
    <t>Slow money - repex</t>
  </si>
  <si>
    <t>Fast money</t>
  </si>
  <si>
    <t>Semi-nominal index</t>
  </si>
  <si>
    <t>Return</t>
  </si>
  <si>
    <t>Deferred Revenue pool additions</t>
  </si>
  <si>
    <t>Transfers out to full expensing allowance</t>
  </si>
  <si>
    <t>Transfers in from full expensing allowance</t>
  </si>
  <si>
    <t>Transfers in to full expensing allowance</t>
  </si>
  <si>
    <t>Transfers out to first-year allowance</t>
  </si>
  <si>
    <t>Transfers in from first-year allowance</t>
  </si>
  <si>
    <t>Special Rates capital allowance (reducing balance)</t>
  </si>
  <si>
    <t>Transfers in to first-year allowance</t>
  </si>
  <si>
    <t>Deferred Revenue capital allowance (straight line)</t>
  </si>
  <si>
    <t>Average net debt (except for interest and tax)</t>
  </si>
  <si>
    <t>Net interest expense</t>
  </si>
  <si>
    <t>Fixed rate net interest expense</t>
  </si>
  <si>
    <t>CPIH rate net interest expense</t>
  </si>
  <si>
    <t>Net interest expense (excluding principal inflation accretion)</t>
  </si>
  <si>
    <t>Materiality threshold test exceeded?</t>
  </si>
  <si>
    <t>Positive benefit test</t>
  </si>
  <si>
    <t>Contributions to losses from clawback</t>
  </si>
  <si>
    <t>Directly remunerated services adjustment</t>
  </si>
  <si>
    <t>Price index</t>
  </si>
  <si>
    <t>Start of RIIO-3</t>
  </si>
  <si>
    <t xml:space="preserve"> </t>
  </si>
  <si>
    <t>Semi nominal WACC</t>
  </si>
  <si>
    <t>Rates</t>
  </si>
  <si>
    <t>Fixed rate cost of debt</t>
  </si>
  <si>
    <t>WACC</t>
  </si>
  <si>
    <t>Nominal fixed rate debt</t>
  </si>
  <si>
    <t>Closing RAV (FY end price base)</t>
  </si>
  <si>
    <t>Import source</t>
  </si>
  <si>
    <t>RIIO-1</t>
  </si>
  <si>
    <t>RIIO-3 Price Control Financial Model (PCFM)</t>
  </si>
  <si>
    <t>Gas Distribution</t>
  </si>
  <si>
    <t>Model key</t>
  </si>
  <si>
    <t>Contents</t>
  </si>
  <si>
    <t>Cover</t>
  </si>
  <si>
    <t>Return&amp;RAV</t>
  </si>
  <si>
    <t>TaxPools</t>
  </si>
  <si>
    <t>Model key and content directory</t>
  </si>
  <si>
    <t>Dataset and derivation of monthly inflation rates and price indices</t>
  </si>
  <si>
    <t>Totex allowance and actuals</t>
  </si>
  <si>
    <t>Totex Incentive Mechanism and capitalisation</t>
  </si>
  <si>
    <t>Fuel Poor RAV calculations</t>
  </si>
  <si>
    <t>Tax pools and capital allowances</t>
  </si>
  <si>
    <t>Net debt, equity issuance and financing costs</t>
  </si>
  <si>
    <t>Tax</t>
  </si>
  <si>
    <t>Summary of calculated revenue</t>
  </si>
  <si>
    <t>Sample</t>
  </si>
  <si>
    <t>Variable input</t>
  </si>
  <si>
    <t>Fixed input</t>
  </si>
  <si>
    <t>Imported value</t>
  </si>
  <si>
    <t>Linked value</t>
  </si>
  <si>
    <t>Calculation</t>
  </si>
  <si>
    <t>TIM rate for allowance, inverse of Sharing Factor</t>
  </si>
  <si>
    <t>Imports</t>
  </si>
  <si>
    <t>Input calculation</t>
  </si>
  <si>
    <t>Total depreciation</t>
  </si>
  <si>
    <t>Differential</t>
  </si>
  <si>
    <t>Accruing differences</t>
  </si>
  <si>
    <t>Straight line</t>
  </si>
  <si>
    <t>Acceleration factor</t>
  </si>
  <si>
    <t>Asset life</t>
  </si>
  <si>
    <t>Total additions</t>
  </si>
  <si>
    <t>Opening balance</t>
  </si>
  <si>
    <t>Sum of digits pre-vesting depreciation factor</t>
  </si>
  <si>
    <t>Disposals</t>
  </si>
  <si>
    <t>Closing balance</t>
  </si>
  <si>
    <t>Closing nominal RAV</t>
  </si>
  <si>
    <t>Interest approximation</t>
  </si>
  <si>
    <t>Opening net debt</t>
  </si>
  <si>
    <t>Closing net debt trued up to notional gearing</t>
  </si>
  <si>
    <t>Closing net debt trued up to notional gearing, pre approximated interest</t>
  </si>
  <si>
    <t>Net debt position pre-interest</t>
  </si>
  <si>
    <t>Adjusted closing net debt trued up to notional gearing, pre approximated interest</t>
  </si>
  <si>
    <t>Approximated interest</t>
  </si>
  <si>
    <t>Net debt position post approximated interest</t>
  </si>
  <si>
    <t>Closing gearing with interest approximation</t>
  </si>
  <si>
    <t>Closing gearing</t>
  </si>
  <si>
    <t>Constant gearing dividends threshold met</t>
  </si>
  <si>
    <t>Constant gearing dividends</t>
  </si>
  <si>
    <t>Nominal WACC</t>
  </si>
  <si>
    <t>Non-load related capex - other (net of disposals)</t>
  </si>
  <si>
    <t>Recovered Revenue</t>
  </si>
  <si>
    <t>Allowed Revenue (as published)</t>
  </si>
  <si>
    <t>Base Revenue (as published)</t>
  </si>
  <si>
    <t>Base Revenue Forecasting Penalty Adjustment</t>
  </si>
  <si>
    <t>Recovered Revenue Forecasting Penalty Adjustment</t>
  </si>
  <si>
    <t>RIIO-2 legacy adjustment factor</t>
  </si>
  <si>
    <t>RIIO-2 legacy K correction factor</t>
  </si>
  <si>
    <t>LADJt</t>
  </si>
  <si>
    <t>Kt</t>
  </si>
  <si>
    <t>Over/undercollection percentage for penal rate adjustment</t>
  </si>
  <si>
    <t>Base Revenue penalty interest rate</t>
  </si>
  <si>
    <t>Recovered Revenue penalty interest rate</t>
  </si>
  <si>
    <t>Correction term</t>
  </si>
  <si>
    <t>Allowed revenue</t>
  </si>
  <si>
    <t>Forecasting penalty</t>
  </si>
  <si>
    <t>Base Revenue</t>
  </si>
  <si>
    <t>Forecasting Penalty</t>
  </si>
  <si>
    <t>Legacy Allowed Revenue</t>
  </si>
  <si>
    <t>Compounding nominal WACC for TVOM adjustment</t>
  </si>
  <si>
    <t>PCD_Baseline Network Risk Output</t>
  </si>
  <si>
    <t>PCD_Cyber PCDs</t>
  </si>
  <si>
    <t>PCD_Grays medium pressure (Cadent_Lon)</t>
  </si>
  <si>
    <t>PCD_London Medium Pressure PCD (Cadent_Lon)</t>
  </si>
  <si>
    <t>PCD_Tier 1 Mains Decommissioned PCD</t>
  </si>
  <si>
    <t>PCD_Tinsley viaduct diversion (Cadent_EoE)</t>
  </si>
  <si>
    <t>PCD_Full Site and System Rebuilds (SGN_all)</t>
  </si>
  <si>
    <t>VD_GSIUR Disconnections Volume Driver</t>
  </si>
  <si>
    <t>VD_Tier 2A Mains and Services Replacement Volume Driver</t>
  </si>
  <si>
    <t>Re-opener_Climate change resilience work</t>
  </si>
  <si>
    <t>Re-opener_Coordinated Adjustment Mechanism Re-opener</t>
  </si>
  <si>
    <t>Re-opener_Data and digitalisation</t>
  </si>
  <si>
    <t>Re-opener_Digitalisation re-opener</t>
  </si>
  <si>
    <t>Re-opener_Diversions and Loss of Development Claims Re-opener</t>
  </si>
  <si>
    <t>Re-opener_Heat Policy re-opener</t>
  </si>
  <si>
    <t>Re-opener_HSE Policy Re-opener</t>
  </si>
  <si>
    <t>Re-opener_London Subways and Tunnels</t>
  </si>
  <si>
    <t>Re-opener_New Large Load Connections Re-opener</t>
  </si>
  <si>
    <t>Re-opener_Specified Streetworks Costs Re-opener</t>
  </si>
  <si>
    <t>Target depreciation date</t>
  </si>
  <si>
    <t>Acceleration applicable</t>
  </si>
  <si>
    <t>Post-vesting depreciation</t>
  </si>
  <si>
    <t>Asset life remaining</t>
  </si>
  <si>
    <t>Profile</t>
  </si>
  <si>
    <t>Accelerated profile</t>
  </si>
  <si>
    <t>Depreciation summary</t>
  </si>
  <si>
    <t>Directly remunerated services net position</t>
  </si>
  <si>
    <t>Historic closing RAV</t>
  </si>
  <si>
    <t>Historic splice index</t>
  </si>
  <si>
    <t>Combined RPI-CPIH price index (financial year average)</t>
  </si>
  <si>
    <t>Combined RPI-CPIH inflation (financial year average)</t>
  </si>
  <si>
    <t>Combined RPI-CPIH price index (financial year end)</t>
  </si>
  <si>
    <t>TIM applies</t>
  </si>
  <si>
    <t>RPEs apply</t>
  </si>
  <si>
    <t>Cap rate</t>
  </si>
  <si>
    <t>Variant allowance summary</t>
  </si>
  <si>
    <t>LicenseeSelect</t>
  </si>
  <si>
    <t>VariantAllowances</t>
  </si>
  <si>
    <t>Transform</t>
  </si>
  <si>
    <t>AllowedRevenue</t>
  </si>
  <si>
    <t>Master error check</t>
  </si>
  <si>
    <t>Error check</t>
  </si>
  <si>
    <t>SLRt</t>
  </si>
  <si>
    <t>Less equity issuance cost</t>
  </si>
  <si>
    <t>nominal %</t>
  </si>
  <si>
    <t>semi-nominal %</t>
  </si>
  <si>
    <t>RAV inflation index</t>
  </si>
  <si>
    <t>Nominal RAV inflation</t>
  </si>
  <si>
    <t>Regearing equity issuance costs</t>
  </si>
  <si>
    <t>Opening balance brought forward (after regearing)</t>
  </si>
  <si>
    <t>East</t>
  </si>
  <si>
    <t>London</t>
  </si>
  <si>
    <t>North West</t>
  </si>
  <si>
    <t>West Midlands</t>
  </si>
  <si>
    <t>Northern</t>
  </si>
  <si>
    <t>Scotland</t>
  </si>
  <si>
    <t>Southern</t>
  </si>
  <si>
    <t>Wales &amp; West</t>
  </si>
  <si>
    <t>CPIH index (financial year average)</t>
  </si>
  <si>
    <t>CPIH inflation (financial year average)</t>
  </si>
  <si>
    <t>Tab</t>
  </si>
  <si>
    <t>Heading 1</t>
  </si>
  <si>
    <t>Heading 2</t>
  </si>
  <si>
    <t>Heading 3</t>
  </si>
  <si>
    <t>Date</t>
  </si>
  <si>
    <t>Supplier of Last Resort Net Costs</t>
  </si>
  <si>
    <t>Exit recovered revenue</t>
  </si>
  <si>
    <t>SoLR recovered revenue</t>
  </si>
  <si>
    <t>Exit allowed revenue (as published)</t>
  </si>
  <si>
    <t>SoLR allowed revenue (as published)</t>
  </si>
  <si>
    <t>RIIO-2 exit legacy adjustment factor</t>
  </si>
  <si>
    <t>RIIO-2 SoLR legacy adjustment factor</t>
  </si>
  <si>
    <t>RIIO-2 exit K correction factor</t>
  </si>
  <si>
    <t>RIIO-2 SoLR K correction factor</t>
  </si>
  <si>
    <t>Exit</t>
  </si>
  <si>
    <t>SoLR</t>
  </si>
  <si>
    <t>LDZ</t>
  </si>
  <si>
    <t>Closing RAV (FY end)</t>
  </si>
  <si>
    <t>Forecasting penalties</t>
  </si>
  <si>
    <t>RIIO post-vesting net RAV additions</t>
  </si>
  <si>
    <t>Profit impact of tax trigger (no deadband)</t>
  </si>
  <si>
    <t>Profit after tax trigger</t>
  </si>
  <si>
    <t>Profit after tax trigger (no deadband)</t>
  </si>
  <si>
    <t>Tax clawback brought forward</t>
  </si>
  <si>
    <t>Tax clawback arising in year</t>
  </si>
  <si>
    <t>Tax clawback utilised in year</t>
  </si>
  <si>
    <t>Tax clawback carry forward</t>
  </si>
  <si>
    <t>Profits after tax clawback</t>
  </si>
  <si>
    <t>Tax clawback pool (not restricted)</t>
  </si>
  <si>
    <t>Restrictions applicable</t>
  </si>
  <si>
    <t>Restricted losses available</t>
  </si>
  <si>
    <t>Profits attributable if no restriction applied</t>
  </si>
  <si>
    <t>Profits after clawback</t>
  </si>
  <si>
    <t>Allowed Revenue</t>
  </si>
  <si>
    <t>Recovered Revenue (where no data input)</t>
  </si>
  <si>
    <t>Revenue under/over recovery</t>
  </si>
  <si>
    <t>Allowed Revenue (as published, from inputs)</t>
  </si>
  <si>
    <t>RIIO-2 Allowed Revenue (as published) for correction term</t>
  </si>
  <si>
    <t>Allowed Revenue (as published) where no data input</t>
  </si>
  <si>
    <t>Recovered Revenue forecasting error</t>
  </si>
  <si>
    <t>Assumed proportion for forecasting penalty</t>
  </si>
  <si>
    <t>RIIO-2 legacy adjustment factor phasing</t>
  </si>
  <si>
    <t>RIIO-2 legacy K correction factor phasing</t>
  </si>
  <si>
    <t>Phased RIIO-2 LADJt and LKt</t>
  </si>
  <si>
    <t>RIIO-2 exit legacy adjustment factor phasing</t>
  </si>
  <si>
    <t>RIIO-2 SoLR legacy adjustment factor phasing</t>
  </si>
  <si>
    <t>RIIO-2 exit K correction factor phasing</t>
  </si>
  <si>
    <t>Phased RIIO-2 exit LADJt LKt</t>
  </si>
  <si>
    <t>RIIO-2 SoLR K correction factor phasing</t>
  </si>
  <si>
    <t>Phased RIIO-2 SoLR LADJt LKt</t>
  </si>
  <si>
    <t>RIIO-2 final year</t>
  </si>
  <si>
    <t>Combined RPI-CPIH price index (indexation adjustment)</t>
  </si>
  <si>
    <t>Net additions</t>
  </si>
  <si>
    <t>CPIH Forecast (financial year)</t>
  </si>
  <si>
    <t>Forecast totex used</t>
  </si>
  <si>
    <t>Pre-vesting starting balance</t>
  </si>
  <si>
    <t>RIIO-3 additions (adjusted for indexed portion of capital structure)</t>
  </si>
  <si>
    <t>Allowed revenue excl tax allowance</t>
  </si>
  <si>
    <t>Equity issuance</t>
  </si>
  <si>
    <t>RIIO-2 legacy adjustment factor phasing (must be 1 or 5)</t>
  </si>
  <si>
    <t>RIIO-2 legacy K correction factor phasing (must be 1 or 5)</t>
  </si>
  <si>
    <t>Threshold 1</t>
  </si>
  <si>
    <t>Threshold 2</t>
  </si>
  <si>
    <t>Adjustment rate 1</t>
  </si>
  <si>
    <t>Adjustment rate 2</t>
  </si>
  <si>
    <t>Notional gearing</t>
  </si>
  <si>
    <t>RAV base</t>
  </si>
  <si>
    <t>Equity portion of NPV-neutral RAV</t>
  </si>
  <si>
    <t>Sum of NPV-neutral equity RAV values over RIIO-3</t>
  </si>
  <si>
    <t>Operational performance</t>
  </si>
  <si>
    <t>Totex outperformance (operator share)</t>
  </si>
  <si>
    <t>Operational performance over the Price Control Period</t>
  </si>
  <si>
    <t>Return adjustment calculation</t>
  </si>
  <si>
    <t>Postive operational performance</t>
  </si>
  <si>
    <t>OPP &gt;= 0</t>
  </si>
  <si>
    <t>Adjustment 1</t>
  </si>
  <si>
    <t>Adjustment 2</t>
  </si>
  <si>
    <t>Return adjustment over the Price Control Period (OPP &gt;= 0)</t>
  </si>
  <si>
    <t>Negative operational performance</t>
  </si>
  <si>
    <t>OPP &lt; 0</t>
  </si>
  <si>
    <t>Return adjustment over the Price Control Period (OPP &lt; 0)</t>
  </si>
  <si>
    <t>Annual return adjustment calculation</t>
  </si>
  <si>
    <t>Return adjustment over the Price Control Period</t>
  </si>
  <si>
    <t>Return adjustment annual profiling percentages</t>
  </si>
  <si>
    <t>Outperformance after return adjustment (FYI only)</t>
  </si>
  <si>
    <t>Operational performance after return adjustment</t>
  </si>
  <si>
    <t>Outperformance after return adjustment over the Price Control Period</t>
  </si>
  <si>
    <t>Error summary</t>
  </si>
  <si>
    <t>Variant allocation = 100% for all</t>
  </si>
  <si>
    <t>Variant activity without both attributes set</t>
  </si>
  <si>
    <t>Count of variant activities matches below</t>
  </si>
  <si>
    <t>Count of formulae on LicenseeInput tabs</t>
  </si>
  <si>
    <t>Count of hardcoded constants on calculation tabs</t>
  </si>
  <si>
    <t>Totex allocation to tax pool check</t>
  </si>
  <si>
    <t>Licensee inputs matching</t>
  </si>
  <si>
    <t>Actual totex match</t>
  </si>
  <si>
    <t>Allowed totex match</t>
  </si>
  <si>
    <t>Worksheet checks</t>
  </si>
  <si>
    <t>Formulas</t>
  </si>
  <si>
    <t>Hardcoded values</t>
  </si>
  <si>
    <t>ReturnAdj</t>
  </si>
  <si>
    <t>Calculation errors</t>
  </si>
  <si>
    <t>Lookups</t>
  </si>
  <si>
    <t>Input count</t>
  </si>
  <si>
    <t>Actual totex (from Totex)</t>
  </si>
  <si>
    <t>Actual totex- cap rate 1 (from Transform)</t>
  </si>
  <si>
    <t>Actual totex- cap rate 2 (from Transform)</t>
  </si>
  <si>
    <t>Allowed totex (from Totex)</t>
  </si>
  <si>
    <t>Allowed totex - non-variant (from Transform)</t>
  </si>
  <si>
    <t>Allowed totex - variant (from Transform)</t>
  </si>
  <si>
    <t>Totex allocation to tax pools</t>
  </si>
  <si>
    <t>Variant activities</t>
  </si>
  <si>
    <t>Error?</t>
  </si>
  <si>
    <t>PCD_South London Mains (SGN_So)</t>
  </si>
  <si>
    <t>PCD_Mandated Category 3 Security (Cadent_all)</t>
  </si>
  <si>
    <t>UIOLI_Cyber Resilience_NGN</t>
  </si>
  <si>
    <t>UIOLI_Cyber Resilience_All except NGN and WWU</t>
  </si>
  <si>
    <t>Re-opener_Physical Security Re-opener</t>
  </si>
  <si>
    <t>Re-opener_Complex Distributions Systems Re-opener</t>
  </si>
  <si>
    <t>Re-opener_Mandated Category 3 Security Re-opener</t>
  </si>
  <si>
    <t>Spare 2</t>
  </si>
  <si>
    <t>Spare 3</t>
  </si>
  <si>
    <t>Spare 4</t>
  </si>
  <si>
    <t>Spare 5</t>
  </si>
  <si>
    <t>Spare 6</t>
  </si>
  <si>
    <t>RRt</t>
  </si>
  <si>
    <t>SpC 2.1</t>
  </si>
  <si>
    <t>ARt</t>
  </si>
  <si>
    <t>Rt</t>
  </si>
  <si>
    <t>RESREt</t>
  </si>
  <si>
    <t>Calculated Base Revenue</t>
  </si>
  <si>
    <t>Base Revenue (as published, from inputs)</t>
  </si>
  <si>
    <t>Base Revenue (where no data input)</t>
  </si>
  <si>
    <t>Base Revenue forecasting error</t>
  </si>
  <si>
    <t>Base Revenue forecasting error ratio</t>
  </si>
  <si>
    <t>Applicable Base Revenue interest rate</t>
  </si>
  <si>
    <t>Base Revenue forecasting penalty</t>
  </si>
  <si>
    <t>Allowed Revenue forecasting error ratio</t>
  </si>
  <si>
    <t>Applicable Allowed Revenue interest rate</t>
  </si>
  <si>
    <t>Recovered Revenue forecasting penalty</t>
  </si>
  <si>
    <t>Calculated Revenue</t>
  </si>
  <si>
    <t>FLOt</t>
  </si>
  <si>
    <t>Return adjustment [to be linked at closeout]</t>
  </si>
  <si>
    <t>GMPt</t>
  </si>
  <si>
    <t>Pre-TIM over(under)spend - cap rate 1</t>
  </si>
  <si>
    <t>Pre-TIM over(under)spend - cap rate 2</t>
  </si>
  <si>
    <t>Pre-TIM over(under)spend - repex</t>
  </si>
  <si>
    <t>TVDt</t>
  </si>
  <si>
    <t>LSTt</t>
  </si>
  <si>
    <t>SLMt</t>
  </si>
  <si>
    <t>Add calculated revenue (before tax)</t>
  </si>
  <si>
    <t>Less net interest expense (excluding principal inflation accretion)</t>
  </si>
  <si>
    <t>Less principal inflation accretion on CPIH index-linked debt</t>
  </si>
  <si>
    <t>Less capital allowances</t>
  </si>
  <si>
    <t>FSRt</t>
  </si>
  <si>
    <t>Less actual totex</t>
  </si>
  <si>
    <t>Less pass-through expenditure</t>
  </si>
  <si>
    <t>Less other revenue allowance costs</t>
  </si>
  <si>
    <t>Less notional dividends</t>
  </si>
  <si>
    <t>Less constant gearing dividends</t>
  </si>
  <si>
    <t>Add equity issuance</t>
  </si>
  <si>
    <t>Add tax allowance (including adjustment)</t>
  </si>
  <si>
    <t>Less tax paid (including cash flow on revenue without a tax allowance)</t>
  </si>
  <si>
    <t>Total opening regulatory assets (after transfers)</t>
  </si>
  <si>
    <t>Gearing at start of year (before equity issuance)</t>
  </si>
  <si>
    <t>Pass-through and other revenue costs</t>
  </si>
  <si>
    <t>Depreciation summaries</t>
  </si>
  <si>
    <t>Deflation from semi-nominal to CPIH real RAV</t>
  </si>
  <si>
    <t>Community based scheme - actual capex</t>
  </si>
  <si>
    <t>Community based scheme - additional customer discount</t>
  </si>
  <si>
    <t>One off schemes - actual capex</t>
  </si>
  <si>
    <t>Depreciation community based scheme - actual capex</t>
  </si>
  <si>
    <t>Depreciation community based scheme - additional customer discount</t>
  </si>
  <si>
    <t>Depreciation one off schemes - actual capex</t>
  </si>
  <si>
    <t>Actual load related capex - cap rate 1</t>
  </si>
  <si>
    <t>Actual other capex - cap rate 1</t>
  </si>
  <si>
    <t>Actual business support (opex) - cap rate 1</t>
  </si>
  <si>
    <t>Actual directs (opex) - cap rate 1</t>
  </si>
  <si>
    <t>Actual repex - cap rate 1</t>
  </si>
  <si>
    <t>Allowed load related capex - cap rate 1</t>
  </si>
  <si>
    <t>Allowed other capex - cap rate 1</t>
  </si>
  <si>
    <t>Allowed business support (opex) - cap rate 1</t>
  </si>
  <si>
    <t>Allowed directs (opex) - cap rate 1</t>
  </si>
  <si>
    <t>Allowed repex - cap rate 1</t>
  </si>
  <si>
    <t>Actual load related capex - cap rate 2</t>
  </si>
  <si>
    <t>Actual other capex - cap rate 2</t>
  </si>
  <si>
    <t>Actual business support (opex) - cap rate 2</t>
  </si>
  <si>
    <t>Actual directs (opex) - cap rate 2</t>
  </si>
  <si>
    <t>Actual repex - cap rate 2</t>
  </si>
  <si>
    <t>Allowed load related capex - cap rate 2</t>
  </si>
  <si>
    <t>Allowed other capex - cap rate 2</t>
  </si>
  <si>
    <t>Allowed business support (opex) - cap rate 2</t>
  </si>
  <si>
    <t>Allowed directs (opex) - cap rate 2</t>
  </si>
  <si>
    <t>Allowed repex - cap rate 2</t>
  </si>
  <si>
    <t>Total over(under)spend - cap rate 1</t>
  </si>
  <si>
    <t>Total over(under)spend - cap rate 2</t>
  </si>
  <si>
    <t>Total over(under)spend - repex</t>
  </si>
  <si>
    <t>Variant allowed load related capex - cap rate 1</t>
  </si>
  <si>
    <t>Variant allowed non-load related capex - other - cap rate 1</t>
  </si>
  <si>
    <t>Variant allowed business support (opex) - cap rate 1</t>
  </si>
  <si>
    <t>Variant allowed directs opex - cap rate 1</t>
  </si>
  <si>
    <t>Variant allowed repex - cap rate 1</t>
  </si>
  <si>
    <t>Variant allowed load related capex - cap rate 2</t>
  </si>
  <si>
    <t>Variant allowed non-load related capex - other - cap rate 2</t>
  </si>
  <si>
    <t>Variant allowed business support (opex) - cap rate 2</t>
  </si>
  <si>
    <t>Variant allowed directs opex - cap rate 2</t>
  </si>
  <si>
    <t>Variant allowed repex - cap rate 2</t>
  </si>
  <si>
    <t>CPIH index-linked cost of debt</t>
  </si>
  <si>
    <t>Inflation-linked debt portion</t>
  </si>
  <si>
    <t>RIIO-2 Calculated Base Revenue</t>
  </si>
  <si>
    <t>Exit Allowed Revenue (as published)</t>
  </si>
  <si>
    <t>SoLR Allowed Revenue (as published)</t>
  </si>
  <si>
    <t>Exit Recovered Revenue</t>
  </si>
  <si>
    <t>SoLR Recovered Revenue</t>
  </si>
  <si>
    <t>Special rate pool opening balance adjustment</t>
  </si>
  <si>
    <t>Special rate capital allowance opening balance brought forward</t>
  </si>
  <si>
    <t>Special rate pool additions qualifying for full expensing allowance</t>
  </si>
  <si>
    <t>Structures and buildings capital allowance opening balance brought forward</t>
  </si>
  <si>
    <t>Structures and buildings additions pre RIIO-3</t>
  </si>
  <si>
    <t>Deferred revenue opening balance brought forward</t>
  </si>
  <si>
    <t>Deferred revenue pool additions pre RIIO-3</t>
  </si>
  <si>
    <t>Special rate pool full expensing allowance rate</t>
  </si>
  <si>
    <t>Special rates capital allowance rate</t>
  </si>
  <si>
    <t>Structures and buildings capital allowance rate</t>
  </si>
  <si>
    <t>Deferred revenue capital allowance rate</t>
  </si>
  <si>
    <t>Dividends as % of notional equity RAV</t>
  </si>
  <si>
    <t>Actual non-load related capex - other</t>
  </si>
  <si>
    <t>Actual directs opex</t>
  </si>
  <si>
    <t>Non-variant allowed load related capex - cap rate 1</t>
  </si>
  <si>
    <t>Non-variant allowed non-load related capex - other - cap rate 1</t>
  </si>
  <si>
    <t>Non-variant allowed business support (opex) - cap rate 1</t>
  </si>
  <si>
    <t>Non-variant allowed directs opex - cap rate 1</t>
  </si>
  <si>
    <t>Non-variant allowed repex - cap rate 1</t>
  </si>
  <si>
    <t>Pre-vesting directly remunerated services (for revenue)</t>
  </si>
  <si>
    <t>Post-vesting directly remunerated services (for revenue)</t>
  </si>
  <si>
    <t>Other income from directly remenerated services (for revenue)</t>
  </si>
  <si>
    <t>Identified directly remunerated services costs (for revenue)</t>
  </si>
  <si>
    <t>Directly remunerated services net position (for revenue)</t>
  </si>
  <si>
    <t>SpC 7.2</t>
  </si>
  <si>
    <t>SpC 7.3</t>
  </si>
  <si>
    <t>Revenue profiling</t>
  </si>
  <si>
    <t>Revenue profiling adjustments</t>
  </si>
  <si>
    <t>Revenue profiling input years</t>
  </si>
  <si>
    <t>Calculated revenue profiling year</t>
  </si>
  <si>
    <t>Revenue reprofiling adjustments</t>
  </si>
  <si>
    <t>Opening balance for profiling adjustment TVOM</t>
  </si>
  <si>
    <t>TVOM uplift on previous period</t>
  </si>
  <si>
    <t>Profiling adjustment</t>
  </si>
  <si>
    <t>Calculated profiling adjustment</t>
  </si>
  <si>
    <t>Closing balance for profiling adjustment TVOM</t>
  </si>
  <si>
    <t>Profiling adjustment for revenue</t>
  </si>
  <si>
    <t>Allowed revenue true-up</t>
  </si>
  <si>
    <t>Tax trigger</t>
  </si>
  <si>
    <t>Variable policy</t>
  </si>
  <si>
    <t>Fixed policy</t>
  </si>
  <si>
    <t>Assumed cost multipliers</t>
  </si>
  <si>
    <t>Version</t>
  </si>
  <si>
    <t>Checks</t>
  </si>
  <si>
    <t>Master error check and details</t>
  </si>
  <si>
    <t>Inputs for selected licensee</t>
  </si>
  <si>
    <t>Summarisation of variant allowances</t>
  </si>
  <si>
    <t>Arrangement  of input for model use</t>
  </si>
  <si>
    <t>Regulatory depreciation</t>
  </si>
  <si>
    <t>RAV and return calculations</t>
  </si>
  <si>
    <t>Tax allowance and tax paid</t>
  </si>
  <si>
    <t>Calculating return adjustment to be linked at closeout</t>
  </si>
  <si>
    <t>Derivation of allowed revenue</t>
  </si>
  <si>
    <t>Inputs for East</t>
  </si>
  <si>
    <t>Inputs for London</t>
  </si>
  <si>
    <t>Inputs for North West</t>
  </si>
  <si>
    <t>Inputs for West Midlands</t>
  </si>
  <si>
    <t>Inputs for Northern</t>
  </si>
  <si>
    <t>Inputs for Scotland</t>
  </si>
  <si>
    <t>Inputs for Southern</t>
  </si>
  <si>
    <t>Inputs for Wales &amp; West</t>
  </si>
  <si>
    <t>UserInterface</t>
  </si>
  <si>
    <t>Model operation</t>
  </si>
  <si>
    <t>Licensee List</t>
  </si>
  <si>
    <t>Licensee Selection</t>
  </si>
  <si>
    <t>Active Licensee</t>
  </si>
  <si>
    <t>Inputs</t>
  </si>
  <si>
    <t>Transformation</t>
  </si>
  <si>
    <t>Front</t>
  </si>
  <si>
    <t>Data</t>
  </si>
  <si>
    <t>CYt</t>
  </si>
  <si>
    <t>CYREt</t>
  </si>
  <si>
    <r>
      <t xml:space="preserve">Re-opener_Cyber re-opener (Cadent_EoE) / </t>
    </r>
    <r>
      <rPr>
        <b/>
        <sz val="11"/>
        <color theme="1"/>
        <rFont val="Aptos Narrow"/>
        <family val="2"/>
        <scheme val="minor"/>
      </rPr>
      <t>Cyber resilience Re-Opener</t>
    </r>
  </si>
  <si>
    <r>
      <t xml:space="preserve">Re-opener_Resilience re-opener / </t>
    </r>
    <r>
      <rPr>
        <b/>
        <sz val="11"/>
        <color theme="1"/>
        <rFont val="Aptos Narrow"/>
        <family val="2"/>
        <scheme val="minor"/>
      </rPr>
      <t>Resilience Activity Re-opener</t>
    </r>
  </si>
  <si>
    <t>DIGITt</t>
  </si>
  <si>
    <r>
      <t xml:space="preserve">PCD_Tier 1 Services PCD / </t>
    </r>
    <r>
      <rPr>
        <b/>
        <sz val="11"/>
        <color theme="1"/>
        <rFont val="Aptos Narrow"/>
        <family val="2"/>
        <scheme val="minor"/>
      </rPr>
      <t>Tier 1 Services Repex PCD</t>
    </r>
  </si>
  <si>
    <t>UIOLI_Biomethane connections / Biomethane Distributed Entry Reinforcement</t>
  </si>
  <si>
    <t>BDERt</t>
  </si>
  <si>
    <t>CDSt</t>
  </si>
  <si>
    <t>PCD_Flow Weighted Average Calorific Value Compliance (Cadent_all) / FWACV Compliance (Cadent_all)</t>
  </si>
  <si>
    <t>LMPt</t>
  </si>
  <si>
    <t>MDSt</t>
  </si>
  <si>
    <t>PCD_Iron Stubs / Tier 1 Stubs decommissioning PCD</t>
  </si>
  <si>
    <t>STBDt</t>
  </si>
  <si>
    <r>
      <t xml:space="preserve">Licensed Activity / </t>
    </r>
    <r>
      <rPr>
        <b/>
        <sz val="11"/>
        <color theme="1"/>
        <rFont val="Aptos Narrow"/>
        <family val="2"/>
        <scheme val="minor"/>
      </rPr>
      <t>Licence Fees</t>
    </r>
  </si>
  <si>
    <r>
      <t xml:space="preserve">Gas Illegally Taken / </t>
    </r>
    <r>
      <rPr>
        <b/>
        <sz val="11"/>
        <color theme="1"/>
        <rFont val="Aptos Narrow"/>
        <family val="2"/>
        <scheme val="minor"/>
      </rPr>
      <t>Gas theft</t>
    </r>
  </si>
  <si>
    <r>
      <t xml:space="preserve">NTS Exit Flat Capacity Costs and NTS Exit Flex Capacity Costs / </t>
    </r>
    <r>
      <rPr>
        <b/>
        <sz val="11"/>
        <color theme="1"/>
        <rFont val="Aptos Narrow"/>
        <family val="2"/>
        <scheme val="minor"/>
      </rPr>
      <t>NTS Exit Costs</t>
    </r>
  </si>
  <si>
    <t>7 and 28 day Repair ODI</t>
  </si>
  <si>
    <t>STEDt</t>
  </si>
  <si>
    <t>FD values</t>
  </si>
  <si>
    <t>Updated values</t>
  </si>
  <si>
    <t>Licensee</t>
  </si>
  <si>
    <t>Item</t>
  </si>
  <si>
    <t>All</t>
  </si>
  <si>
    <t>row 783</t>
  </si>
  <si>
    <t>row 787</t>
  </si>
  <si>
    <t>row 788</t>
  </si>
  <si>
    <t>row 792</t>
  </si>
  <si>
    <t>row 793</t>
  </si>
  <si>
    <t>row 797</t>
  </si>
  <si>
    <r>
      <rPr>
        <b/>
        <i/>
        <sz val="10"/>
        <color theme="1"/>
        <rFont val="Aptos"/>
        <family val="2"/>
      </rPr>
      <t xml:space="preserve">LicenseeInputs </t>
    </r>
    <r>
      <rPr>
        <b/>
        <sz val="10"/>
        <color theme="1"/>
        <rFont val="Aptos"/>
        <family val="2"/>
      </rPr>
      <t>reference</t>
    </r>
  </si>
  <si>
    <t>PREt</t>
  </si>
  <si>
    <t>DPDt</t>
  </si>
  <si>
    <t>SDPt</t>
  </si>
  <si>
    <t>DEPt</t>
  </si>
  <si>
    <t xml:space="preserve">GD2ACAt </t>
  </si>
  <si>
    <r>
      <t xml:space="preserve">PCD_WWU.7 - HS007 (WWU_WWU) / </t>
    </r>
    <r>
      <rPr>
        <b/>
        <sz val="11"/>
        <color theme="1"/>
        <rFont val="Aptos Narrow"/>
        <family val="2"/>
        <scheme val="minor"/>
      </rPr>
      <t>Pipeline Replacements PCD (WWU)</t>
    </r>
  </si>
  <si>
    <r>
      <t xml:space="preserve">PCD_WWU.9 - HS010 (WWU_WWU) / </t>
    </r>
    <r>
      <rPr>
        <b/>
        <sz val="11"/>
        <color theme="1"/>
        <rFont val="Aptos Narrow"/>
        <family val="2"/>
        <scheme val="minor"/>
      </rPr>
      <t>Pipeline Replacements PCD (WWU)</t>
    </r>
  </si>
  <si>
    <r>
      <t xml:space="preserve">PCD_WWU.9 - HS009 (WWU_WWU) / </t>
    </r>
    <r>
      <rPr>
        <b/>
        <sz val="11"/>
        <color theme="1"/>
        <rFont val="Aptos Narrow"/>
        <family val="2"/>
        <scheme val="minor"/>
      </rPr>
      <t>Pipeline Replacements PCD (WWU)</t>
    </r>
  </si>
  <si>
    <r>
      <t xml:space="preserve">PCD_Glenmavis (Offtake) (SGN_Sc) / </t>
    </r>
    <r>
      <rPr>
        <b/>
        <sz val="11"/>
        <color theme="1"/>
        <rFont val="Aptos Narrow"/>
        <family val="2"/>
        <scheme val="minor"/>
      </rPr>
      <t>Full site and system rebuilds PCD (SGN)</t>
    </r>
  </si>
  <si>
    <r>
      <t xml:space="preserve">PCD_Isle of Grain (SGN_So) / </t>
    </r>
    <r>
      <rPr>
        <b/>
        <sz val="11"/>
        <color theme="1"/>
        <rFont val="Aptos Narrow"/>
        <family val="2"/>
        <scheme val="minor"/>
      </rPr>
      <t>Full site and system rebuilds PCD (SGN)</t>
    </r>
  </si>
  <si>
    <r>
      <t xml:space="preserve">PCD_Welling PRS - Full Site Rebuild  (SGN_So) / </t>
    </r>
    <r>
      <rPr>
        <b/>
        <sz val="11"/>
        <color theme="1"/>
        <rFont val="Aptos Narrow"/>
        <family val="2"/>
        <scheme val="minor"/>
      </rPr>
      <t>Full site and system rebuilds PCD (SGN)</t>
    </r>
  </si>
  <si>
    <r>
      <t xml:space="preserve">UIOLI_Net Zero and Re-opener Development Fund / </t>
    </r>
    <r>
      <rPr>
        <b/>
        <sz val="11"/>
        <color theme="1"/>
        <rFont val="Aptos Narrow"/>
        <family val="2"/>
        <scheme val="minor"/>
      </rPr>
      <t>Decarbonisation Project Development Fund UIOLI</t>
    </r>
  </si>
  <si>
    <r>
      <t xml:space="preserve">Re-opener_Net Zero Pre-construction Works and Small Net Zero Projects Re-opener / </t>
    </r>
    <r>
      <rPr>
        <b/>
        <sz val="11"/>
        <color theme="1"/>
        <rFont val="Aptos Narrow"/>
        <family val="2"/>
        <scheme val="minor"/>
      </rPr>
      <t>Small Decarbonisation Projects Re-opener</t>
    </r>
  </si>
  <si>
    <r>
      <t xml:space="preserve">Re-opener_Net zero re-opener / </t>
    </r>
    <r>
      <rPr>
        <b/>
        <sz val="11"/>
        <color theme="1"/>
        <rFont val="Aptos Narrow"/>
        <family val="2"/>
        <scheme val="minor"/>
      </rPr>
      <t>Decarbonisation and Environmental Policy Re-opener</t>
    </r>
  </si>
  <si>
    <r>
      <t xml:space="preserve">Re-opener_East Coast Hydrogen NZASP Re-Opener (EoE and NGN) / </t>
    </r>
    <r>
      <rPr>
        <b/>
        <sz val="11"/>
        <color theme="1"/>
        <rFont val="Aptos Narrow"/>
        <family val="2"/>
        <scheme val="minor"/>
      </rPr>
      <t>GD2/GD3 Crossover Adjustment</t>
    </r>
  </si>
  <si>
    <t>SpC 3.32</t>
  </si>
  <si>
    <t>AU70</t>
  </si>
  <si>
    <t>AU71</t>
  </si>
  <si>
    <t>row 26</t>
  </si>
  <si>
    <t>row 27</t>
  </si>
  <si>
    <t>row 28</t>
  </si>
  <si>
    <t>row 29</t>
  </si>
  <si>
    <t>row 33</t>
  </si>
  <si>
    <t>row 34</t>
  </si>
  <si>
    <t>row 35</t>
  </si>
  <si>
    <t>row 803</t>
  </si>
  <si>
    <t>row 804</t>
  </si>
  <si>
    <t>row 805</t>
  </si>
  <si>
    <t>row 806</t>
  </si>
  <si>
    <t>row 807</t>
  </si>
  <si>
    <t>row 808</t>
  </si>
  <si>
    <t>row 84</t>
  </si>
  <si>
    <t>row 85</t>
  </si>
  <si>
    <t>AU92</t>
  </si>
  <si>
    <t>AU93</t>
  </si>
  <si>
    <t>AU88</t>
  </si>
  <si>
    <t>AU89</t>
  </si>
  <si>
    <t>AU90</t>
  </si>
  <si>
    <t>AU91</t>
  </si>
  <si>
    <t>AT94</t>
  </si>
  <si>
    <t>AT95</t>
  </si>
  <si>
    <t>AU96</t>
  </si>
  <si>
    <t>VD_[spare slot]</t>
  </si>
  <si>
    <t>Re-opener_General Reinforcement</t>
  </si>
  <si>
    <t>Supplier of Last Resport Net Costs</t>
  </si>
  <si>
    <t>Deferred Revenue Expenditure capital allowance rate</t>
  </si>
  <si>
    <t>row 36</t>
  </si>
  <si>
    <t>row 800</t>
  </si>
  <si>
    <t>PCD_EVs  / Operational Transport Emissions Reduction PCD</t>
  </si>
  <si>
    <t>LOSBPt</t>
  </si>
  <si>
    <t>row 759</t>
  </si>
  <si>
    <t>row 765</t>
  </si>
  <si>
    <t>row 37</t>
  </si>
  <si>
    <t>row 56</t>
  </si>
  <si>
    <t>GDVDt</t>
  </si>
  <si>
    <t>Allowed Revenue Split (Presentational only)</t>
  </si>
  <si>
    <t>Totex forecasts contained within this model reflect GD3 final determination at Ofgems request, these may differ to our internal forecasts.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</si>
</sst>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
    <numFmt numFmtId="165" formatCode="#,##0.0_);\(#,##0.0\);\-_)"/>
    <numFmt numFmtId="166" formatCode="#,##0.0;\(#,##0.0\);&quot;-&quot;"/>
    <numFmt numFmtId="167" formatCode="0.0%;\(0.0%\);&quot;-&quot;"/>
    <numFmt numFmtId="168" formatCode="0;\(0\);&quot;-&quot;"/>
    <numFmt numFmtId="169" formatCode="0.00;\(0.00\);&quot;-&quot;"/>
    <numFmt numFmtId="170" formatCode="0.0%"/>
    <numFmt numFmtId="171" formatCode="0.000%"/>
    <numFmt numFmtId="172" formatCode="0.000000%"/>
    <numFmt numFmtId="173" formatCode="0.00000%"/>
    <numFmt numFmtId="174" formatCode="#,##0.00;\(#,##0.00\);&quot;-&quot;"/>
    <numFmt numFmtId="175" formatCode="0.0000%"/>
    <numFmt numFmtId="176" formatCode="General;\-General;&quot;-&quot;"/>
    <numFmt numFmtId="177" formatCode="0.00%;\(0.00%\);&quot;-&quot;"/>
    <numFmt numFmtId="178" formatCode="dd\ mmm\ yyyy"/>
    <numFmt numFmtId="179" formatCode="#,##0.000;\(#,##0.000\);&quot;-&quot;"/>
    <numFmt numFmtId="180" formatCode="#,##0.0000;\(#,##0.0000\);&quot;-&quot;"/>
    <numFmt numFmtId="181" formatCode="0.0000"/>
  </numFmts>
  <fonts count="25" x14ac:knownFonts="1">
    <font>
      <sz val="11"/>
      <color theme="1"/>
      <name val="Aptos Narrow"/>
      <family val="2"/>
      <scheme val="minor"/>
    </font>
    <font>
      <sz val="11"/>
      <color rgb="FF3F3F76"/>
      <name val="Aptos Narrow"/>
      <family val="2"/>
      <scheme val="minor"/>
    </font>
    <font>
      <b/>
      <sz val="11"/>
      <color theme="1"/>
      <name val="Aptos Narrow"/>
      <family val="2"/>
      <scheme val="minor"/>
    </font>
    <font>
      <i/>
      <sz val="11"/>
      <color theme="1"/>
      <name val="Aptos Narrow"/>
      <family val="2"/>
      <scheme val="minor"/>
    </font>
    <font>
      <sz val="11"/>
      <name val="Aptos Narrow"/>
      <family val="2"/>
      <scheme val="minor"/>
    </font>
    <font>
      <sz val="10"/>
      <color theme="1"/>
      <name val="Gill Sans MT"/>
      <family val="2"/>
    </font>
    <font>
      <sz val="11"/>
      <color theme="1"/>
      <name val="Aptos Narrow"/>
      <family val="2"/>
      <scheme val="minor"/>
    </font>
    <font>
      <sz val="8"/>
      <name val="Aptos Narrow"/>
      <family val="2"/>
      <scheme val="minor"/>
    </font>
    <font>
      <b/>
      <sz val="15"/>
      <color theme="3"/>
      <name val="Aptos Narrow"/>
      <family val="2"/>
      <scheme val="minor"/>
    </font>
    <font>
      <b/>
      <sz val="13"/>
      <color theme="3"/>
      <name val="Aptos Narrow"/>
      <family val="2"/>
      <scheme val="minor"/>
    </font>
    <font>
      <b/>
      <sz val="11"/>
      <color theme="3"/>
      <name val="Aptos Narrow"/>
      <family val="2"/>
      <scheme val="minor"/>
    </font>
    <font>
      <sz val="11"/>
      <color theme="4"/>
      <name val="Aptos Narrow"/>
      <family val="2"/>
      <scheme val="minor"/>
    </font>
    <font>
      <b/>
      <sz val="11"/>
      <name val="Aptos Narrow"/>
      <family val="2"/>
      <scheme val="minor"/>
    </font>
    <font>
      <i/>
      <sz val="11"/>
      <name val="Aptos Narrow"/>
      <family val="2"/>
      <scheme val="minor"/>
    </font>
    <font>
      <b/>
      <i/>
      <sz val="10"/>
      <color theme="1"/>
      <name val="Gill Sans MT"/>
      <family val="2"/>
    </font>
    <font>
      <b/>
      <i/>
      <sz val="11"/>
      <color theme="1"/>
      <name val="Aptos Narrow"/>
      <family val="2"/>
      <scheme val="minor"/>
    </font>
    <font>
      <sz val="11"/>
      <color theme="2" tint="-0.89999084444715716"/>
      <name val="Aptos Narrow"/>
      <family val="2"/>
      <scheme val="minor"/>
    </font>
    <font>
      <b/>
      <sz val="11"/>
      <color indexed="8"/>
      <name val="Aptos Narrow"/>
      <family val="2"/>
      <scheme val="minor"/>
    </font>
    <font>
      <sz val="11"/>
      <color indexed="8"/>
      <name val="Aptos Narrow"/>
      <family val="2"/>
      <scheme val="minor"/>
    </font>
    <font>
      <i/>
      <sz val="11"/>
      <color indexed="8"/>
      <name val="Aptos Narrow"/>
      <family val="2"/>
      <scheme val="minor"/>
    </font>
    <font>
      <b/>
      <i/>
      <sz val="11"/>
      <name val="Aptos Narrow"/>
      <family val="2"/>
      <scheme val="minor"/>
    </font>
    <font>
      <b/>
      <sz val="10"/>
      <color theme="1"/>
      <name val="Aptos"/>
      <family val="2"/>
    </font>
    <font>
      <sz val="10"/>
      <name val="Aptos"/>
      <family val="2"/>
    </font>
    <font>
      <b/>
      <i/>
      <sz val="10"/>
      <color theme="1"/>
      <name val="Aptos"/>
      <family val="2"/>
    </font>
    <font>
      <b/>
      <sz val="11"/>
      <color theme="0"/>
      <name val="Aptos Narrow"/>
      <family val="2"/>
      <scheme val="minor"/>
    </font>
  </fonts>
  <fills count="14">
    <fill>
      <patternFill patternType="none"/>
    </fill>
    <fill>
      <patternFill patternType="gray125"/>
    </fill>
    <fill>
      <patternFill patternType="solid">
        <fgColor rgb="FFFF9900"/>
        <bgColor indexed="64"/>
      </patternFill>
    </fill>
    <fill>
      <patternFill patternType="solid">
        <fgColor rgb="FFFDCA90"/>
        <bgColor indexed="64"/>
      </patternFill>
    </fill>
    <fill>
      <patternFill patternType="solid">
        <fgColor rgb="FF85ABDA"/>
        <bgColor indexed="64"/>
      </patternFill>
    </fill>
    <fill>
      <patternFill patternType="solid">
        <fgColor rgb="FFBAA0CC"/>
        <bgColor indexed="64"/>
      </patternFill>
    </fill>
    <fill>
      <patternFill patternType="solid">
        <fgColor rgb="FFFFFFCC"/>
        <bgColor indexed="64"/>
      </patternFill>
    </fill>
    <fill>
      <patternFill patternType="solid">
        <fgColor rgb="FFC3E4EB"/>
        <bgColor indexed="64"/>
      </patternFill>
    </fill>
    <fill>
      <patternFill patternType="solid">
        <fgColor theme="5" tint="0.79998168889431442"/>
        <bgColor indexed="64"/>
      </patternFill>
    </fill>
    <fill>
      <patternFill patternType="solid">
        <fgColor rgb="FF7FB5BA"/>
        <bgColor indexed="64"/>
      </patternFill>
    </fill>
    <fill>
      <patternFill patternType="solid">
        <fgColor rgb="FFE9D2C6"/>
        <bgColor indexed="64"/>
      </patternFill>
    </fill>
    <fill>
      <patternFill patternType="solid">
        <fgColor theme="0" tint="-0.249977111117893"/>
        <bgColor indexed="64"/>
      </patternFill>
    </fill>
    <fill>
      <patternFill patternType="solid">
        <fgColor rgb="FFFFFF00"/>
        <bgColor indexed="64"/>
      </patternFill>
    </fill>
    <fill>
      <patternFill patternType="solid">
        <fgColor theme="5"/>
        <bgColor indexed="64"/>
      </patternFill>
    </fill>
  </fills>
  <borders count="63">
    <border>
      <left/>
      <right/>
      <top/>
      <bottom/>
      <diagonal/>
    </border>
    <border>
      <left style="thin">
        <color rgb="FF7F7F7F"/>
      </left>
      <right style="thin">
        <color rgb="FF7F7F7F"/>
      </right>
      <top style="thin">
        <color rgb="FF7F7F7F"/>
      </top>
      <bottom style="thin">
        <color rgb="FF7F7F7F"/>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indexed="64"/>
      </left>
      <right style="thin">
        <color rgb="FF7F7F7F"/>
      </right>
      <top style="thin">
        <color rgb="FF7F7F7F"/>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rgb="FF7F7F7F"/>
      </right>
      <top/>
      <bottom/>
      <diagonal/>
    </border>
    <border>
      <left/>
      <right style="thin">
        <color rgb="FF7F7F7F"/>
      </right>
      <top style="thin">
        <color rgb="FF7F7F7F"/>
      </top>
      <bottom style="thin">
        <color rgb="FF7F7F7F"/>
      </bottom>
      <diagonal/>
    </border>
    <border>
      <left/>
      <right style="thin">
        <color rgb="FF7F7F7F"/>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right style="thin">
        <color indexed="64"/>
      </right>
      <top style="thin">
        <color indexed="64"/>
      </top>
      <bottom style="thin">
        <color indexed="64"/>
      </bottom>
      <diagonal/>
    </border>
    <border>
      <left style="thin">
        <color indexed="64"/>
      </left>
      <right style="thin">
        <color indexed="64"/>
      </right>
      <top style="thin">
        <color rgb="FF7F7F7F"/>
      </top>
      <bottom style="thin">
        <color rgb="FF7F7F7F"/>
      </bottom>
      <diagonal/>
    </border>
    <border>
      <left style="dash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thin">
        <color rgb="FF7F7F7F"/>
      </right>
      <top style="dashed">
        <color indexed="64"/>
      </top>
      <bottom style="thin">
        <color rgb="FF7F7F7F"/>
      </bottom>
      <diagonal/>
    </border>
    <border>
      <left style="thin">
        <color rgb="FF7F7F7F"/>
      </left>
      <right style="thin">
        <color rgb="FF7F7F7F"/>
      </right>
      <top style="dashed">
        <color indexed="64"/>
      </top>
      <bottom style="thin">
        <color rgb="FF7F7F7F"/>
      </bottom>
      <diagonal/>
    </border>
    <border>
      <left style="thin">
        <color rgb="FF7F7F7F"/>
      </left>
      <right style="dashed">
        <color indexed="64"/>
      </right>
      <top style="dashed">
        <color indexed="64"/>
      </top>
      <bottom style="thin">
        <color rgb="FF7F7F7F"/>
      </bottom>
      <diagonal/>
    </border>
    <border>
      <left style="dashed">
        <color indexed="64"/>
      </left>
      <right/>
      <top/>
      <bottom/>
      <diagonal/>
    </border>
    <border>
      <left style="thin">
        <color rgb="FF7F7F7F"/>
      </left>
      <right style="dashed">
        <color indexed="64"/>
      </right>
      <top style="thin">
        <color rgb="FF7F7F7F"/>
      </top>
      <bottom style="thin">
        <color rgb="FF7F7F7F"/>
      </bottom>
      <diagonal/>
    </border>
    <border>
      <left style="dashed">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thin">
        <color rgb="FF7F7F7F"/>
      </right>
      <top style="thin">
        <color rgb="FF7F7F7F"/>
      </top>
      <bottom style="dashed">
        <color indexed="64"/>
      </bottom>
      <diagonal/>
    </border>
    <border>
      <left style="thin">
        <color rgb="FF7F7F7F"/>
      </left>
      <right style="thin">
        <color rgb="FF7F7F7F"/>
      </right>
      <top style="thin">
        <color rgb="FF7F7F7F"/>
      </top>
      <bottom style="dashed">
        <color indexed="64"/>
      </bottom>
      <diagonal/>
    </border>
    <border>
      <left style="thin">
        <color rgb="FF7F7F7F"/>
      </left>
      <right style="dashed">
        <color indexed="64"/>
      </right>
      <top style="thin">
        <color rgb="FF7F7F7F"/>
      </top>
      <bottom style="dashed">
        <color indexed="64"/>
      </bottom>
      <diagonal/>
    </border>
    <border>
      <left/>
      <right style="thin">
        <color rgb="FF7F7F7F"/>
      </right>
      <top/>
      <bottom style="thin">
        <color rgb="FF7F7F7F"/>
      </bottom>
      <diagonal/>
    </border>
    <border>
      <left style="thin">
        <color rgb="FF7F7F7F"/>
      </left>
      <right style="dashed">
        <color indexed="64"/>
      </right>
      <top/>
      <bottom style="thin">
        <color rgb="FF7F7F7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rgb="FF7F7F7F"/>
      </right>
      <top style="thin">
        <color rgb="FF7F7F7F"/>
      </top>
      <bottom style="thin">
        <color rgb="FF7F7F7F"/>
      </bottom>
      <diagonal/>
    </border>
    <border>
      <left style="medium">
        <color indexed="64"/>
      </left>
      <right style="thin">
        <color rgb="FF7F7F7F"/>
      </right>
      <top style="thin">
        <color rgb="FF7F7F7F"/>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style="thin">
        <color rgb="FF7F7F7F"/>
      </right>
      <top/>
      <bottom style="thin">
        <color rgb="FF7F7F7F"/>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medium">
        <color indexed="64"/>
      </bottom>
      <diagonal/>
    </border>
    <border>
      <left style="thin">
        <color indexed="64"/>
      </left>
      <right/>
      <top/>
      <bottom/>
      <diagonal/>
    </border>
  </borders>
  <cellStyleXfs count="32">
    <xf numFmtId="0" fontId="0" fillId="0" borderId="0"/>
    <xf numFmtId="167" fontId="1" fillId="3" borderId="1" applyAlignment="0" applyProtection="0"/>
    <xf numFmtId="166" fontId="4" fillId="4" borderId="1" applyAlignment="0" applyProtection="0"/>
    <xf numFmtId="9" fontId="6" fillId="0" borderId="0" applyFont="0" applyFill="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166" fontId="11" fillId="0" borderId="1" applyAlignment="0" applyProtection="0"/>
    <xf numFmtId="166" fontId="4" fillId="0" borderId="1" applyAlignment="0" applyProtection="0"/>
    <xf numFmtId="166" fontId="1" fillId="3" borderId="1" applyAlignment="0" applyProtection="0"/>
    <xf numFmtId="166" fontId="4" fillId="5" borderId="1" applyAlignment="0" applyProtection="0"/>
    <xf numFmtId="166" fontId="12" fillId="0" borderId="1" applyAlignment="0" applyProtection="0"/>
    <xf numFmtId="167" fontId="4" fillId="4" borderId="1" applyAlignment="0" applyProtection="0"/>
    <xf numFmtId="167" fontId="4" fillId="0" borderId="1" applyAlignment="0" applyProtection="0"/>
    <xf numFmtId="167" fontId="11" fillId="0" borderId="1" applyAlignment="0" applyProtection="0"/>
    <xf numFmtId="167" fontId="4" fillId="5" borderId="1" applyAlignment="0" applyProtection="0"/>
    <xf numFmtId="14" fontId="1" fillId="3" borderId="1" applyAlignment="0" applyProtection="0"/>
    <xf numFmtId="169" fontId="1" fillId="3" borderId="1" applyAlignment="0" applyProtection="0"/>
    <xf numFmtId="14" fontId="4" fillId="5" borderId="1" applyAlignment="0" applyProtection="0"/>
    <xf numFmtId="169" fontId="4" fillId="0" borderId="1" applyAlignment="0" applyProtection="0"/>
    <xf numFmtId="168" fontId="4" fillId="0" borderId="1" applyAlignment="0" applyProtection="0"/>
    <xf numFmtId="169" fontId="11" fillId="0" borderId="1" applyAlignment="0" applyProtection="0"/>
    <xf numFmtId="168" fontId="11" fillId="0" borderId="1" applyAlignment="0" applyProtection="0"/>
    <xf numFmtId="168" fontId="1" fillId="3" borderId="1" applyAlignment="0" applyProtection="0"/>
    <xf numFmtId="168" fontId="4" fillId="5" borderId="1" applyAlignment="0" applyProtection="0"/>
    <xf numFmtId="14" fontId="4" fillId="0" borderId="1" applyAlignment="0" applyProtection="0"/>
    <xf numFmtId="169" fontId="4" fillId="5" borderId="1" applyAlignment="0" applyProtection="0"/>
    <xf numFmtId="168" fontId="4" fillId="4" borderId="1" applyAlignment="0" applyProtection="0"/>
    <xf numFmtId="167" fontId="12" fillId="0" borderId="1" applyAlignment="0" applyProtection="0"/>
    <xf numFmtId="14" fontId="11" fillId="0" borderId="1" applyAlignment="0" applyProtection="0"/>
    <xf numFmtId="0" fontId="10" fillId="0" borderId="0" applyNumberFormat="0" applyFill="0" applyBorder="0" applyAlignment="0" applyProtection="0"/>
    <xf numFmtId="165" fontId="5" fillId="11" borderId="0"/>
  </cellStyleXfs>
  <cellXfs count="340">
    <xf numFmtId="0" fontId="0" fillId="0" borderId="0" xfId="0"/>
    <xf numFmtId="0" fontId="3" fillId="0" borderId="0" xfId="0" applyFont="1"/>
    <xf numFmtId="14" fontId="0" fillId="0" borderId="0" xfId="0" applyNumberFormat="1"/>
    <xf numFmtId="0" fontId="2" fillId="0" borderId="0" xfId="0" applyFont="1"/>
    <xf numFmtId="0" fontId="4" fillId="0" borderId="0" xfId="0" applyFont="1"/>
    <xf numFmtId="0" fontId="3" fillId="0" borderId="0" xfId="0" quotePrefix="1" applyFont="1"/>
    <xf numFmtId="165" fontId="5" fillId="0" borderId="0" xfId="0" applyNumberFormat="1" applyFont="1" applyAlignment="1">
      <alignment vertical="center"/>
    </xf>
    <xf numFmtId="165" fontId="8" fillId="0" borderId="3" xfId="4" applyNumberFormat="1" applyAlignment="1">
      <alignment vertical="center"/>
    </xf>
    <xf numFmtId="165" fontId="9" fillId="0" borderId="4" xfId="5" applyNumberFormat="1" applyAlignment="1">
      <alignment vertical="center"/>
    </xf>
    <xf numFmtId="165" fontId="10" fillId="0" borderId="5" xfId="6" applyNumberFormat="1"/>
    <xf numFmtId="0" fontId="0" fillId="0" borderId="0" xfId="0" applyAlignment="1">
      <alignment vertical="center"/>
    </xf>
    <xf numFmtId="0" fontId="10" fillId="0" borderId="5" xfId="6"/>
    <xf numFmtId="166" fontId="4" fillId="0" borderId="1" xfId="8"/>
    <xf numFmtId="0" fontId="8" fillId="0" borderId="3" xfId="4"/>
    <xf numFmtId="9" fontId="0" fillId="0" borderId="0" xfId="3" applyFont="1"/>
    <xf numFmtId="0" fontId="9" fillId="0" borderId="4" xfId="5"/>
    <xf numFmtId="0" fontId="3" fillId="0" borderId="0" xfId="0" applyFont="1" applyAlignment="1">
      <alignment vertical="center"/>
    </xf>
    <xf numFmtId="0" fontId="13" fillId="0" borderId="0" xfId="0" applyFont="1"/>
    <xf numFmtId="0" fontId="8" fillId="0" borderId="3" xfId="4" applyAlignment="1">
      <alignment vertical="center"/>
    </xf>
    <xf numFmtId="168" fontId="4" fillId="5" borderId="1" xfId="24"/>
    <xf numFmtId="166" fontId="4" fillId="4" borderId="1" xfId="2" applyAlignment="1">
      <alignment vertical="center"/>
    </xf>
    <xf numFmtId="167" fontId="4" fillId="4" borderId="1" xfId="12" applyAlignment="1">
      <alignment vertical="center"/>
    </xf>
    <xf numFmtId="166" fontId="1" fillId="3" borderId="1" xfId="9" applyAlignment="1">
      <alignment vertical="center"/>
    </xf>
    <xf numFmtId="167" fontId="1" fillId="3" borderId="1" xfId="1" applyAlignment="1">
      <alignment vertical="center"/>
    </xf>
    <xf numFmtId="168" fontId="1" fillId="3" borderId="1" xfId="23" applyAlignment="1">
      <alignment vertical="center"/>
    </xf>
    <xf numFmtId="14" fontId="1" fillId="3" borderId="1" xfId="16" applyAlignment="1">
      <alignment vertical="center"/>
    </xf>
    <xf numFmtId="166" fontId="4" fillId="4" borderId="1" xfId="2"/>
    <xf numFmtId="166" fontId="11" fillId="0" borderId="1" xfId="7"/>
    <xf numFmtId="167" fontId="4" fillId="4" borderId="1" xfId="12"/>
    <xf numFmtId="169" fontId="1" fillId="3" borderId="1" xfId="17" applyAlignment="1">
      <alignment vertical="center"/>
    </xf>
    <xf numFmtId="14" fontId="1" fillId="3" borderId="1" xfId="16"/>
    <xf numFmtId="168" fontId="1" fillId="3" borderId="1" xfId="23"/>
    <xf numFmtId="166" fontId="1" fillId="3" borderId="1" xfId="9"/>
    <xf numFmtId="165" fontId="0" fillId="0" borderId="0" xfId="0" applyNumberFormat="1" applyAlignment="1">
      <alignment vertical="center"/>
    </xf>
    <xf numFmtId="165" fontId="3" fillId="0" borderId="0" xfId="0" applyNumberFormat="1" applyFont="1" applyAlignment="1">
      <alignment vertical="center"/>
    </xf>
    <xf numFmtId="168" fontId="11" fillId="0" borderId="1" xfId="22" applyAlignment="1">
      <alignment vertical="center"/>
    </xf>
    <xf numFmtId="166" fontId="11" fillId="0" borderId="1" xfId="7" applyAlignment="1">
      <alignment vertical="center"/>
    </xf>
    <xf numFmtId="168" fontId="4" fillId="0" borderId="1" xfId="20" applyAlignment="1">
      <alignment vertical="center"/>
    </xf>
    <xf numFmtId="166" fontId="4" fillId="0" borderId="1" xfId="8" applyAlignment="1">
      <alignment vertical="center"/>
    </xf>
    <xf numFmtId="166" fontId="12" fillId="0" borderId="1" xfId="11" applyAlignment="1">
      <alignment vertical="center"/>
    </xf>
    <xf numFmtId="167" fontId="4" fillId="0" borderId="1" xfId="13" applyAlignment="1">
      <alignment vertical="center"/>
    </xf>
    <xf numFmtId="167" fontId="11" fillId="0" borderId="1" xfId="14" applyAlignment="1">
      <alignment vertical="center"/>
    </xf>
    <xf numFmtId="169" fontId="4" fillId="0" borderId="1" xfId="19" applyAlignment="1">
      <alignment vertical="center"/>
    </xf>
    <xf numFmtId="166" fontId="4" fillId="0" borderId="6" xfId="8" applyBorder="1"/>
    <xf numFmtId="168" fontId="4" fillId="0" borderId="1" xfId="20"/>
    <xf numFmtId="167" fontId="11" fillId="0" borderId="1" xfId="14"/>
    <xf numFmtId="167" fontId="4" fillId="0" borderId="1" xfId="13"/>
    <xf numFmtId="169" fontId="4" fillId="0" borderId="1" xfId="19"/>
    <xf numFmtId="169" fontId="11" fillId="0" borderId="1" xfId="21" applyAlignment="1">
      <alignment vertical="center"/>
    </xf>
    <xf numFmtId="165" fontId="0" fillId="0" borderId="0" xfId="0" quotePrefix="1" applyNumberFormat="1" applyAlignment="1">
      <alignment vertical="center"/>
    </xf>
    <xf numFmtId="166" fontId="4" fillId="5" borderId="1" xfId="10"/>
    <xf numFmtId="164" fontId="0" fillId="0" borderId="0" xfId="0" applyNumberFormat="1"/>
    <xf numFmtId="166" fontId="12" fillId="0" borderId="1" xfId="11"/>
    <xf numFmtId="167" fontId="4" fillId="5" borderId="1" xfId="15"/>
    <xf numFmtId="14" fontId="4" fillId="0" borderId="1" xfId="25"/>
    <xf numFmtId="2" fontId="0" fillId="0" borderId="0" xfId="0" applyNumberFormat="1"/>
    <xf numFmtId="169" fontId="4" fillId="5" borderId="1" xfId="26"/>
    <xf numFmtId="166" fontId="11" fillId="0" borderId="6" xfId="7" applyBorder="1"/>
    <xf numFmtId="0" fontId="0" fillId="0" borderId="0" xfId="0" quotePrefix="1"/>
    <xf numFmtId="168" fontId="4" fillId="4" borderId="1" xfId="27"/>
    <xf numFmtId="165" fontId="0" fillId="0" borderId="2" xfId="0" applyNumberFormat="1" applyBorder="1" applyAlignment="1">
      <alignment vertical="center"/>
    </xf>
    <xf numFmtId="0" fontId="0" fillId="0" borderId="2" xfId="0" applyBorder="1"/>
    <xf numFmtId="166" fontId="4" fillId="4" borderId="7" xfId="2" applyBorder="1" applyAlignment="1">
      <alignment vertical="center"/>
    </xf>
    <xf numFmtId="166" fontId="1" fillId="3" borderId="7" xfId="9" applyBorder="1" applyAlignment="1">
      <alignment vertical="center"/>
    </xf>
    <xf numFmtId="168" fontId="1" fillId="3" borderId="7" xfId="23" applyBorder="1" applyAlignment="1">
      <alignment vertical="center"/>
    </xf>
    <xf numFmtId="168" fontId="4" fillId="4" borderId="7" xfId="27" applyBorder="1"/>
    <xf numFmtId="166" fontId="4" fillId="4" borderId="7" xfId="2" applyBorder="1"/>
    <xf numFmtId="168" fontId="1" fillId="3" borderId="7" xfId="23" applyBorder="1"/>
    <xf numFmtId="167" fontId="12" fillId="0" borderId="1" xfId="28" applyAlignment="1">
      <alignment vertical="center"/>
    </xf>
    <xf numFmtId="166" fontId="4" fillId="0" borderId="7" xfId="8" applyBorder="1"/>
    <xf numFmtId="14" fontId="0" fillId="0" borderId="2" xfId="0" applyNumberFormat="1" applyBorder="1"/>
    <xf numFmtId="0" fontId="3" fillId="0" borderId="2" xfId="0" applyFont="1" applyBorder="1"/>
    <xf numFmtId="166" fontId="11" fillId="0" borderId="7" xfId="7" applyBorder="1"/>
    <xf numFmtId="166" fontId="4" fillId="5" borderId="7" xfId="10" applyBorder="1"/>
    <xf numFmtId="169" fontId="4" fillId="5" borderId="7" xfId="26" applyBorder="1"/>
    <xf numFmtId="164" fontId="0" fillId="0" borderId="2" xfId="0" applyNumberFormat="1" applyBorder="1"/>
    <xf numFmtId="43" fontId="0" fillId="0" borderId="0" xfId="0" applyNumberFormat="1"/>
    <xf numFmtId="170" fontId="0" fillId="0" borderId="0" xfId="3" applyNumberFormat="1" applyFont="1"/>
    <xf numFmtId="167" fontId="4" fillId="0" borderId="8" xfId="13" applyBorder="1"/>
    <xf numFmtId="167" fontId="0" fillId="0" borderId="0" xfId="0" applyNumberFormat="1"/>
    <xf numFmtId="10" fontId="0" fillId="0" borderId="0" xfId="3" applyNumberFormat="1" applyFont="1"/>
    <xf numFmtId="14" fontId="11" fillId="0" borderId="1" xfId="29" applyAlignment="1">
      <alignment vertical="center"/>
    </xf>
    <xf numFmtId="165" fontId="16" fillId="0" borderId="0" xfId="0" applyNumberFormat="1" applyFont="1" applyAlignment="1">
      <alignment vertical="center"/>
    </xf>
    <xf numFmtId="165" fontId="4" fillId="0" borderId="0" xfId="0" applyNumberFormat="1" applyFont="1" applyAlignment="1">
      <alignment vertical="center"/>
    </xf>
    <xf numFmtId="167" fontId="1" fillId="3" borderId="1" xfId="1"/>
    <xf numFmtId="14" fontId="4" fillId="5" borderId="1" xfId="18"/>
    <xf numFmtId="168" fontId="11" fillId="0" borderId="1" xfId="22"/>
    <xf numFmtId="166" fontId="11" fillId="0" borderId="9" xfId="7" applyBorder="1" applyAlignment="1">
      <alignment vertical="center"/>
    </xf>
    <xf numFmtId="165" fontId="3" fillId="0" borderId="0" xfId="0" applyNumberFormat="1" applyFont="1"/>
    <xf numFmtId="165" fontId="15" fillId="7" borderId="0" xfId="0" applyNumberFormat="1" applyFont="1" applyFill="1" applyAlignment="1">
      <alignment vertical="center"/>
    </xf>
    <xf numFmtId="0" fontId="0" fillId="7" borderId="0" xfId="0" applyFill="1"/>
    <xf numFmtId="0" fontId="0" fillId="7" borderId="2" xfId="0" applyFill="1" applyBorder="1" applyAlignment="1">
      <alignment vertical="center"/>
    </xf>
    <xf numFmtId="0" fontId="3" fillId="7" borderId="0" xfId="0" applyFont="1" applyFill="1"/>
    <xf numFmtId="14" fontId="0" fillId="7" borderId="0" xfId="0" applyNumberFormat="1" applyFill="1"/>
    <xf numFmtId="14" fontId="0" fillId="7" borderId="2" xfId="0" applyNumberFormat="1" applyFill="1" applyBorder="1"/>
    <xf numFmtId="165" fontId="14" fillId="7" borderId="0" xfId="0" applyNumberFormat="1" applyFont="1" applyFill="1" applyAlignment="1">
      <alignment vertical="center"/>
    </xf>
    <xf numFmtId="0" fontId="0" fillId="7" borderId="2" xfId="0" applyFill="1" applyBorder="1"/>
    <xf numFmtId="0" fontId="2" fillId="7" borderId="0" xfId="0" applyFont="1" applyFill="1"/>
    <xf numFmtId="166" fontId="0" fillId="0" borderId="0" xfId="0" applyNumberFormat="1"/>
    <xf numFmtId="169" fontId="0" fillId="0" borderId="0" xfId="0" applyNumberFormat="1"/>
    <xf numFmtId="171" fontId="0" fillId="0" borderId="0" xfId="3" applyNumberFormat="1" applyFont="1"/>
    <xf numFmtId="171" fontId="6" fillId="0" borderId="0" xfId="3" applyNumberFormat="1" applyFont="1"/>
    <xf numFmtId="171" fontId="0" fillId="0" borderId="0" xfId="0" applyNumberFormat="1"/>
    <xf numFmtId="166" fontId="3" fillId="0" borderId="0" xfId="0" applyNumberFormat="1" applyFont="1"/>
    <xf numFmtId="169" fontId="3" fillId="0" borderId="0" xfId="0" applyNumberFormat="1" applyFont="1"/>
    <xf numFmtId="172" fontId="6" fillId="0" borderId="0" xfId="3" applyNumberFormat="1" applyFont="1"/>
    <xf numFmtId="171" fontId="0" fillId="7" borderId="0" xfId="0" applyNumberFormat="1" applyFill="1"/>
    <xf numFmtId="171" fontId="17" fillId="7" borderId="0" xfId="0" applyNumberFormat="1" applyFont="1" applyFill="1"/>
    <xf numFmtId="173" fontId="0" fillId="0" borderId="2" xfId="3" applyNumberFormat="1" applyFont="1" applyBorder="1" applyAlignment="1">
      <alignment vertical="center"/>
    </xf>
    <xf numFmtId="0" fontId="18" fillId="7" borderId="0" xfId="0" applyFont="1" applyFill="1"/>
    <xf numFmtId="174" fontId="0" fillId="0" borderId="0" xfId="0" applyNumberFormat="1"/>
    <xf numFmtId="167" fontId="11" fillId="0" borderId="10" xfId="14" applyBorder="1"/>
    <xf numFmtId="175" fontId="0" fillId="0" borderId="0" xfId="3" applyNumberFormat="1" applyFont="1"/>
    <xf numFmtId="0" fontId="19" fillId="7" borderId="0" xfId="0" applyFont="1" applyFill="1"/>
    <xf numFmtId="165" fontId="20" fillId="7" borderId="0" xfId="0" applyNumberFormat="1" applyFont="1" applyFill="1" applyAlignment="1">
      <alignment vertical="center"/>
    </xf>
    <xf numFmtId="0" fontId="4" fillId="7" borderId="0" xfId="0" applyFont="1" applyFill="1"/>
    <xf numFmtId="0" fontId="4" fillId="7" borderId="2" xfId="0" applyFont="1" applyFill="1" applyBorder="1" applyAlignment="1">
      <alignment vertical="center"/>
    </xf>
    <xf numFmtId="0" fontId="13" fillId="7" borderId="0" xfId="0" applyFont="1" applyFill="1"/>
    <xf numFmtId="14" fontId="4" fillId="7" borderId="0" xfId="0" applyNumberFormat="1" applyFont="1" applyFill="1"/>
    <xf numFmtId="14" fontId="4" fillId="7" borderId="2" xfId="0" applyNumberFormat="1" applyFont="1" applyFill="1" applyBorder="1"/>
    <xf numFmtId="168" fontId="4" fillId="0" borderId="12" xfId="20" applyBorder="1"/>
    <xf numFmtId="168" fontId="4" fillId="0" borderId="13" xfId="20" applyBorder="1"/>
    <xf numFmtId="168" fontId="4" fillId="0" borderId="11" xfId="20" applyBorder="1"/>
    <xf numFmtId="165" fontId="9" fillId="0" borderId="4" xfId="5" applyNumberFormat="1"/>
    <xf numFmtId="176" fontId="11" fillId="0" borderId="1" xfId="7" applyNumberFormat="1"/>
    <xf numFmtId="176" fontId="0" fillId="7" borderId="0" xfId="0" applyNumberFormat="1" applyFill="1"/>
    <xf numFmtId="176" fontId="0" fillId="0" borderId="0" xfId="0" applyNumberFormat="1" applyAlignment="1">
      <alignment vertical="center"/>
    </xf>
    <xf numFmtId="176" fontId="0" fillId="0" borderId="0" xfId="0" applyNumberFormat="1"/>
    <xf numFmtId="0" fontId="10" fillId="0" borderId="5" xfId="30" applyBorder="1"/>
    <xf numFmtId="0" fontId="0" fillId="0" borderId="11" xfId="0" applyBorder="1"/>
    <xf numFmtId="0" fontId="3" fillId="0" borderId="14" xfId="0" applyFont="1" applyBorder="1"/>
    <xf numFmtId="0" fontId="10" fillId="0" borderId="0" xfId="30" applyBorder="1"/>
    <xf numFmtId="0" fontId="0" fillId="2" borderId="11" xfId="0" applyFill="1" applyBorder="1"/>
    <xf numFmtId="0" fontId="0" fillId="9" borderId="11" xfId="0" applyFill="1" applyBorder="1"/>
    <xf numFmtId="0" fontId="0" fillId="5" borderId="11" xfId="0" applyFill="1" applyBorder="1"/>
    <xf numFmtId="0" fontId="0" fillId="10" borderId="11" xfId="0" applyFill="1" applyBorder="1"/>
    <xf numFmtId="0" fontId="0" fillId="6" borderId="11" xfId="0" applyFill="1" applyBorder="1"/>
    <xf numFmtId="166" fontId="4" fillId="4" borderId="9" xfId="2" applyBorder="1" applyAlignment="1">
      <alignment vertical="center"/>
    </xf>
    <xf numFmtId="166" fontId="4" fillId="4" borderId="9" xfId="2" applyBorder="1"/>
    <xf numFmtId="166" fontId="1" fillId="3" borderId="9" xfId="9" applyBorder="1" applyAlignment="1">
      <alignment vertical="center"/>
    </xf>
    <xf numFmtId="167" fontId="1" fillId="3" borderId="9" xfId="1" applyBorder="1" applyAlignment="1">
      <alignment vertical="center"/>
    </xf>
    <xf numFmtId="167" fontId="4" fillId="4" borderId="9" xfId="12" applyBorder="1" applyAlignment="1">
      <alignment vertical="center"/>
    </xf>
    <xf numFmtId="168" fontId="1" fillId="3" borderId="9" xfId="23" applyBorder="1" applyAlignment="1">
      <alignment vertical="center"/>
    </xf>
    <xf numFmtId="168" fontId="1" fillId="3" borderId="9" xfId="23" applyBorder="1"/>
    <xf numFmtId="168" fontId="4" fillId="4" borderId="9" xfId="27" applyBorder="1"/>
    <xf numFmtId="167" fontId="4" fillId="4" borderId="9" xfId="12" applyBorder="1"/>
    <xf numFmtId="169" fontId="1" fillId="3" borderId="9" xfId="17" applyBorder="1" applyAlignment="1">
      <alignment vertical="center"/>
    </xf>
    <xf numFmtId="167" fontId="4" fillId="4" borderId="7" xfId="12" applyBorder="1" applyAlignment="1">
      <alignment vertical="center"/>
    </xf>
    <xf numFmtId="166" fontId="4" fillId="5" borderId="9" xfId="10" applyBorder="1"/>
    <xf numFmtId="167" fontId="4" fillId="5" borderId="9" xfId="15" applyBorder="1"/>
    <xf numFmtId="174" fontId="4" fillId="5" borderId="9" xfId="10" applyNumberFormat="1" applyBorder="1"/>
    <xf numFmtId="169" fontId="4" fillId="5" borderId="9" xfId="26" applyBorder="1"/>
    <xf numFmtId="166" fontId="4" fillId="0" borderId="9" xfId="8" applyBorder="1"/>
    <xf numFmtId="167" fontId="4" fillId="0" borderId="9" xfId="13" applyBorder="1"/>
    <xf numFmtId="166" fontId="11" fillId="0" borderId="9" xfId="7" applyBorder="1"/>
    <xf numFmtId="166" fontId="12" fillId="0" borderId="9" xfId="11" applyBorder="1"/>
    <xf numFmtId="169" fontId="4" fillId="0" borderId="9" xfId="19" applyBorder="1"/>
    <xf numFmtId="166" fontId="4" fillId="0" borderId="0" xfId="8" applyBorder="1"/>
    <xf numFmtId="167" fontId="11" fillId="0" borderId="9" xfId="14" applyBorder="1"/>
    <xf numFmtId="168" fontId="4" fillId="5" borderId="9" xfId="24" applyBorder="1"/>
    <xf numFmtId="168" fontId="4" fillId="0" borderId="9" xfId="20" applyBorder="1"/>
    <xf numFmtId="168" fontId="4" fillId="0" borderId="9" xfId="20" applyBorder="1" applyAlignment="1">
      <alignment vertical="center"/>
    </xf>
    <xf numFmtId="167" fontId="11" fillId="0" borderId="9" xfId="14" applyBorder="1" applyAlignment="1">
      <alignment vertical="center"/>
    </xf>
    <xf numFmtId="167" fontId="11" fillId="0" borderId="0" xfId="14" applyBorder="1" applyAlignment="1">
      <alignment vertical="center"/>
    </xf>
    <xf numFmtId="168" fontId="11" fillId="0" borderId="9" xfId="22" applyBorder="1" applyAlignment="1">
      <alignment vertical="center"/>
    </xf>
    <xf numFmtId="166" fontId="12" fillId="0" borderId="9" xfId="11" applyBorder="1" applyAlignment="1">
      <alignment vertical="center"/>
    </xf>
    <xf numFmtId="166" fontId="4" fillId="0" borderId="9" xfId="8" applyBorder="1" applyAlignment="1">
      <alignment vertical="center"/>
    </xf>
    <xf numFmtId="167" fontId="12" fillId="0" borderId="9" xfId="28" applyBorder="1" applyAlignment="1">
      <alignment vertical="center"/>
    </xf>
    <xf numFmtId="169" fontId="11" fillId="0" borderId="9" xfId="21" applyBorder="1" applyAlignment="1">
      <alignment vertical="center"/>
    </xf>
    <xf numFmtId="167" fontId="4" fillId="0" borderId="9" xfId="13" applyBorder="1" applyAlignment="1">
      <alignment vertical="center"/>
    </xf>
    <xf numFmtId="168" fontId="11" fillId="0" borderId="9" xfId="22" applyBorder="1"/>
    <xf numFmtId="169" fontId="4" fillId="0" borderId="9" xfId="19" applyBorder="1" applyAlignment="1">
      <alignment vertical="center"/>
    </xf>
    <xf numFmtId="167" fontId="4" fillId="0" borderId="7" xfId="13" applyBorder="1"/>
    <xf numFmtId="166" fontId="4" fillId="5" borderId="15" xfId="10" applyBorder="1"/>
    <xf numFmtId="166" fontId="11" fillId="0" borderId="15" xfId="7" applyBorder="1"/>
    <xf numFmtId="168" fontId="4" fillId="5" borderId="7" xfId="24" applyBorder="1"/>
    <xf numFmtId="168" fontId="4" fillId="0" borderId="7" xfId="20" applyBorder="1"/>
    <xf numFmtId="166" fontId="0" fillId="0" borderId="2" xfId="0" applyNumberFormat="1" applyBorder="1"/>
    <xf numFmtId="43" fontId="0" fillId="0" borderId="2" xfId="0" applyNumberFormat="1" applyBorder="1"/>
    <xf numFmtId="168" fontId="11" fillId="0" borderId="7" xfId="22" applyBorder="1" applyAlignment="1">
      <alignment vertical="center"/>
    </xf>
    <xf numFmtId="166" fontId="11" fillId="0" borderId="7" xfId="7" applyBorder="1" applyAlignment="1">
      <alignment vertical="center"/>
    </xf>
    <xf numFmtId="166" fontId="11" fillId="0" borderId="2" xfId="7" applyBorder="1" applyAlignment="1">
      <alignment vertical="center"/>
    </xf>
    <xf numFmtId="166" fontId="11" fillId="0" borderId="15" xfId="7" applyBorder="1" applyAlignment="1">
      <alignment vertical="center"/>
    </xf>
    <xf numFmtId="168" fontId="4" fillId="0" borderId="7" xfId="20" applyBorder="1" applyAlignment="1">
      <alignment vertical="center"/>
    </xf>
    <xf numFmtId="169" fontId="4" fillId="0" borderId="7" xfId="19" applyBorder="1"/>
    <xf numFmtId="167" fontId="0" fillId="0" borderId="2" xfId="0" applyNumberFormat="1" applyBorder="1"/>
    <xf numFmtId="167" fontId="11" fillId="0" borderId="7" xfId="14" applyBorder="1" applyAlignment="1">
      <alignment vertical="center"/>
    </xf>
    <xf numFmtId="165" fontId="0" fillId="0" borderId="16" xfId="0" applyNumberFormat="1" applyBorder="1" applyAlignment="1">
      <alignment vertical="center"/>
    </xf>
    <xf numFmtId="165" fontId="0" fillId="0" borderId="17" xfId="0" applyNumberFormat="1" applyBorder="1" applyAlignment="1">
      <alignment vertical="center"/>
    </xf>
    <xf numFmtId="173" fontId="0" fillId="0" borderId="18" xfId="3" applyNumberFormat="1" applyFont="1" applyBorder="1" applyAlignment="1">
      <alignment vertical="center"/>
    </xf>
    <xf numFmtId="167" fontId="1" fillId="3" borderId="19" xfId="1" applyBorder="1" applyAlignment="1">
      <alignment vertical="center"/>
    </xf>
    <xf numFmtId="167" fontId="1" fillId="3" borderId="20" xfId="1" applyBorder="1" applyAlignment="1">
      <alignment vertical="center"/>
    </xf>
    <xf numFmtId="167" fontId="1" fillId="3" borderId="21" xfId="1" applyBorder="1" applyAlignment="1">
      <alignment vertical="center"/>
    </xf>
    <xf numFmtId="165" fontId="0" fillId="0" borderId="22" xfId="0" applyNumberFormat="1" applyBorder="1" applyAlignment="1">
      <alignment vertical="center"/>
    </xf>
    <xf numFmtId="167" fontId="1" fillId="3" borderId="23" xfId="1" applyBorder="1" applyAlignment="1">
      <alignment vertical="center"/>
    </xf>
    <xf numFmtId="165" fontId="0" fillId="0" borderId="24" xfId="0" applyNumberFormat="1" applyBorder="1" applyAlignment="1">
      <alignment vertical="center"/>
    </xf>
    <xf numFmtId="165" fontId="0" fillId="0" borderId="25" xfId="0" applyNumberFormat="1" applyBorder="1" applyAlignment="1">
      <alignment vertical="center"/>
    </xf>
    <xf numFmtId="173" fontId="0" fillId="0" borderId="26" xfId="3" applyNumberFormat="1" applyFont="1" applyBorder="1" applyAlignment="1">
      <alignment vertical="center"/>
    </xf>
    <xf numFmtId="167" fontId="1" fillId="3" borderId="27" xfId="1" applyBorder="1" applyAlignment="1">
      <alignment vertical="center"/>
    </xf>
    <xf numFmtId="167" fontId="1" fillId="3" borderId="28" xfId="1" applyBorder="1" applyAlignment="1">
      <alignment vertical="center"/>
    </xf>
    <xf numFmtId="167" fontId="1" fillId="3" borderId="29" xfId="1" applyBorder="1" applyAlignment="1">
      <alignment vertical="center"/>
    </xf>
    <xf numFmtId="176" fontId="0" fillId="0" borderId="17" xfId="0" applyNumberFormat="1" applyBorder="1" applyAlignment="1">
      <alignment vertical="center"/>
    </xf>
    <xf numFmtId="165" fontId="0" fillId="0" borderId="18" xfId="0" applyNumberFormat="1" applyBorder="1" applyAlignment="1">
      <alignment vertical="center"/>
    </xf>
    <xf numFmtId="167" fontId="11" fillId="0" borderId="19" xfId="14" applyBorder="1" applyAlignment="1">
      <alignment vertical="center"/>
    </xf>
    <xf numFmtId="167" fontId="11" fillId="0" borderId="20" xfId="14" applyBorder="1" applyAlignment="1">
      <alignment vertical="center"/>
    </xf>
    <xf numFmtId="167" fontId="11" fillId="0" borderId="21" xfId="14" applyBorder="1" applyAlignment="1">
      <alignment vertical="center"/>
    </xf>
    <xf numFmtId="167" fontId="11" fillId="0" borderId="23" xfId="14" applyBorder="1" applyAlignment="1">
      <alignment vertical="center"/>
    </xf>
    <xf numFmtId="176" fontId="0" fillId="0" borderId="25" xfId="0" applyNumberFormat="1" applyBorder="1" applyAlignment="1">
      <alignment vertical="center"/>
    </xf>
    <xf numFmtId="165" fontId="0" fillId="0" borderId="26" xfId="0" applyNumberFormat="1" applyBorder="1" applyAlignment="1">
      <alignment vertical="center"/>
    </xf>
    <xf numFmtId="167" fontId="11" fillId="0" borderId="27" xfId="14" applyBorder="1" applyAlignment="1">
      <alignment vertical="center"/>
    </xf>
    <xf numFmtId="167" fontId="11" fillId="0" borderId="28" xfId="14" applyBorder="1" applyAlignment="1">
      <alignment vertical="center"/>
    </xf>
    <xf numFmtId="167" fontId="11" fillId="0" borderId="29" xfId="14" applyBorder="1" applyAlignment="1">
      <alignment vertical="center"/>
    </xf>
    <xf numFmtId="166" fontId="4" fillId="0" borderId="19" xfId="8" applyBorder="1" applyAlignment="1">
      <alignment vertical="center"/>
    </xf>
    <xf numFmtId="166" fontId="4" fillId="0" borderId="20" xfId="8" applyBorder="1" applyAlignment="1">
      <alignment vertical="center"/>
    </xf>
    <xf numFmtId="166" fontId="4" fillId="0" borderId="21" xfId="8" applyBorder="1" applyAlignment="1">
      <alignment vertical="center"/>
    </xf>
    <xf numFmtId="166" fontId="4" fillId="0" borderId="23" xfId="8" applyBorder="1" applyAlignment="1">
      <alignment vertical="center"/>
    </xf>
    <xf numFmtId="166" fontId="4" fillId="0" borderId="27" xfId="8" applyBorder="1" applyAlignment="1">
      <alignment vertical="center"/>
    </xf>
    <xf numFmtId="166" fontId="4" fillId="0" borderId="28" xfId="8" applyBorder="1" applyAlignment="1">
      <alignment vertical="center"/>
    </xf>
    <xf numFmtId="166" fontId="4" fillId="0" borderId="29" xfId="8" applyBorder="1" applyAlignment="1">
      <alignment vertical="center"/>
    </xf>
    <xf numFmtId="167" fontId="1" fillId="3" borderId="30" xfId="1" applyBorder="1" applyAlignment="1">
      <alignment vertical="center"/>
    </xf>
    <xf numFmtId="167" fontId="1" fillId="3" borderId="13" xfId="1" applyBorder="1" applyAlignment="1">
      <alignment vertical="center"/>
    </xf>
    <xf numFmtId="167" fontId="1" fillId="3" borderId="31" xfId="1" applyBorder="1" applyAlignment="1">
      <alignment vertical="center"/>
    </xf>
    <xf numFmtId="167" fontId="4" fillId="4" borderId="23" xfId="12" applyBorder="1" applyAlignment="1">
      <alignment vertical="center"/>
    </xf>
    <xf numFmtId="167" fontId="4" fillId="4" borderId="28" xfId="12" applyBorder="1" applyAlignment="1">
      <alignment vertical="center"/>
    </xf>
    <xf numFmtId="167" fontId="4" fillId="4" borderId="29" xfId="12" applyBorder="1" applyAlignment="1">
      <alignment vertical="center"/>
    </xf>
    <xf numFmtId="177" fontId="4" fillId="0" borderId="9" xfId="13" applyNumberFormat="1" applyBorder="1" applyAlignment="1">
      <alignment vertical="center"/>
    </xf>
    <xf numFmtId="177" fontId="4" fillId="0" borderId="1" xfId="13" applyNumberFormat="1" applyAlignment="1">
      <alignment vertical="center"/>
    </xf>
    <xf numFmtId="177" fontId="4" fillId="0" borderId="9" xfId="13" applyNumberFormat="1" applyBorder="1"/>
    <xf numFmtId="177" fontId="4" fillId="0" borderId="1" xfId="13" applyNumberFormat="1"/>
    <xf numFmtId="0" fontId="2" fillId="0" borderId="0" xfId="0" applyFont="1" applyAlignment="1">
      <alignment horizontal="centerContinuous" vertical="center"/>
    </xf>
    <xf numFmtId="178" fontId="21" fillId="0" borderId="0" xfId="0" applyNumberFormat="1" applyFont="1" applyAlignment="1">
      <alignment vertical="center"/>
    </xf>
    <xf numFmtId="14" fontId="0" fillId="0" borderId="38" xfId="0" applyNumberFormat="1" applyBorder="1" applyAlignment="1">
      <alignment horizontal="left" vertical="center"/>
    </xf>
    <xf numFmtId="0" fontId="0" fillId="0" borderId="39" xfId="0" applyBorder="1" applyAlignment="1">
      <alignment horizontal="center" vertical="center"/>
    </xf>
    <xf numFmtId="0" fontId="0" fillId="0" borderId="40" xfId="0" applyBorder="1" applyAlignment="1">
      <alignment horizontal="left" vertical="center"/>
    </xf>
    <xf numFmtId="0" fontId="0" fillId="0" borderId="41" xfId="0" applyBorder="1" applyAlignment="1">
      <alignment horizontal="left" vertical="center"/>
    </xf>
    <xf numFmtId="0" fontId="0" fillId="0" borderId="0" xfId="0" applyAlignment="1">
      <alignment horizontal="left" vertical="center"/>
    </xf>
    <xf numFmtId="0" fontId="0" fillId="0" borderId="42" xfId="0" applyBorder="1" applyAlignment="1">
      <alignment horizontal="left" vertical="center"/>
    </xf>
    <xf numFmtId="0" fontId="0" fillId="0" borderId="43" xfId="0" applyBorder="1" applyAlignment="1">
      <alignment horizontal="left" vertical="center"/>
    </xf>
    <xf numFmtId="0" fontId="0" fillId="0" borderId="11" xfId="0" applyBorder="1" applyAlignment="1">
      <alignment horizontal="center" vertical="center"/>
    </xf>
    <xf numFmtId="0" fontId="0" fillId="0" borderId="44" xfId="0" applyBorder="1" applyAlignment="1">
      <alignment horizontal="left" vertical="center"/>
    </xf>
    <xf numFmtId="0" fontId="0" fillId="0" borderId="45" xfId="0" applyBorder="1" applyAlignment="1">
      <alignment horizontal="left" vertical="center"/>
    </xf>
    <xf numFmtId="0" fontId="0" fillId="0" borderId="46" xfId="0" applyBorder="1" applyAlignment="1">
      <alignment horizontal="center" vertical="center"/>
    </xf>
    <xf numFmtId="0" fontId="0" fillId="0" borderId="47" xfId="0" applyBorder="1" applyAlignment="1">
      <alignment horizontal="left" vertical="center"/>
    </xf>
    <xf numFmtId="0" fontId="0" fillId="0" borderId="48" xfId="0" applyBorder="1" applyAlignment="1">
      <alignment horizontal="left" vertical="center"/>
    </xf>
    <xf numFmtId="0" fontId="21" fillId="8" borderId="35" xfId="0" applyFont="1" applyFill="1" applyBorder="1" applyAlignment="1">
      <alignment horizontal="center" vertical="center" wrapText="1"/>
    </xf>
    <xf numFmtId="0" fontId="21" fillId="8" borderId="36" xfId="0" applyFont="1" applyFill="1" applyBorder="1" applyAlignment="1">
      <alignment horizontal="center" vertical="center" wrapText="1"/>
    </xf>
    <xf numFmtId="0" fontId="21" fillId="8" borderId="33" xfId="0" applyFont="1" applyFill="1" applyBorder="1" applyAlignment="1">
      <alignment horizontal="center" vertical="center" wrapText="1"/>
    </xf>
    <xf numFmtId="178" fontId="21" fillId="8" borderId="35" xfId="0" applyNumberFormat="1" applyFont="1" applyFill="1" applyBorder="1" applyAlignment="1">
      <alignment vertical="center"/>
    </xf>
    <xf numFmtId="178" fontId="21" fillId="8" borderId="36" xfId="0" applyNumberFormat="1" applyFont="1" applyFill="1" applyBorder="1" applyAlignment="1">
      <alignment vertical="center"/>
    </xf>
    <xf numFmtId="178" fontId="21" fillId="8" borderId="37" xfId="0" applyNumberFormat="1" applyFont="1" applyFill="1" applyBorder="1" applyAlignment="1">
      <alignment vertical="center"/>
    </xf>
    <xf numFmtId="170" fontId="0" fillId="0" borderId="38" xfId="3" applyNumberFormat="1" applyFont="1" applyBorder="1" applyAlignment="1">
      <alignment horizontal="center" vertical="center"/>
    </xf>
    <xf numFmtId="170" fontId="0" fillId="0" borderId="39" xfId="3" applyNumberFormat="1" applyFont="1" applyBorder="1" applyAlignment="1">
      <alignment horizontal="center" vertical="center"/>
    </xf>
    <xf numFmtId="170" fontId="0" fillId="0" borderId="40" xfId="3" applyNumberFormat="1" applyFont="1" applyBorder="1" applyAlignment="1">
      <alignment horizontal="center" vertical="center"/>
    </xf>
    <xf numFmtId="9" fontId="0" fillId="0" borderId="43" xfId="3" applyFont="1" applyBorder="1" applyAlignment="1">
      <alignment horizontal="center" vertical="center"/>
    </xf>
    <xf numFmtId="9" fontId="0" fillId="0" borderId="11" xfId="3" applyFont="1" applyBorder="1" applyAlignment="1">
      <alignment horizontal="center" vertical="center"/>
    </xf>
    <xf numFmtId="9" fontId="0" fillId="0" borderId="42" xfId="3" applyFont="1" applyBorder="1" applyAlignment="1">
      <alignment horizontal="center" vertical="center"/>
    </xf>
    <xf numFmtId="0" fontId="0" fillId="0" borderId="43" xfId="0" applyBorder="1" applyAlignment="1">
      <alignment horizontal="center" vertical="center"/>
    </xf>
    <xf numFmtId="0" fontId="22" fillId="0" borderId="11" xfId="0" applyFont="1" applyBorder="1" applyAlignment="1">
      <alignment horizontal="center" vertical="top"/>
    </xf>
    <xf numFmtId="0" fontId="0" fillId="0" borderId="42" xfId="0" applyBorder="1" applyAlignment="1">
      <alignment horizontal="center" vertical="center"/>
    </xf>
    <xf numFmtId="0" fontId="0" fillId="0" borderId="45" xfId="0" applyBorder="1" applyAlignment="1">
      <alignment horizontal="center" vertical="center"/>
    </xf>
    <xf numFmtId="0" fontId="0" fillId="0" borderId="47" xfId="0" applyBorder="1" applyAlignment="1">
      <alignment horizontal="center" vertical="center"/>
    </xf>
    <xf numFmtId="10" fontId="0" fillId="0" borderId="43" xfId="3" applyNumberFormat="1" applyFont="1" applyBorder="1" applyAlignment="1">
      <alignment horizontal="center" vertical="center"/>
    </xf>
    <xf numFmtId="10" fontId="0" fillId="0" borderId="11" xfId="3" applyNumberFormat="1" applyFont="1" applyBorder="1" applyAlignment="1">
      <alignment horizontal="center" vertical="center"/>
    </xf>
    <xf numFmtId="10" fontId="0" fillId="0" borderId="42" xfId="3" applyNumberFormat="1" applyFont="1" applyBorder="1" applyAlignment="1">
      <alignment horizontal="center" vertical="center"/>
    </xf>
    <xf numFmtId="10" fontId="22" fillId="0" borderId="11" xfId="3" applyNumberFormat="1" applyFont="1" applyBorder="1" applyAlignment="1">
      <alignment horizontal="center" vertical="center" wrapText="1"/>
    </xf>
    <xf numFmtId="10" fontId="0" fillId="0" borderId="0" xfId="0" applyNumberFormat="1" applyAlignment="1">
      <alignment horizontal="left" vertical="center"/>
    </xf>
    <xf numFmtId="2" fontId="0" fillId="0" borderId="43" xfId="0" applyNumberFormat="1" applyBorder="1" applyAlignment="1">
      <alignment horizontal="center" vertical="center"/>
    </xf>
    <xf numFmtId="2" fontId="0" fillId="0" borderId="11" xfId="0" applyNumberFormat="1" applyBorder="1" applyAlignment="1">
      <alignment horizontal="center" vertical="center"/>
    </xf>
    <xf numFmtId="2" fontId="0" fillId="0" borderId="42" xfId="0" applyNumberFormat="1" applyBorder="1" applyAlignment="1">
      <alignment horizontal="center" vertical="center"/>
    </xf>
    <xf numFmtId="2" fontId="0" fillId="0" borderId="0" xfId="0" applyNumberFormat="1" applyAlignment="1">
      <alignment horizontal="left" vertical="center"/>
    </xf>
    <xf numFmtId="0" fontId="21" fillId="8" borderId="37" xfId="0" applyFont="1" applyFill="1" applyBorder="1" applyAlignment="1">
      <alignment horizontal="left" vertical="center" wrapText="1"/>
    </xf>
    <xf numFmtId="166" fontId="4" fillId="0" borderId="49" xfId="2" applyFill="1" applyBorder="1" applyAlignment="1">
      <alignment horizontal="center" vertical="center"/>
    </xf>
    <xf numFmtId="166" fontId="4" fillId="0" borderId="11" xfId="2" applyFill="1" applyBorder="1" applyAlignment="1">
      <alignment horizontal="center" vertical="center"/>
    </xf>
    <xf numFmtId="166" fontId="4" fillId="0" borderId="43" xfId="2" applyFill="1" applyBorder="1" applyAlignment="1">
      <alignment horizontal="center" vertical="center"/>
    </xf>
    <xf numFmtId="166" fontId="4" fillId="0" borderId="42" xfId="2" applyFill="1" applyBorder="1" applyAlignment="1">
      <alignment horizontal="center" vertical="center"/>
    </xf>
    <xf numFmtId="170" fontId="0" fillId="0" borderId="43" xfId="3" applyNumberFormat="1" applyFont="1" applyFill="1" applyBorder="1" applyAlignment="1">
      <alignment horizontal="center"/>
    </xf>
    <xf numFmtId="170" fontId="0" fillId="0" borderId="11" xfId="3" applyNumberFormat="1" applyFont="1" applyFill="1" applyBorder="1" applyAlignment="1">
      <alignment horizontal="center"/>
    </xf>
    <xf numFmtId="170" fontId="0" fillId="0" borderId="42" xfId="3" applyNumberFormat="1" applyFont="1" applyFill="1" applyBorder="1" applyAlignment="1">
      <alignment horizontal="center"/>
    </xf>
    <xf numFmtId="166" fontId="4" fillId="0" borderId="50" xfId="2" applyFill="1" applyBorder="1" applyAlignment="1">
      <alignment horizontal="center" vertical="center"/>
    </xf>
    <xf numFmtId="166" fontId="4" fillId="0" borderId="54" xfId="2" applyFill="1" applyBorder="1" applyAlignment="1">
      <alignment horizontal="center" vertical="center"/>
    </xf>
    <xf numFmtId="170" fontId="0" fillId="0" borderId="55" xfId="3" applyNumberFormat="1" applyFont="1" applyBorder="1" applyAlignment="1">
      <alignment horizontal="center" vertical="center"/>
    </xf>
    <xf numFmtId="170" fontId="0" fillId="0" borderId="56" xfId="3" applyNumberFormat="1" applyFont="1" applyBorder="1" applyAlignment="1">
      <alignment horizontal="center" vertical="center"/>
    </xf>
    <xf numFmtId="170" fontId="0" fillId="0" borderId="57" xfId="3" applyNumberFormat="1" applyFont="1" applyBorder="1" applyAlignment="1">
      <alignment horizontal="center" vertical="center"/>
    </xf>
    <xf numFmtId="167" fontId="4" fillId="0" borderId="11" xfId="12" applyFill="1" applyBorder="1" applyAlignment="1">
      <alignment horizontal="center" vertical="center"/>
    </xf>
    <xf numFmtId="167" fontId="4" fillId="0" borderId="43" xfId="12" applyFill="1" applyBorder="1" applyAlignment="1">
      <alignment horizontal="center" vertical="center"/>
    </xf>
    <xf numFmtId="167" fontId="4" fillId="0" borderId="42" xfId="12" applyFill="1" applyBorder="1" applyAlignment="1">
      <alignment horizontal="center" vertical="center"/>
    </xf>
    <xf numFmtId="164" fontId="0" fillId="0" borderId="43"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42" xfId="0" applyNumberFormat="1" applyBorder="1" applyAlignment="1">
      <alignment horizontal="center" vertical="center"/>
    </xf>
    <xf numFmtId="14" fontId="4" fillId="0" borderId="38" xfId="0" applyNumberFormat="1" applyFont="1" applyBorder="1" applyAlignment="1">
      <alignment horizontal="left" vertical="center"/>
    </xf>
    <xf numFmtId="0" fontId="4" fillId="0" borderId="39" xfId="0" applyFont="1" applyBorder="1" applyAlignment="1">
      <alignment horizontal="center" vertical="center"/>
    </xf>
    <xf numFmtId="0" fontId="4" fillId="0" borderId="42" xfId="0" applyFont="1" applyBorder="1" applyAlignment="1">
      <alignment horizontal="left" vertical="center"/>
    </xf>
    <xf numFmtId="0" fontId="4" fillId="0" borderId="41" xfId="0" applyFont="1" applyBorder="1" applyAlignment="1">
      <alignment horizontal="left" vertical="center"/>
    </xf>
    <xf numFmtId="9" fontId="4" fillId="0" borderId="11" xfId="3" applyFont="1" applyBorder="1" applyAlignment="1">
      <alignment horizontal="center" vertical="center"/>
    </xf>
    <xf numFmtId="9" fontId="4" fillId="0" borderId="42" xfId="3" applyFont="1" applyBorder="1" applyAlignment="1">
      <alignment horizontal="center" vertical="center"/>
    </xf>
    <xf numFmtId="0" fontId="4" fillId="0" borderId="0" xfId="0" applyFont="1" applyAlignment="1">
      <alignment horizontal="left" vertical="center"/>
    </xf>
    <xf numFmtId="9" fontId="4" fillId="0" borderId="51" xfId="3" applyFont="1" applyBorder="1" applyAlignment="1">
      <alignment horizontal="center" vertical="center"/>
    </xf>
    <xf numFmtId="9" fontId="4" fillId="0" borderId="52" xfId="3" applyFont="1" applyBorder="1" applyAlignment="1">
      <alignment horizontal="center" vertical="center"/>
    </xf>
    <xf numFmtId="166" fontId="4" fillId="0" borderId="53" xfId="2" applyFill="1" applyBorder="1" applyAlignment="1">
      <alignment horizontal="center" vertical="center"/>
    </xf>
    <xf numFmtId="0" fontId="0" fillId="0" borderId="51" xfId="0" applyBorder="1" applyAlignment="1">
      <alignment horizontal="center" vertical="center"/>
    </xf>
    <xf numFmtId="0" fontId="0" fillId="0" borderId="52" xfId="0" applyBorder="1" applyAlignment="1">
      <alignment horizontal="center" vertical="center"/>
    </xf>
    <xf numFmtId="170" fontId="6" fillId="0" borderId="11" xfId="3" applyNumberFormat="1" applyFont="1" applyFill="1" applyBorder="1" applyAlignment="1">
      <alignment horizontal="center"/>
    </xf>
    <xf numFmtId="9" fontId="4" fillId="0" borderId="11" xfId="3" applyFont="1" applyFill="1" applyBorder="1" applyAlignment="1" applyProtection="1">
      <alignment horizontal="center" vertical="center"/>
      <protection locked="0"/>
    </xf>
    <xf numFmtId="9" fontId="4" fillId="0" borderId="43" xfId="3" applyFont="1" applyFill="1" applyBorder="1" applyAlignment="1" applyProtection="1">
      <alignment horizontal="center" vertical="center"/>
      <protection locked="0"/>
    </xf>
    <xf numFmtId="9" fontId="4" fillId="0" borderId="42" xfId="3" applyFont="1" applyFill="1" applyBorder="1" applyAlignment="1" applyProtection="1">
      <alignment horizontal="center" vertical="center"/>
      <protection locked="0"/>
    </xf>
    <xf numFmtId="170" fontId="6" fillId="0" borderId="42" xfId="3" applyNumberFormat="1" applyFont="1" applyFill="1" applyBorder="1" applyAlignment="1">
      <alignment horizontal="center"/>
    </xf>
    <xf numFmtId="170" fontId="6" fillId="0" borderId="43" xfId="3" applyNumberFormat="1" applyFont="1" applyFill="1" applyBorder="1" applyAlignment="1">
      <alignment horizontal="center"/>
    </xf>
    <xf numFmtId="166" fontId="4" fillId="0" borderId="58" xfId="2" applyFill="1" applyBorder="1" applyAlignment="1">
      <alignment horizontal="center" vertical="center"/>
    </xf>
    <xf numFmtId="166" fontId="4" fillId="0" borderId="59" xfId="2" applyFill="1" applyBorder="1" applyAlignment="1">
      <alignment horizontal="center" vertical="center"/>
    </xf>
    <xf numFmtId="166" fontId="4" fillId="0" borderId="60" xfId="2" applyFill="1" applyBorder="1" applyAlignment="1">
      <alignment horizontal="center" vertical="center"/>
    </xf>
    <xf numFmtId="166" fontId="4" fillId="0" borderId="61" xfId="2" applyFill="1" applyBorder="1" applyAlignment="1">
      <alignment horizontal="center" vertical="center"/>
    </xf>
    <xf numFmtId="170" fontId="0" fillId="0" borderId="43" xfId="3" applyNumberFormat="1" applyFont="1" applyBorder="1" applyAlignment="1">
      <alignment horizontal="center"/>
    </xf>
    <xf numFmtId="170" fontId="0" fillId="0" borderId="11" xfId="3" applyNumberFormat="1" applyFont="1" applyBorder="1" applyAlignment="1">
      <alignment horizontal="center"/>
    </xf>
    <xf numFmtId="170" fontId="0" fillId="0" borderId="42" xfId="3" applyNumberFormat="1" applyFont="1" applyBorder="1" applyAlignment="1">
      <alignment horizontal="center"/>
    </xf>
    <xf numFmtId="9" fontId="0" fillId="0" borderId="0" xfId="0" applyNumberFormat="1"/>
    <xf numFmtId="10" fontId="0" fillId="0" borderId="43" xfId="3" applyNumberFormat="1" applyFont="1" applyFill="1" applyBorder="1" applyAlignment="1">
      <alignment horizontal="center" vertical="center"/>
    </xf>
    <xf numFmtId="10" fontId="0" fillId="0" borderId="11" xfId="3" applyNumberFormat="1" applyFont="1" applyFill="1" applyBorder="1" applyAlignment="1">
      <alignment horizontal="center" vertical="center"/>
    </xf>
    <xf numFmtId="10" fontId="0" fillId="0" borderId="42" xfId="3" applyNumberFormat="1" applyFont="1" applyFill="1" applyBorder="1" applyAlignment="1">
      <alignment horizontal="center" vertical="center"/>
    </xf>
    <xf numFmtId="10" fontId="22" fillId="0" borderId="11" xfId="3" applyNumberFormat="1" applyFont="1" applyFill="1" applyBorder="1" applyAlignment="1">
      <alignment horizontal="center" vertical="center" wrapText="1"/>
    </xf>
    <xf numFmtId="0" fontId="2" fillId="8" borderId="32" xfId="0" applyFont="1" applyFill="1" applyBorder="1" applyAlignment="1">
      <alignment horizontal="center" vertical="center"/>
    </xf>
    <xf numFmtId="0" fontId="2" fillId="8" borderId="33" xfId="0" applyFont="1" applyFill="1" applyBorder="1" applyAlignment="1">
      <alignment horizontal="center" vertical="center"/>
    </xf>
    <xf numFmtId="0" fontId="2" fillId="8" borderId="34" xfId="0" applyFont="1" applyFill="1" applyBorder="1" applyAlignment="1">
      <alignment horizontal="center" vertical="center"/>
    </xf>
    <xf numFmtId="177" fontId="11" fillId="0" borderId="9" xfId="14" applyNumberFormat="1" applyBorder="1"/>
    <xf numFmtId="177" fontId="11" fillId="0" borderId="1" xfId="14" applyNumberFormat="1"/>
    <xf numFmtId="0" fontId="2" fillId="8" borderId="32" xfId="0" applyFont="1" applyFill="1" applyBorder="1" applyAlignment="1">
      <alignment vertical="center"/>
    </xf>
    <xf numFmtId="0" fontId="2" fillId="8" borderId="33" xfId="0" applyFont="1" applyFill="1" applyBorder="1" applyAlignment="1">
      <alignment vertical="center"/>
    </xf>
    <xf numFmtId="0" fontId="2" fillId="8" borderId="34" xfId="0" applyFont="1" applyFill="1" applyBorder="1" applyAlignment="1">
      <alignment vertical="center"/>
    </xf>
    <xf numFmtId="179" fontId="4" fillId="12" borderId="9" xfId="2" applyNumberFormat="1" applyFill="1" applyBorder="1"/>
    <xf numFmtId="179" fontId="12" fillId="0" borderId="9" xfId="11" applyNumberFormat="1" applyBorder="1"/>
    <xf numFmtId="179" fontId="11" fillId="0" borderId="9" xfId="7" applyNumberFormat="1" applyBorder="1"/>
    <xf numFmtId="180" fontId="11" fillId="0" borderId="9" xfId="7" applyNumberFormat="1" applyBorder="1" applyAlignment="1">
      <alignment vertical="center"/>
    </xf>
    <xf numFmtId="181" fontId="0" fillId="0" borderId="0" xfId="0" applyNumberFormat="1"/>
    <xf numFmtId="166" fontId="1" fillId="12" borderId="9" xfId="9" applyFill="1" applyBorder="1" applyAlignment="1">
      <alignment vertical="center"/>
    </xf>
    <xf numFmtId="166" fontId="1" fillId="12" borderId="1" xfId="9" applyFill="1" applyAlignment="1">
      <alignment vertical="center"/>
    </xf>
    <xf numFmtId="166" fontId="4" fillId="12" borderId="9" xfId="2" applyFill="1" applyBorder="1" applyAlignment="1">
      <alignment vertical="center"/>
    </xf>
    <xf numFmtId="0" fontId="2" fillId="12" borderId="0" xfId="0" applyFont="1" applyFill="1"/>
    <xf numFmtId="0" fontId="0" fillId="12" borderId="0" xfId="0" applyFill="1"/>
    <xf numFmtId="166" fontId="4" fillId="12" borderId="1" xfId="2" applyFill="1" applyAlignment="1">
      <alignment vertical="center"/>
    </xf>
    <xf numFmtId="0" fontId="24" fillId="13" borderId="62" xfId="0" applyFont="1" applyFill="1" applyBorder="1" applyAlignment="1">
      <alignment horizontal="center" vertical="top" wrapText="1"/>
    </xf>
    <xf numFmtId="0" fontId="24" fillId="13" borderId="0" xfId="0" applyFont="1" applyFill="1" applyAlignment="1">
      <alignment horizontal="center" vertical="top" wrapText="1"/>
    </xf>
  </cellXfs>
  <cellStyles count="32">
    <cellStyle name="Heading 1" xfId="4" builtinId="16"/>
    <cellStyle name="Heading 2" xfId="5" builtinId="17"/>
    <cellStyle name="Heading 3" xfId="6" builtinId="18"/>
    <cellStyle name="Heading 4" xfId="30" builtinId="19"/>
    <cellStyle name="Level 2" xfId="31" xr:uid="{CBAEED0A-D765-47D9-9828-1CC5CAC7EB20}"/>
    <cellStyle name="Normal" xfId="0" builtinId="0"/>
    <cellStyle name="PCFM%%VariableInput" xfId="12" xr:uid="{0592CB91-9500-45E7-BA48-C9DA30CCDB0D}"/>
    <cellStyle name="PCFM_%%Calculation" xfId="13" xr:uid="{AFC866B7-AB5D-44EA-A5BB-0D3D38FE2E3C}"/>
    <cellStyle name="PCFM_%%FixedInput" xfId="1" xr:uid="{FA46B265-53C9-4E1B-A1EC-F0A7804651E3}"/>
    <cellStyle name="PCFM_%%Import" xfId="15" xr:uid="{045C4CAF-8C28-411C-A14C-E3A615B277B4}"/>
    <cellStyle name="PCFM_%%Link" xfId="14" xr:uid="{E75EE3A3-228E-4007-8ECE-782A6646E1A8}"/>
    <cellStyle name="PCFM_%_Total" xfId="28" xr:uid="{ABA1B0AA-DE8F-4AC5-A2F1-50D654B63E48}"/>
    <cellStyle name="PCFM_0dp_Calculation" xfId="20" xr:uid="{EF4910A8-590F-480C-8A7F-78A01C6D3B50}"/>
    <cellStyle name="PCFM_0dp_FixedInput" xfId="23" xr:uid="{EE2020FB-F6D9-4C93-8414-674919072B6E}"/>
    <cellStyle name="PCFM_0dp_Import" xfId="24" xr:uid="{9F9B882E-6D91-4686-9A43-71ED511AF949}"/>
    <cellStyle name="PCFM_0dp_Link" xfId="22" xr:uid="{1BAD9866-C301-4E80-91A3-587DE9CCF576}"/>
    <cellStyle name="PCFM_0dp_VariableInput" xfId="27" xr:uid="{9D69BED9-2202-4CB8-9BD6-195DDAA11F49}"/>
    <cellStyle name="PCFM_Calculation" xfId="8" xr:uid="{9BA05B19-6EFE-40C8-8AD3-3CF5D18D1F8D}"/>
    <cellStyle name="PCFM_FixedInput" xfId="9" xr:uid="{B6EF99ED-E917-4F6C-B8EF-F46646A66E7C}"/>
    <cellStyle name="PCFM_Import2" xfId="10" xr:uid="{17945819-0BE9-4264-85E3-AD91A51B3772}"/>
    <cellStyle name="PCFM_Link" xfId="7" xr:uid="{AC8A85FE-6865-4CC1-902A-E6D7F2FC4BBD}"/>
    <cellStyle name="PCFM_SC_Calculation" xfId="19" xr:uid="{5F4B5762-F6FA-4BD0-866C-C01F2E853027}"/>
    <cellStyle name="PCFM_SC_FixedInput" xfId="17" xr:uid="{AA56D1D6-48EA-40B2-8E01-2A896EA0B492}"/>
    <cellStyle name="PCFM_Sc_Import" xfId="26" xr:uid="{91E37CAE-FC44-42E5-A9BF-541015AC6709}"/>
    <cellStyle name="PCFM_Sc_Link" xfId="21" xr:uid="{674B1061-98EB-49DF-A82C-9991F1A4991A}"/>
    <cellStyle name="PCFM_Total" xfId="11" xr:uid="{A0D0E078-B745-4150-98B0-5331ED2528FB}"/>
    <cellStyle name="PCFM_VariableInput" xfId="2" xr:uid="{B3E4DEB5-E438-4BC2-AA60-5AA1EBEB894A}"/>
    <cellStyle name="PCFM_Y_Calculation" xfId="25" xr:uid="{6BE8F642-E22E-4FA6-85F9-ACBEEFBF96F1}"/>
    <cellStyle name="PCFM_Y_FixedInput2" xfId="16" xr:uid="{DC7025FD-74AC-4669-A037-5A4F649A32AA}"/>
    <cellStyle name="PCFM_Y_Link" xfId="18" xr:uid="{116D84E1-FA09-469F-929A-93934B6E733E}"/>
    <cellStyle name="Percent" xfId="3" builtinId="5"/>
    <cellStyle name="Y_PCFM_Link" xfId="29" xr:uid="{32BF9F33-53B2-4A2D-B19B-1EF8BCC16CFF}"/>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00"/>
      <color rgb="FFE9D2C6"/>
      <color rgb="FFFDCA90"/>
      <color rgb="FF7FB5BA"/>
      <color rgb="FFFFFFCC"/>
      <color rgb="FFE1E1CC"/>
      <color rgb="FFBAA0CC"/>
      <color rgb="FF85AB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ctrlProps/ctrlProp1.xml><?xml version="1.0" encoding="utf-8"?>
<formControlPr xmlns="http://schemas.microsoft.com/office/spreadsheetml/2009/9/main" objectType="Drop" dropStyle="combo" dx="22" fmlaLink="UserInterface!$C$22" fmlaRange="UserInterface!$B$12:$B$19" noThreeD="1" sel="6" val="0"/>
</file>

<file path=xl/ctrlProps/ctrlProp10.xml><?xml version="1.0" encoding="utf-8"?>
<formControlPr xmlns="http://schemas.microsoft.com/office/spreadsheetml/2009/9/main" objectType="Drop" dropStyle="combo" dx="22" fmlaLink="UserInterface!$C$22" fmlaRange="UserInterface!$B$12:$B$19" noThreeD="1" sel="6" val="0"/>
</file>

<file path=xl/ctrlProps/ctrlProp11.xml><?xml version="1.0" encoding="utf-8"?>
<formControlPr xmlns="http://schemas.microsoft.com/office/spreadsheetml/2009/9/main" objectType="Drop" dropStyle="combo" dx="22" fmlaLink="UserInterface!$C$22" fmlaRange="UserInterface!$B$12:$B$19" noThreeD="1" sel="6" val="0"/>
</file>

<file path=xl/ctrlProps/ctrlProp12.xml><?xml version="1.0" encoding="utf-8"?>
<formControlPr xmlns="http://schemas.microsoft.com/office/spreadsheetml/2009/9/main" objectType="Drop" dropStyle="combo" dx="22" fmlaLink="UserInterface!$C$22" fmlaRange="UserInterface!$B$12:$B$19" noThreeD="1" sel="6" val="0"/>
</file>

<file path=xl/ctrlProps/ctrlProp13.xml><?xml version="1.0" encoding="utf-8"?>
<formControlPr xmlns="http://schemas.microsoft.com/office/spreadsheetml/2009/9/main" objectType="Drop" dropStyle="combo" dx="22" fmlaLink="UserInterface!$C$22" fmlaRange="UserInterface!$B$12:$B$19" noThreeD="1" sel="6" val="0"/>
</file>

<file path=xl/ctrlProps/ctrlProp14.xml><?xml version="1.0" encoding="utf-8"?>
<formControlPr xmlns="http://schemas.microsoft.com/office/spreadsheetml/2009/9/main" objectType="Drop" dropStyle="combo" dx="22" fmlaLink="UserInterface!$C$22" fmlaRange="UserInterface!$B$12:$B$19" noThreeD="1" sel="6" val="0"/>
</file>

<file path=xl/ctrlProps/ctrlProp15.xml><?xml version="1.0" encoding="utf-8"?>
<formControlPr xmlns="http://schemas.microsoft.com/office/spreadsheetml/2009/9/main" objectType="Drop" dropStyle="combo" dx="22" fmlaLink="UserInterface!$C$22" fmlaRange="UserInterface!$B$12:$B$19" noThreeD="1" sel="6" val="0"/>
</file>

<file path=xl/ctrlProps/ctrlProp16.xml><?xml version="1.0" encoding="utf-8"?>
<formControlPr xmlns="http://schemas.microsoft.com/office/spreadsheetml/2009/9/main" objectType="Drop" dropStyle="combo" dx="22" fmlaLink="UserInterface!$C$22" fmlaRange="UserInterface!$B$12:$B$19" noThreeD="1" sel="6" val="0"/>
</file>

<file path=xl/ctrlProps/ctrlProp2.xml><?xml version="1.0" encoding="utf-8"?>
<formControlPr xmlns="http://schemas.microsoft.com/office/spreadsheetml/2009/9/main" objectType="Drop" dropStyle="combo" dx="22" fmlaLink="UserInterface!$C$22" fmlaRange="UserInterface!$B$12:$B$19" noThreeD="1" sel="6" val="0"/>
</file>

<file path=xl/ctrlProps/ctrlProp3.xml><?xml version="1.0" encoding="utf-8"?>
<formControlPr xmlns="http://schemas.microsoft.com/office/spreadsheetml/2009/9/main" objectType="Drop" dropStyle="combo" dx="22" fmlaLink="UserInterface!$C$22" fmlaRange="UserInterface!$B$12:$B$19" noThreeD="1" sel="6" val="0"/>
</file>

<file path=xl/ctrlProps/ctrlProp4.xml><?xml version="1.0" encoding="utf-8"?>
<formControlPr xmlns="http://schemas.microsoft.com/office/spreadsheetml/2009/9/main" objectType="Drop" dropStyle="combo" dx="22" fmlaLink="UserInterface!$C$22" fmlaRange="UserInterface!$B$12:$B$19" noThreeD="1" sel="6" val="0"/>
</file>

<file path=xl/ctrlProps/ctrlProp5.xml><?xml version="1.0" encoding="utf-8"?>
<formControlPr xmlns="http://schemas.microsoft.com/office/spreadsheetml/2009/9/main" objectType="Drop" dropStyle="combo" dx="22" fmlaLink="UserInterface!$C$22" fmlaRange="UserInterface!$B$12:$B$19" noThreeD="1" sel="6" val="0"/>
</file>

<file path=xl/ctrlProps/ctrlProp6.xml><?xml version="1.0" encoding="utf-8"?>
<formControlPr xmlns="http://schemas.microsoft.com/office/spreadsheetml/2009/9/main" objectType="Drop" dropStyle="combo" dx="22" fmlaLink="UserInterface!$C$22" fmlaRange="UserInterface!$B$12:$B$19" noThreeD="1" sel="6" val="0"/>
</file>

<file path=xl/ctrlProps/ctrlProp7.xml><?xml version="1.0" encoding="utf-8"?>
<formControlPr xmlns="http://schemas.microsoft.com/office/spreadsheetml/2009/9/main" objectType="Drop" dropStyle="combo" dx="22" fmlaLink="UserInterface!$C$22" fmlaRange="UserInterface!$B$12:$B$19" noThreeD="1" sel="6" val="0"/>
</file>

<file path=xl/ctrlProps/ctrlProp8.xml><?xml version="1.0" encoding="utf-8"?>
<formControlPr xmlns="http://schemas.microsoft.com/office/spreadsheetml/2009/9/main" objectType="Drop" dropStyle="combo" dx="22" fmlaLink="UserInterface!$C$22" fmlaRange="UserInterface!$B$12:$B$19" noThreeD="1" sel="6" val="0"/>
</file>

<file path=xl/ctrlProps/ctrlProp9.xml><?xml version="1.0" encoding="utf-8"?>
<formControlPr xmlns="http://schemas.microsoft.com/office/spreadsheetml/2009/9/main" objectType="Drop" dropStyle="combo" dx="22" fmlaLink="UserInterface!$C$22" fmlaRange="UserInterface!$B$12:$B$19" noThreeD="1" sel="6"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549275</xdr:colOff>
      <xdr:row>4</xdr:row>
      <xdr:rowOff>4253</xdr:rowOff>
    </xdr:to>
    <xdr:pic>
      <xdr:nvPicPr>
        <xdr:cNvPr id="3" name="Picture 2" descr="image of the Ofgem logo" title="Ofgem logo">
          <a:extLst>
            <a:ext uri="{FF2B5EF4-FFF2-40B4-BE49-F238E27FC236}">
              <a16:creationId xmlns:a16="http://schemas.microsoft.com/office/drawing/2014/main" id="{B3F9A5A8-FDDF-4CB7-B676-8100D7B592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057525" cy="766253"/>
        </a:xfrm>
        <a:prstGeom prst="rect">
          <a:avLst/>
        </a:prstGeom>
      </xdr:spPr>
    </xdr:pic>
    <xdr:clientData/>
  </xdr:twoCellAnchor>
  <xdr:twoCellAnchor>
    <xdr:from>
      <xdr:col>7</xdr:col>
      <xdr:colOff>542925</xdr:colOff>
      <xdr:row>2</xdr:row>
      <xdr:rowOff>171450</xdr:rowOff>
    </xdr:from>
    <xdr:to>
      <xdr:col>11</xdr:col>
      <xdr:colOff>571500</xdr:colOff>
      <xdr:row>16</xdr:row>
      <xdr:rowOff>161926</xdr:rowOff>
    </xdr:to>
    <xdr:sp macro="" textlink="">
      <xdr:nvSpPr>
        <xdr:cNvPr id="2" name="TextBox 1">
          <a:extLst>
            <a:ext uri="{FF2B5EF4-FFF2-40B4-BE49-F238E27FC236}">
              <a16:creationId xmlns:a16="http://schemas.microsoft.com/office/drawing/2014/main" id="{6E55E5FD-3851-4092-8EE2-2FF30778C263}"/>
            </a:ext>
          </a:extLst>
        </xdr:cNvPr>
        <xdr:cNvSpPr txBox="1"/>
      </xdr:nvSpPr>
      <xdr:spPr>
        <a:xfrm>
          <a:off x="3905250" y="552450"/>
          <a:ext cx="2657475" cy="2743201"/>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Note: this is the</a:t>
          </a:r>
          <a:r>
            <a:rPr lang="en-GB" sz="1100" baseline="0">
              <a:solidFill>
                <a:schemeClr val="dk1"/>
              </a:solidFill>
              <a:effectLst/>
              <a:latin typeface="+mn-lt"/>
              <a:ea typeface="+mn-ea"/>
              <a:cs typeface="+mn-cs"/>
            </a:rPr>
            <a:t> RIIO3 PCFM published alongside the Licence Statutory Consultation on 16th December 2025.</a:t>
          </a:r>
        </a:p>
        <a:p>
          <a:endParaRPr lang="en-GB">
            <a:effectLst/>
          </a:endParaRPr>
        </a:p>
        <a:p>
          <a:r>
            <a:rPr lang="en-GB">
              <a:effectLst/>
            </a:rPr>
            <a:t>Some</a:t>
          </a:r>
          <a:r>
            <a:rPr lang="en-GB" baseline="0">
              <a:effectLst/>
            </a:rPr>
            <a:t> elements of the PCFM may not match the Licences published as part of the Statutory Consultation, for example precise label wording, licence terms, or references to paragraphs in the licence. These will be updated at the time of final decision on the licences in early 2026.</a:t>
          </a:r>
        </a:p>
        <a:p>
          <a:endParaRPr lang="en-GB" baseline="0">
            <a:effectLst/>
          </a:endParaRPr>
        </a:p>
        <a:p>
          <a:r>
            <a:rPr lang="en-GB" baseline="0">
              <a:effectLst/>
            </a:rPr>
            <a:t>The same applies to some of the input values, which may be revised ahead of the final decision.</a:t>
          </a:r>
          <a:endParaRPr lang="en-GB">
            <a:effectLst/>
          </a:endParaRPr>
        </a:p>
        <a:p>
          <a:endParaRPr lang="en-GB"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8193" name="Drop Down 1" descr="Dropdown box for selecting licensee" hidden="1">
              <a:extLst>
                <a:ext uri="{63B3BB69-23CF-44E3-9099-C40C66FF867C}">
                  <a14:compatExt spid="_x0000_s8193"/>
                </a:ext>
                <a:ext uri="{FF2B5EF4-FFF2-40B4-BE49-F238E27FC236}">
                  <a16:creationId xmlns:a16="http://schemas.microsoft.com/office/drawing/2014/main" id="{00000000-0008-0000-0A00-000001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9217" name="Drop Down 1" descr="Dropdown box for selecting licensee" hidden="1">
              <a:extLst>
                <a:ext uri="{63B3BB69-23CF-44E3-9099-C40C66FF867C}">
                  <a14:compatExt spid="_x0000_s9217"/>
                </a:ext>
                <a:ext uri="{FF2B5EF4-FFF2-40B4-BE49-F238E27FC236}">
                  <a16:creationId xmlns:a16="http://schemas.microsoft.com/office/drawing/2014/main" id="{00000000-0008-0000-0B00-000001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10241" name="Drop Down 1" descr="Dropdown box for selecting licensee" hidden="1">
              <a:extLst>
                <a:ext uri="{63B3BB69-23CF-44E3-9099-C40C66FF867C}">
                  <a14:compatExt spid="_x0000_s10241"/>
                </a:ext>
                <a:ext uri="{FF2B5EF4-FFF2-40B4-BE49-F238E27FC236}">
                  <a16:creationId xmlns:a16="http://schemas.microsoft.com/office/drawing/2014/main" id="{00000000-0008-0000-0C00-000001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11265" name="Drop Down 1" descr="Dropdown box for selecting licensee" hidden="1">
              <a:extLst>
                <a:ext uri="{63B3BB69-23CF-44E3-9099-C40C66FF867C}">
                  <a14:compatExt spid="_x0000_s11265"/>
                </a:ext>
                <a:ext uri="{FF2B5EF4-FFF2-40B4-BE49-F238E27FC236}">
                  <a16:creationId xmlns:a16="http://schemas.microsoft.com/office/drawing/2014/main" id="{00000000-0008-0000-0D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12289" name="Drop Down 1" descr="Dropdown box for selecting licensee" hidden="1">
              <a:extLst>
                <a:ext uri="{63B3BB69-23CF-44E3-9099-C40C66FF867C}">
                  <a14:compatExt spid="_x0000_s12289"/>
                </a:ext>
                <a:ext uri="{FF2B5EF4-FFF2-40B4-BE49-F238E27FC236}">
                  <a16:creationId xmlns:a16="http://schemas.microsoft.com/office/drawing/2014/main" id="{00000000-0008-0000-0E00-00000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13313" name="Drop Down 1" descr="Dropdown box for selecting licensee" hidden="1">
              <a:extLst>
                <a:ext uri="{63B3BB69-23CF-44E3-9099-C40C66FF867C}">
                  <a14:compatExt spid="_x0000_s13313"/>
                </a:ext>
                <a:ext uri="{FF2B5EF4-FFF2-40B4-BE49-F238E27FC236}">
                  <a16:creationId xmlns:a16="http://schemas.microsoft.com/office/drawing/2014/main" id="{00000000-0008-0000-0F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14337" name="Drop Down 1" descr="Dropdown box for selecting licensee" hidden="1">
              <a:extLst>
                <a:ext uri="{63B3BB69-23CF-44E3-9099-C40C66FF867C}">
                  <a14:compatExt spid="_x0000_s14337"/>
                </a:ext>
                <a:ext uri="{FF2B5EF4-FFF2-40B4-BE49-F238E27FC236}">
                  <a16:creationId xmlns:a16="http://schemas.microsoft.com/office/drawing/2014/main" id="{00000000-0008-0000-1000-00000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1752600</xdr:colOff>
          <xdr:row>0</xdr:row>
          <xdr:rowOff>107950</xdr:rowOff>
        </xdr:from>
        <xdr:to>
          <xdr:col>4</xdr:col>
          <xdr:colOff>3086100</xdr:colOff>
          <xdr:row>1</xdr:row>
          <xdr:rowOff>104588</xdr:rowOff>
        </xdr:to>
        <xdr:sp macro="" textlink="">
          <xdr:nvSpPr>
            <xdr:cNvPr id="16385" name="Drop Down 1" descr="Dropdown box for selecting licensee" hidden="1">
              <a:extLst>
                <a:ext uri="{63B3BB69-23CF-44E3-9099-C40C66FF867C}">
                  <a14:compatExt spid="_x0000_s16385"/>
                </a:ext>
                <a:ext uri="{FF2B5EF4-FFF2-40B4-BE49-F238E27FC236}">
                  <a16:creationId xmlns:a16="http://schemas.microsoft.com/office/drawing/2014/main" id="{00000000-0008-0000-1100-000001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482600</xdr:colOff>
      <xdr:row>4</xdr:row>
      <xdr:rowOff>4253</xdr:rowOff>
    </xdr:to>
    <xdr:pic>
      <xdr:nvPicPr>
        <xdr:cNvPr id="2" name="Picture 1" descr="image of the Ofgem logo" title="Ofgem logo">
          <a:extLst>
            <a:ext uri="{FF2B5EF4-FFF2-40B4-BE49-F238E27FC236}">
              <a16:creationId xmlns:a16="http://schemas.microsoft.com/office/drawing/2014/main" id="{E12B4E53-4753-4BDC-8512-C1533E38CB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063875" cy="76625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25400</xdr:colOff>
          <xdr:row>7</xdr:row>
          <xdr:rowOff>76200</xdr:rowOff>
        </xdr:from>
        <xdr:to>
          <xdr:col>2</xdr:col>
          <xdr:colOff>177800</xdr:colOff>
          <xdr:row>8</xdr:row>
          <xdr:rowOff>152400</xdr:rowOff>
        </xdr:to>
        <xdr:sp macro="" textlink="">
          <xdr:nvSpPr>
            <xdr:cNvPr id="44033" name="Drop Down 1" descr="Dropdown box for selecting licensee" hidden="1">
              <a:extLst>
                <a:ext uri="{63B3BB69-23CF-44E3-9099-C40C66FF867C}">
                  <a14:compatExt spid="_x0000_s44033"/>
                </a:ext>
                <a:ext uri="{FF2B5EF4-FFF2-40B4-BE49-F238E27FC236}">
                  <a16:creationId xmlns:a16="http://schemas.microsoft.com/office/drawing/2014/main" id="{00000000-0008-0000-0100-000001A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17410" name="Drop Down 2" descr="Dropdown box for selecting licensee" hidden="1">
              <a:extLst>
                <a:ext uri="{63B3BB69-23CF-44E3-9099-C40C66FF867C}">
                  <a14:compatExt spid="_x0000_s17410"/>
                </a:ext>
                <a:ext uri="{FF2B5EF4-FFF2-40B4-BE49-F238E27FC236}">
                  <a16:creationId xmlns:a16="http://schemas.microsoft.com/office/drawing/2014/main" id="{00000000-0008-0000-0200-000002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2049" name="Drop Down 1" descr="Dropdown box for selecting licensee"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3073" name="Drop Down 1" descr="Dropdown box for selecting licensee"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4097" name="Drop Down 1" descr="Dropdown box for selecting licensee" hidden="1">
              <a:extLst>
                <a:ext uri="{63B3BB69-23CF-44E3-9099-C40C66FF867C}">
                  <a14:compatExt spid="_x0000_s4097"/>
                </a:ext>
                <a:ext uri="{FF2B5EF4-FFF2-40B4-BE49-F238E27FC236}">
                  <a16:creationId xmlns:a16="http://schemas.microsoft.com/office/drawing/2014/main" id="{00000000-0008-0000-06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5121" name="Drop Down 1" descr="Dropdown box for selecting licensee" hidden="1">
              <a:extLst>
                <a:ext uri="{63B3BB69-23CF-44E3-9099-C40C66FF867C}">
                  <a14:compatExt spid="_x0000_s5121"/>
                </a:ext>
                <a:ext uri="{FF2B5EF4-FFF2-40B4-BE49-F238E27FC236}">
                  <a16:creationId xmlns:a16="http://schemas.microsoft.com/office/drawing/2014/main" id="{00000000-0008-0000-07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6145" name="Drop Down 1" descr="Dropdown box for selecting licensee" hidden="1">
              <a:extLst>
                <a:ext uri="{63B3BB69-23CF-44E3-9099-C40C66FF867C}">
                  <a14:compatExt spid="_x0000_s6145"/>
                </a:ext>
                <a:ext uri="{FF2B5EF4-FFF2-40B4-BE49-F238E27FC236}">
                  <a16:creationId xmlns:a16="http://schemas.microsoft.com/office/drawing/2014/main" id="{00000000-0008-0000-0800-00000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2273300</xdr:colOff>
          <xdr:row>0</xdr:row>
          <xdr:rowOff>114300</xdr:rowOff>
        </xdr:from>
        <xdr:to>
          <xdr:col>4</xdr:col>
          <xdr:colOff>3606800</xdr:colOff>
          <xdr:row>2</xdr:row>
          <xdr:rowOff>6350</xdr:rowOff>
        </xdr:to>
        <xdr:sp macro="" textlink="">
          <xdr:nvSpPr>
            <xdr:cNvPr id="7169" name="Drop Down 1" descr="Dropdown box for selecting licensee" hidden="1">
              <a:extLst>
                <a:ext uri="{63B3BB69-23CF-44E3-9099-C40C66FF867C}">
                  <a14:compatExt spid="_x0000_s7169"/>
                </a:ext>
                <a:ext uri="{FF2B5EF4-FFF2-40B4-BE49-F238E27FC236}">
                  <a16:creationId xmlns:a16="http://schemas.microsoft.com/office/drawing/2014/main" id="{00000000-0008-0000-0900-000001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trlProp" Target="../ctrlProps/ctrlProp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trlProp" Target="../ctrlProps/ctrlProp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trlProp" Target="../ctrlProps/ctrlProp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trlProp" Target="../ctrlProps/ctrlProp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trlProp" Target="../ctrlProps/ctrlProp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trlProp" Target="../ctrlProps/ctrlProp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trlProp" Target="../ctrlProps/ctrlProp14.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trlProp" Target="../ctrlProps/ctrlProp15.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trlProp" Target="../ctrlProps/ctrlProp16.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trlProp" Target="../ctrlProps/ctrlProp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A448F-6F30-431B-A110-D145E2A6D406}">
  <sheetPr codeName="Sheet4">
    <tabColor rgb="FFFF9900"/>
    <pageSetUpPr autoPageBreaks="0"/>
  </sheetPr>
  <dimension ref="A1:R69"/>
  <sheetViews>
    <sheetView zoomScaleNormal="100" workbookViewId="0"/>
  </sheetViews>
  <sheetFormatPr defaultColWidth="0" defaultRowHeight="15" customHeight="1" zeroHeight="1" x14ac:dyDescent="0.35"/>
  <cols>
    <col min="1" max="3" width="1.90625" customWidth="1"/>
    <col min="4" max="4" width="21" bestFit="1" customWidth="1"/>
    <col min="5" max="5" width="2" customWidth="1"/>
    <col min="6" max="12" width="9.08984375" customWidth="1"/>
    <col min="13" max="17" width="9.08984375" hidden="1" customWidth="1"/>
    <col min="18" max="18" width="11.90625" hidden="1" customWidth="1"/>
    <col min="19" max="16384" width="9.08984375" hidden="1"/>
  </cols>
  <sheetData>
    <row r="1" spans="1:6" ht="15" customHeight="1" x14ac:dyDescent="0.35"/>
    <row r="2" spans="1:6" ht="15" customHeight="1" x14ac:dyDescent="0.35"/>
    <row r="3" spans="1:6" ht="15" customHeight="1" x14ac:dyDescent="0.35"/>
    <row r="4" spans="1:6" ht="15" customHeight="1" x14ac:dyDescent="0.35"/>
    <row r="5" spans="1:6" ht="15" customHeight="1" x14ac:dyDescent="0.35"/>
    <row r="6" spans="1:6" ht="20" thickBot="1" x14ac:dyDescent="0.5">
      <c r="A6" s="13" t="s">
        <v>461</v>
      </c>
    </row>
    <row r="7" spans="1:6" ht="18" thickTop="1" thickBot="1" x14ac:dyDescent="0.45">
      <c r="B7" s="15" t="s">
        <v>462</v>
      </c>
    </row>
    <row r="8" spans="1:6" ht="15.5" thickTop="1" thickBot="1" x14ac:dyDescent="0.4">
      <c r="C8" s="128" t="s">
        <v>847</v>
      </c>
    </row>
    <row r="9" spans="1:6" ht="14.5" x14ac:dyDescent="0.35">
      <c r="D9" t="str">
        <f ca="1">MID(CELL("filename"),SEARCH("[",CELL("filename"))+1,SEARCH("]",CELL("filename"))-SEARCH("[",CELL("filename"))-1)</f>
        <v>26_27 SOU&amp;SCO PCFM JAN26.xlsx</v>
      </c>
    </row>
    <row r="10" spans="1:6" ht="14.5" x14ac:dyDescent="0.35">
      <c r="D10" s="131"/>
    </row>
    <row r="11" spans="1:6" ht="17.5" thickBot="1" x14ac:dyDescent="0.45">
      <c r="B11" s="15" t="s">
        <v>463</v>
      </c>
    </row>
    <row r="12" spans="1:6" thickTop="1" x14ac:dyDescent="0.35">
      <c r="D12" s="26" t="s">
        <v>477</v>
      </c>
      <c r="F12" s="1" t="s">
        <v>478</v>
      </c>
    </row>
    <row r="13" spans="1:6" ht="14.5" x14ac:dyDescent="0.35">
      <c r="D13" s="32" t="s">
        <v>477</v>
      </c>
      <c r="F13" s="1" t="s">
        <v>479</v>
      </c>
    </row>
    <row r="14" spans="1:6" ht="14.5" x14ac:dyDescent="0.35">
      <c r="D14" s="50" t="s">
        <v>477</v>
      </c>
      <c r="F14" s="1" t="s">
        <v>480</v>
      </c>
    </row>
    <row r="15" spans="1:6" ht="14.5" x14ac:dyDescent="0.35">
      <c r="D15" s="27" t="s">
        <v>477</v>
      </c>
      <c r="F15" s="1" t="s">
        <v>481</v>
      </c>
    </row>
    <row r="16" spans="1:6" ht="14.5" x14ac:dyDescent="0.35">
      <c r="D16" s="12" t="s">
        <v>477</v>
      </c>
      <c r="F16" s="1" t="s">
        <v>482</v>
      </c>
    </row>
    <row r="17" spans="2:6" ht="14.5" x14ac:dyDescent="0.35">
      <c r="D17" s="52" t="s">
        <v>477</v>
      </c>
      <c r="F17" s="1" t="s">
        <v>242</v>
      </c>
    </row>
    <row r="18" spans="2:6" ht="14.5" x14ac:dyDescent="0.35">
      <c r="F18" s="1"/>
    </row>
    <row r="19" spans="2:6" ht="14.5" x14ac:dyDescent="0.35">
      <c r="F19" s="1"/>
    </row>
    <row r="20" spans="2:6" ht="17.5" thickBot="1" x14ac:dyDescent="0.45">
      <c r="B20" s="15" t="s">
        <v>464</v>
      </c>
      <c r="F20" s="1"/>
    </row>
    <row r="21" spans="2:6" ht="15.5" thickTop="1" thickBot="1" x14ac:dyDescent="0.4">
      <c r="C21" s="11" t="s">
        <v>873</v>
      </c>
      <c r="F21" s="1"/>
    </row>
    <row r="22" spans="2:6" ht="14.5" x14ac:dyDescent="0.35">
      <c r="D22" s="132" t="s">
        <v>465</v>
      </c>
      <c r="F22" s="1" t="s">
        <v>468</v>
      </c>
    </row>
    <row r="23" spans="2:6" ht="14.5" x14ac:dyDescent="0.35">
      <c r="D23" s="132" t="s">
        <v>866</v>
      </c>
      <c r="F23" s="1" t="s">
        <v>867</v>
      </c>
    </row>
    <row r="24" spans="2:6" ht="14.5" x14ac:dyDescent="0.35">
      <c r="D24" s="132" t="s">
        <v>848</v>
      </c>
      <c r="F24" s="1" t="s">
        <v>849</v>
      </c>
    </row>
    <row r="25" spans="2:6" ht="14.5" x14ac:dyDescent="0.35">
      <c r="F25" s="1"/>
    </row>
    <row r="26" spans="2:6" thickBot="1" x14ac:dyDescent="0.4">
      <c r="C26" s="11" t="s">
        <v>872</v>
      </c>
      <c r="F26" s="1"/>
    </row>
    <row r="27" spans="2:6" ht="14.5" x14ac:dyDescent="0.35">
      <c r="D27" s="133" t="s">
        <v>567</v>
      </c>
      <c r="F27" s="1" t="s">
        <v>850</v>
      </c>
    </row>
    <row r="28" spans="2:6" ht="14.5" x14ac:dyDescent="0.35">
      <c r="D28" s="133" t="s">
        <v>568</v>
      </c>
      <c r="F28" s="1" t="s">
        <v>851</v>
      </c>
    </row>
    <row r="29" spans="2:6" ht="14.5" x14ac:dyDescent="0.35">
      <c r="D29" s="133" t="s">
        <v>569</v>
      </c>
      <c r="F29" s="1" t="s">
        <v>852</v>
      </c>
    </row>
    <row r="30" spans="2:6" ht="14.5" x14ac:dyDescent="0.35">
      <c r="F30" s="1"/>
    </row>
    <row r="31" spans="2:6" thickBot="1" x14ac:dyDescent="0.4">
      <c r="C31" s="11" t="s">
        <v>482</v>
      </c>
      <c r="F31" s="1"/>
    </row>
    <row r="32" spans="2:6" ht="14.5" x14ac:dyDescent="0.35">
      <c r="D32" s="134" t="s">
        <v>282</v>
      </c>
      <c r="F32" s="1" t="s">
        <v>470</v>
      </c>
    </row>
    <row r="33" spans="3:6" ht="14.5" x14ac:dyDescent="0.35">
      <c r="D33" s="134" t="s">
        <v>164</v>
      </c>
      <c r="F33" s="1" t="s">
        <v>471</v>
      </c>
    </row>
    <row r="34" spans="3:6" ht="14.5" x14ac:dyDescent="0.35">
      <c r="D34" s="134" t="s">
        <v>293</v>
      </c>
      <c r="F34" s="1" t="s">
        <v>853</v>
      </c>
    </row>
    <row r="35" spans="3:6" ht="14.5" x14ac:dyDescent="0.35">
      <c r="D35" s="134" t="s">
        <v>273</v>
      </c>
      <c r="F35" s="1" t="s">
        <v>472</v>
      </c>
    </row>
    <row r="36" spans="3:6" ht="15" customHeight="1" x14ac:dyDescent="0.35">
      <c r="D36" s="134" t="s">
        <v>466</v>
      </c>
      <c r="F36" s="1" t="s">
        <v>854</v>
      </c>
    </row>
    <row r="37" spans="3:6" ht="14.5" x14ac:dyDescent="0.35">
      <c r="D37" s="134" t="s">
        <v>467</v>
      </c>
      <c r="F37" s="1" t="s">
        <v>473</v>
      </c>
    </row>
    <row r="38" spans="3:6" ht="14.5" x14ac:dyDescent="0.35">
      <c r="D38" s="134" t="s">
        <v>226</v>
      </c>
      <c r="F38" s="1" t="s">
        <v>474</v>
      </c>
    </row>
    <row r="39" spans="3:6" ht="14.5" x14ac:dyDescent="0.35">
      <c r="D39" s="134" t="s">
        <v>475</v>
      </c>
      <c r="F39" s="1" t="s">
        <v>855</v>
      </c>
    </row>
    <row r="40" spans="3:6" ht="14.5" x14ac:dyDescent="0.35">
      <c r="D40" s="134" t="s">
        <v>691</v>
      </c>
      <c r="F40" s="1" t="s">
        <v>856</v>
      </c>
    </row>
    <row r="41" spans="3:6" ht="14.5" x14ac:dyDescent="0.35">
      <c r="D41" s="134" t="s">
        <v>373</v>
      </c>
      <c r="F41" s="1" t="s">
        <v>476</v>
      </c>
    </row>
    <row r="42" spans="3:6" ht="14.5" x14ac:dyDescent="0.35">
      <c r="D42" s="134" t="s">
        <v>570</v>
      </c>
      <c r="F42" s="1" t="s">
        <v>857</v>
      </c>
    </row>
    <row r="43" spans="3:6" ht="14.5" x14ac:dyDescent="0.35">
      <c r="F43" s="1"/>
    </row>
    <row r="44" spans="3:6" thickBot="1" x14ac:dyDescent="0.4">
      <c r="C44" s="11" t="s">
        <v>874</v>
      </c>
      <c r="F44" s="1"/>
    </row>
    <row r="45" spans="3:6" ht="14.5" x14ac:dyDescent="0.35">
      <c r="D45" s="135" t="s">
        <v>256</v>
      </c>
      <c r="F45" s="1" t="s">
        <v>469</v>
      </c>
    </row>
    <row r="46" spans="3:6" ht="14.5" x14ac:dyDescent="0.35">
      <c r="F46" s="1"/>
    </row>
    <row r="47" spans="3:6" thickBot="1" x14ac:dyDescent="0.4">
      <c r="C47" s="11" t="s">
        <v>871</v>
      </c>
      <c r="F47" s="1"/>
    </row>
    <row r="48" spans="3:6" ht="14.5" x14ac:dyDescent="0.35">
      <c r="D48" s="136" t="s">
        <v>581</v>
      </c>
      <c r="F48" s="1" t="s">
        <v>858</v>
      </c>
    </row>
    <row r="49" spans="1:6" ht="14.5" x14ac:dyDescent="0.35">
      <c r="D49" s="136" t="s">
        <v>582</v>
      </c>
      <c r="F49" s="1" t="s">
        <v>859</v>
      </c>
    </row>
    <row r="50" spans="1:6" ht="14.5" x14ac:dyDescent="0.35">
      <c r="D50" s="136" t="s">
        <v>583</v>
      </c>
      <c r="F50" s="1" t="s">
        <v>860</v>
      </c>
    </row>
    <row r="51" spans="1:6" ht="14.5" x14ac:dyDescent="0.35">
      <c r="D51" s="136" t="s">
        <v>584</v>
      </c>
      <c r="F51" s="1" t="s">
        <v>861</v>
      </c>
    </row>
    <row r="52" spans="1:6" ht="14.5" x14ac:dyDescent="0.35">
      <c r="D52" s="136" t="s">
        <v>585</v>
      </c>
      <c r="F52" s="1" t="s">
        <v>862</v>
      </c>
    </row>
    <row r="53" spans="1:6" ht="14.5" x14ac:dyDescent="0.35">
      <c r="D53" s="136" t="s">
        <v>586</v>
      </c>
      <c r="F53" s="1" t="s">
        <v>863</v>
      </c>
    </row>
    <row r="54" spans="1:6" ht="14.5" x14ac:dyDescent="0.35">
      <c r="D54" s="136" t="s">
        <v>587</v>
      </c>
      <c r="F54" s="1" t="s">
        <v>864</v>
      </c>
    </row>
    <row r="55" spans="1:6" ht="14.5" x14ac:dyDescent="0.35">
      <c r="D55" s="136" t="s">
        <v>588</v>
      </c>
      <c r="F55" s="1" t="s">
        <v>865</v>
      </c>
    </row>
    <row r="56" spans="1:6" ht="14.5" x14ac:dyDescent="0.35"/>
    <row r="57" spans="1:6" ht="14.5" x14ac:dyDescent="0.35"/>
    <row r="58" spans="1:6" ht="20" thickBot="1" x14ac:dyDescent="0.5">
      <c r="A58" s="13" t="s">
        <v>386</v>
      </c>
    </row>
    <row r="59" spans="1:6" thickTop="1" x14ac:dyDescent="0.35"/>
    <row r="60" spans="1:6" ht="14.5" x14ac:dyDescent="0.35"/>
    <row r="61" spans="1:6" ht="14.5" hidden="1" x14ac:dyDescent="0.35"/>
    <row r="62" spans="1:6" ht="14.5" hidden="1" x14ac:dyDescent="0.35"/>
    <row r="63" spans="1:6" ht="14.5" hidden="1" x14ac:dyDescent="0.35"/>
    <row r="64" spans="1:6" ht="14.5" hidden="1" x14ac:dyDescent="0.35"/>
    <row r="69" ht="14.5" hidden="1" x14ac:dyDescent="0.35"/>
  </sheetData>
  <pageMargins left="0.7" right="0.7" top="0.75" bottom="0.75" header="0.3" footer="0.3"/>
  <pageSetup paperSize="9" orientation="portrait" r:id="rId1"/>
  <headerFooter>
    <oddHeader>&amp;L&amp;"Aptos"&amp;10&amp;K000000 Classified as Internal&amp;1#_x000D_</oddHead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63864-E374-4186-82D2-57D179BCAF8D}">
  <sheetPr codeName="Sheet15">
    <tabColor rgb="FFBAA0CC"/>
    <pageSetUpPr autoPageBreaks="0"/>
  </sheetPr>
  <dimension ref="A1:BF267"/>
  <sheetViews>
    <sheetView zoomScaleNormal="100" workbookViewId="0">
      <pane xSplit="46" ySplit="4" topLeftCell="AU5" activePane="bottomRight" state="frozen"/>
      <selection pane="topRight" activeCell="AU1" sqref="AU1"/>
      <selection pane="bottomLeft" activeCell="A5" sqref="A5"/>
      <selection pane="bottomRight"/>
    </sheetView>
  </sheetViews>
  <sheetFormatPr defaultColWidth="0" defaultRowHeight="14.5" zeroHeight="1" outlineLevelRow="1" outlineLevelCol="1" x14ac:dyDescent="0.35"/>
  <cols>
    <col min="1" max="3" width="1.90625" customWidth="1"/>
    <col min="4" max="4" width="15.6328125" customWidth="1"/>
    <col min="5" max="5" width="65.6328125" customWidth="1"/>
    <col min="6" max="6" width="8.6328125" customWidth="1"/>
    <col min="7" max="7" width="17.6328125" customWidth="1"/>
    <col min="8" max="8" width="9.6328125" customWidth="1"/>
    <col min="9" max="9" width="11.6328125" customWidth="1"/>
    <col min="10" max="10" width="2.08984375" customWidth="1"/>
    <col min="11" max="45" width="11.6328125" hidden="1" customWidth="1" outlineLevel="1"/>
    <col min="46" max="46" width="11.6328125" style="61" hidden="1" customWidth="1" outlineLevel="1"/>
    <col min="47" max="47" width="11.6328125" customWidth="1" collapsed="1"/>
    <col min="48" max="51" width="11.6328125" customWidth="1"/>
    <col min="52" max="52" width="18.6328125" customWidth="1"/>
    <col min="53" max="56" width="10.6328125" style="1" customWidth="1"/>
    <col min="57" max="57" width="10.6328125" customWidth="1"/>
    <col min="58" max="58" width="1.6328125" customWidth="1"/>
  </cols>
  <sheetData>
    <row r="1" spans="1:58" s="90" customFormat="1" ht="16" x14ac:dyDescent="0.35">
      <c r="A1" s="95" t="str" cm="1">
        <f t="array" aca="1" ref="A1" ca="1">MID(CELL("filename",$A$1),FIND("]",CELL("filename",$A$1))+1,255)</f>
        <v>Depreciation</v>
      </c>
      <c r="E1" s="107"/>
      <c r="G1" s="90" t="s">
        <v>572</v>
      </c>
      <c r="H1" s="27" t="e">
        <f>Checks!I7</f>
        <v>#REF!</v>
      </c>
      <c r="AT1" s="96"/>
      <c r="BA1" s="92"/>
      <c r="BB1" s="92"/>
      <c r="BC1" s="92"/>
      <c r="BD1" s="92"/>
    </row>
    <row r="2" spans="1:58" s="90" customFormat="1" ht="15" customHeight="1" x14ac:dyDescent="0.35">
      <c r="AT2" s="96"/>
      <c r="BA2" s="92"/>
      <c r="BB2" s="92"/>
      <c r="BC2" s="92"/>
      <c r="BD2" s="92"/>
    </row>
    <row r="3" spans="1:58" s="90" customFormat="1" ht="15" customHeight="1" x14ac:dyDescent="0.35">
      <c r="E3" s="90" t="s">
        <v>1</v>
      </c>
      <c r="F3" s="90" t="s">
        <v>2</v>
      </c>
      <c r="G3" s="90" t="s">
        <v>3</v>
      </c>
      <c r="H3" s="90" t="s">
        <v>4</v>
      </c>
      <c r="I3" s="90" t="s">
        <v>5</v>
      </c>
      <c r="AT3" s="96"/>
      <c r="AU3" s="90" t="s">
        <v>6</v>
      </c>
      <c r="BA3" s="92"/>
      <c r="BB3" s="92"/>
      <c r="BC3" s="92"/>
      <c r="BD3" s="92"/>
    </row>
    <row r="4" spans="1:58" s="90" customFormat="1" ht="15" customHeight="1" x14ac:dyDescent="0.35">
      <c r="D4" s="92" t="s">
        <v>459</v>
      </c>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92" t="s">
        <v>591</v>
      </c>
      <c r="BB4" s="92" t="s">
        <v>592</v>
      </c>
      <c r="BC4" s="92" t="s">
        <v>593</v>
      </c>
      <c r="BD4" s="92"/>
    </row>
    <row r="5" spans="1:58" x14ac:dyDescent="0.35"/>
    <row r="6" spans="1:58" ht="20" thickBot="1" x14ac:dyDescent="0.5">
      <c r="A6" s="13" t="s">
        <v>484</v>
      </c>
      <c r="BF6" s="33"/>
    </row>
    <row r="7" spans="1:58" ht="15" outlineLevel="1" thickTop="1" x14ac:dyDescent="0.35">
      <c r="D7" s="1" t="str" cm="1">
        <f t="array" aca="1" ref="D7" ca="1">IFERROR(MID(_xlfn.FORMULATEXT(I7),FIND("=",_xlfn.FORMULATEXT(I7))+1,FIND("!",_xlfn.FORMULATEXT(I7))-2),MID(_xlfn.FORMULATEXT(INDEX(L7:AV7,MATCH(FALSE,ISBLANK(L7:AV7),0))),FIND("=",_xlfn.FORMULATEXT(INDEX(L7:AV7,MATCH(FALSE,ISBLANK(L7:AV7),0))))+1,FIND("!",_xlfn.FORMULATEXT(INDEX(L7:AV7,MATCH(FALSE,ISBLANK(L7:AV7),0))))-2))</f>
        <v>Transform</v>
      </c>
      <c r="E7" t="s">
        <v>413</v>
      </c>
      <c r="G7" t="str">
        <f>Transform!G59</f>
        <v>year ending</v>
      </c>
      <c r="I7" s="85">
        <f>Transform!I59</f>
        <v>41729</v>
      </c>
    </row>
    <row r="8" spans="1:58" outlineLevel="1" x14ac:dyDescent="0.35">
      <c r="D8" s="1" t="str" cm="1">
        <f t="array" aca="1" ref="D8" ca="1">IFERROR(MID(_xlfn.FORMULATEXT(I8),FIND("=",_xlfn.FORMULATEXT(I8))+1,FIND("!",_xlfn.FORMULATEXT(I8))-2),MID(_xlfn.FORMULATEXT(INDEX(L8:AV8,MATCH(FALSE,ISBLANK(L8:AV8),0))),FIND("=",_xlfn.FORMULATEXT(INDEX(L8:AV8,MATCH(FALSE,ISBLANK(L8:AV8),0))))+1,FIND("!",_xlfn.FORMULATEXT(INDEX(L8:AV8,MATCH(FALSE,ISBLANK(L8:AV8),0))))-2))</f>
        <v>Transform</v>
      </c>
      <c r="E8" t="s">
        <v>197</v>
      </c>
      <c r="G8" t="str">
        <f>Transform!G57</f>
        <v>years</v>
      </c>
      <c r="I8" s="19">
        <f>Transform!I57</f>
        <v>45</v>
      </c>
    </row>
    <row r="9" spans="1:58" outlineLevel="1" x14ac:dyDescent="0.35">
      <c r="D9" s="1" t="str" cm="1">
        <f t="array" aca="1" ref="D9" ca="1">IFERROR(MID(_xlfn.FORMULATEXT(I9),FIND("=",_xlfn.FORMULATEXT(I9))+1,FIND("!",_xlfn.FORMULATEXT(I9))-2),MID(_xlfn.FORMULATEXT(INDEX(L9:AV9,MATCH(FALSE,ISBLANK(L9:AV9),0))),FIND("=",_xlfn.FORMULATEXT(INDEX(L9:AV9,MATCH(FALSE,ISBLANK(L9:AV9),0))))+1,FIND("!",_xlfn.FORMULATEXT(INDEX(L9:AV9,MATCH(FALSE,ISBLANK(L9:AV9),0))))-2))</f>
        <v>Transform</v>
      </c>
      <c r="E9" s="2" t="s">
        <v>550</v>
      </c>
      <c r="G9" t="str">
        <f>Transform!G63</f>
        <v>year ending</v>
      </c>
      <c r="I9" s="85">
        <f>Transform!I63</f>
        <v>54878</v>
      </c>
    </row>
    <row r="10" spans="1:58" outlineLevel="1" x14ac:dyDescent="0.35">
      <c r="D10" s="1" t="str" cm="1">
        <f t="array" aca="1" ref="D10" ca="1">IFERROR(MID(_xlfn.FORMULATEXT(I10),FIND("=",_xlfn.FORMULATEXT(I10))+1,FIND("!",_xlfn.FORMULATEXT(I10))-2),MID(_xlfn.FORMULATEXT(INDEX(L10:AV10,MATCH(FALSE,ISBLANK(L10:AV10),0))),FIND("=",_xlfn.FORMULATEXT(INDEX(L10:AV10,MATCH(FALSE,ISBLANK(L10:AV10),0))))+1,FIND("!",_xlfn.FORMULATEXT(INDEX(L10:AV10,MATCH(FALSE,ISBLANK(L10:AV10),0))))-2))</f>
        <v>Transform</v>
      </c>
      <c r="E10" t="s">
        <v>577</v>
      </c>
      <c r="G10" t="str">
        <f>Transform!G187</f>
        <v>scalar</v>
      </c>
      <c r="AU10" s="151">
        <f>Transform!AU187</f>
        <v>1.0903812147866101</v>
      </c>
      <c r="AV10" s="56">
        <f>Transform!AV187</f>
        <v>1.1038900921236532</v>
      </c>
      <c r="AW10" s="56">
        <f>Transform!AW187</f>
        <v>1.117474709683749</v>
      </c>
      <c r="AX10" s="56">
        <f>Transform!AX187</f>
        <v>1.1311303901017495</v>
      </c>
      <c r="AY10" s="56">
        <f>Transform!AY187</f>
        <v>1.1451152758990213</v>
      </c>
    </row>
    <row r="11" spans="1:58" outlineLevel="1" x14ac:dyDescent="0.35">
      <c r="D11" s="1" t="str" cm="1">
        <f t="array" aca="1" ref="D11" ca="1">IFERROR(MID(_xlfn.FORMULATEXT(I11),FIND("=",_xlfn.FORMULATEXT(I11))+1,FIND("!",_xlfn.FORMULATEXT(I11))-2),MID(_xlfn.FORMULATEXT(INDEX(L11:AV11,MATCH(FALSE,ISBLANK(L11:AV11),0))),FIND("=",_xlfn.FORMULATEXT(INDEX(L11:AV11,MATCH(FALSE,ISBLANK(L11:AV11),0))))+1,FIND("!",_xlfn.FORMULATEXT(INDEX(L11:AV11,MATCH(FALSE,ISBLANK(L11:AV11),0))))-2))</f>
        <v>TIM</v>
      </c>
      <c r="E11" t="s">
        <v>298</v>
      </c>
      <c r="G11" t="str">
        <f>TIM!G66</f>
        <v>£m 23/24 prices</v>
      </c>
      <c r="AU11" s="148">
        <f>TIM!AU66</f>
        <v>140.4322400153753</v>
      </c>
      <c r="AV11" s="50">
        <f>TIM!AV66</f>
        <v>148.00776626577095</v>
      </c>
      <c r="AW11" s="50">
        <f>TIM!AW66</f>
        <v>145.59157682562881</v>
      </c>
      <c r="AX11" s="50">
        <f>TIM!AX66</f>
        <v>141.12206966118492</v>
      </c>
      <c r="AY11" s="50">
        <f>TIM!AY66</f>
        <v>135.56929525856179</v>
      </c>
    </row>
    <row r="12" spans="1:58" outlineLevel="1" x14ac:dyDescent="0.35">
      <c r="D12" s="1" t="str" cm="1">
        <f t="array" aca="1" ref="D12" ca="1">IFERROR(MID(_xlfn.FORMULATEXT(I12),FIND("=",_xlfn.FORMULATEXT(I12))+1,FIND("!",_xlfn.FORMULATEXT(I12))-2),MID(_xlfn.FORMULATEXT(INDEX(L12:AV12,MATCH(FALSE,ISBLANK(L12:AV12),0))),FIND("=",_xlfn.FORMULATEXT(INDEX(L12:AV12,MATCH(FALSE,ISBLANK(L12:AV12),0))))+1,FIND("!",_xlfn.FORMULATEXT(INDEX(L12:AV12,MATCH(FALSE,ISBLANK(L12:AV12),0))))-2))</f>
        <v>Transform</v>
      </c>
      <c r="E12" t="s">
        <v>194</v>
      </c>
      <c r="G12" t="str">
        <f>Transform!G60</f>
        <v>£m 23/24 prices</v>
      </c>
      <c r="J12" t="s">
        <v>13</v>
      </c>
      <c r="W12" s="50">
        <f>Transform!W60</f>
        <v>91.905465427581476</v>
      </c>
      <c r="X12" s="50">
        <f>Transform!X60</f>
        <v>79.115440417778871</v>
      </c>
      <c r="Y12" s="50">
        <f>Transform!Y60</f>
        <v>57.28104057961589</v>
      </c>
      <c r="Z12" s="50">
        <f>Transform!Z60</f>
        <v>66.994243886430311</v>
      </c>
      <c r="AA12" s="50">
        <f>Transform!AA60</f>
        <v>49.644047772208971</v>
      </c>
      <c r="AB12" s="50">
        <f>Transform!AB60</f>
        <v>133.37914749620904</v>
      </c>
      <c r="AC12" s="50">
        <f>Transform!AC60</f>
        <v>144.02328495601324</v>
      </c>
      <c r="AD12" s="50">
        <f>Transform!AD60</f>
        <v>189.59720839926936</v>
      </c>
      <c r="AE12" s="50">
        <f>Transform!AE60</f>
        <v>197.52068254319832</v>
      </c>
      <c r="AF12" s="50">
        <f>Transform!AF60</f>
        <v>177.25045037918576</v>
      </c>
      <c r="AG12" s="50">
        <f>Transform!AG60</f>
        <v>110.81029182430835</v>
      </c>
    </row>
    <row r="13" spans="1:58" outlineLevel="1" x14ac:dyDescent="0.35">
      <c r="D13" s="1" t="str" cm="1">
        <f t="array" aca="1" ref="D13" ca="1">IFERROR(MID(_xlfn.FORMULATEXT(I13),FIND("=",_xlfn.FORMULATEXT(I13))+1,FIND("!",_xlfn.FORMULATEXT(I13))-2),MID(_xlfn.FORMULATEXT(INDEX(L13:AV13,MATCH(FALSE,ISBLANK(L13:AV13),0))),FIND("=",_xlfn.FORMULATEXT(INDEX(L13:AV13,MATCH(FALSE,ISBLANK(L13:AV13),0))))+1,FIND("!",_xlfn.FORMULATEXT(INDEX(L13:AV13,MATCH(FALSE,ISBLANK(L13:AV13),0))))-2))</f>
        <v>Transform</v>
      </c>
      <c r="E13" t="s">
        <v>610</v>
      </c>
      <c r="G13" t="str">
        <f>Transform!G61</f>
        <v>£m 23/24 prices</v>
      </c>
      <c r="J13" t="s">
        <v>13</v>
      </c>
      <c r="AH13" s="50">
        <f>Transform!AH61</f>
        <v>113.32221010949328</v>
      </c>
      <c r="AI13" s="50">
        <f>Transform!AI61</f>
        <v>109.76500366917041</v>
      </c>
      <c r="AJ13" s="50">
        <f>Transform!AJ61</f>
        <v>114.22336322517508</v>
      </c>
      <c r="AK13" s="50">
        <f>Transform!AK61</f>
        <v>127.54784733053384</v>
      </c>
      <c r="AL13" s="50">
        <f>Transform!AL61</f>
        <v>128.38622713335945</v>
      </c>
      <c r="AM13" s="50">
        <f>Transform!AM61</f>
        <v>141.61228861219638</v>
      </c>
      <c r="AN13" s="50">
        <f>Transform!AN61</f>
        <v>135.54680984121518</v>
      </c>
      <c r="AO13" s="50">
        <f>Transform!AO61</f>
        <v>131.03123438949584</v>
      </c>
      <c r="AP13" s="50">
        <f>Transform!AP61</f>
        <v>127.80430836953926</v>
      </c>
      <c r="AQ13" s="50">
        <f>Transform!AQ61</f>
        <v>139.25083719589287</v>
      </c>
      <c r="AR13" s="50">
        <f>Transform!AR61</f>
        <v>156.62287921155232</v>
      </c>
      <c r="AS13" s="50">
        <f>Transform!AS61</f>
        <v>155.47122631923617</v>
      </c>
      <c r="AT13" s="73">
        <f>Transform!AT61</f>
        <v>165.11064032006806</v>
      </c>
    </row>
    <row r="14" spans="1:58" outlineLevel="1" x14ac:dyDescent="0.35">
      <c r="D14" s="1" t="str" cm="1">
        <f t="array" aca="1" ref="D14" ca="1">IFERROR(MID(_xlfn.FORMULATEXT(I14),FIND("=",_xlfn.FORMULATEXT(I14))+1,FIND("!",_xlfn.FORMULATEXT(I14))-2),MID(_xlfn.FORMULATEXT(INDEX(L14:AV14,MATCH(FALSE,ISBLANK(L14:AV14),0))),FIND("=",_xlfn.FORMULATEXT(INDEX(L14:AV14,MATCH(FALSE,ISBLANK(L14:AV14),0))))+1,FIND("!",_xlfn.FORMULATEXT(INDEX(L14:AV14,MATCH(FALSE,ISBLANK(L14:AV14),0))))-2))</f>
        <v>Transform</v>
      </c>
      <c r="E14" t="s">
        <v>189</v>
      </c>
      <c r="G14" t="str">
        <f>Transform!G52</f>
        <v>years</v>
      </c>
      <c r="I14" s="19">
        <f>Transform!I52</f>
        <v>56</v>
      </c>
    </row>
    <row r="15" spans="1:58" outlineLevel="1" x14ac:dyDescent="0.35">
      <c r="D15" s="1" t="str" cm="1">
        <f t="array" aca="1" ref="D15" ca="1">IFERROR(MID(_xlfn.FORMULATEXT(I15),FIND("=",_xlfn.FORMULATEXT(I15))+1,FIND("!",_xlfn.FORMULATEXT(I15))-2),MID(_xlfn.FORMULATEXT(INDEX(L15:AV15,MATCH(FALSE,ISBLANK(L15:AV15),0))),FIND("=",_xlfn.FORMULATEXT(INDEX(L15:AV15,MATCH(FALSE,ISBLANK(L15:AV15),0))))+1,FIND("!",_xlfn.FORMULATEXT(INDEX(L15:AV15,MATCH(FALSE,ISBLANK(L15:AV15),0))))-2))</f>
        <v>Transform</v>
      </c>
      <c r="E15" t="s">
        <v>272</v>
      </c>
      <c r="G15" t="str">
        <f>Transform!G54</f>
        <v>years</v>
      </c>
      <c r="J15" t="s">
        <v>13</v>
      </c>
      <c r="AH15" s="19">
        <f>Transform!AH54</f>
        <v>45</v>
      </c>
      <c r="AI15" s="19">
        <f>Transform!AI54</f>
        <v>44</v>
      </c>
      <c r="AJ15" s="19">
        <f>Transform!AJ54</f>
        <v>43</v>
      </c>
      <c r="AK15" s="19">
        <f>Transform!AK54</f>
        <v>42</v>
      </c>
      <c r="AL15" s="19">
        <f>Transform!AL54</f>
        <v>41</v>
      </c>
      <c r="AM15" s="19">
        <f>Transform!AM54</f>
        <v>40</v>
      </c>
      <c r="AN15" s="19">
        <f>Transform!AN54</f>
        <v>39</v>
      </c>
      <c r="AO15" s="19">
        <f>Transform!AO54</f>
        <v>38</v>
      </c>
      <c r="AP15" s="19">
        <f>Transform!AP54</f>
        <v>37</v>
      </c>
      <c r="AQ15" s="19">
        <f>Transform!AQ54</f>
        <v>36</v>
      </c>
      <c r="AR15" s="19">
        <f>Transform!AR54</f>
        <v>35</v>
      </c>
      <c r="AS15" s="19">
        <f>Transform!AS54</f>
        <v>34</v>
      </c>
      <c r="AT15" s="175">
        <f>Transform!AT54</f>
        <v>33</v>
      </c>
      <c r="AU15" s="159">
        <f>Transform!AU54</f>
        <v>32</v>
      </c>
      <c r="AV15" s="19">
        <f>Transform!AV54</f>
        <v>31</v>
      </c>
      <c r="AW15" s="19">
        <f>Transform!AW54</f>
        <v>30</v>
      </c>
      <c r="AX15" s="19">
        <f>Transform!AX54</f>
        <v>29</v>
      </c>
      <c r="AY15" s="19">
        <f>Transform!AY54</f>
        <v>28</v>
      </c>
    </row>
    <row r="16" spans="1:58" outlineLevel="1" x14ac:dyDescent="0.35">
      <c r="D16" s="1" t="str" cm="1">
        <f t="array" aca="1" ref="D16" ca="1">IFERROR(MID(_xlfn.FORMULATEXT(I16),FIND("=",_xlfn.FORMULATEXT(I16))+1,FIND("!",_xlfn.FORMULATEXT(I16))-2),MID(_xlfn.FORMULATEXT(INDEX(L16:AV16,MATCH(FALSE,ISBLANK(L16:AV16),0))),FIND("=",_xlfn.FORMULATEXT(INDEX(L16:AV16,MATCH(FALSE,ISBLANK(L16:AV16),0))))+1,FIND("!",_xlfn.FORMULATEXT(INDEX(L16:AV16,MATCH(FALSE,ISBLANK(L16:AV16),0))))-2))</f>
        <v>Transform</v>
      </c>
      <c r="E16" t="s">
        <v>412</v>
      </c>
      <c r="G16" t="str">
        <f>Transform!G51</f>
        <v>£m 23/24 prices</v>
      </c>
      <c r="J16" t="s">
        <v>13</v>
      </c>
      <c r="AH16" s="50">
        <f>Transform!AH51</f>
        <v>1398.6437346002203</v>
      </c>
    </row>
    <row r="17" spans="1:54" outlineLevel="1" x14ac:dyDescent="0.35">
      <c r="D17" s="1" t="str" cm="1">
        <f t="array" aca="1" ref="D17" ca="1">IFERROR(MID(_xlfn.FORMULATEXT(I17),FIND("=",_xlfn.FORMULATEXT(I17))+1,FIND("!",_xlfn.FORMULATEXT(I17))-2),MID(_xlfn.FORMULATEXT(INDEX(L17:AV17,MATCH(FALSE,ISBLANK(L17:AV17),0))),FIND("=",_xlfn.FORMULATEXT(INDEX(L17:AV17,MATCH(FALSE,ISBLANK(L17:AV17),0))))+1,FIND("!",_xlfn.FORMULATEXT(INDEX(L17:AV17,MATCH(FALSE,ISBLANK(L17:AV17),0))))-2))</f>
        <v>Transform</v>
      </c>
      <c r="E17" t="s">
        <v>191</v>
      </c>
      <c r="G17" t="str">
        <f>Transform!G53</f>
        <v>£m 23/24 prices</v>
      </c>
      <c r="J17" t="s">
        <v>13</v>
      </c>
      <c r="AH17" s="50">
        <f>Transform!AH53</f>
        <v>0.32595209977257916</v>
      </c>
      <c r="AI17" s="50">
        <f>Transform!AI53</f>
        <v>-0.32704485562675989</v>
      </c>
      <c r="AJ17" s="50">
        <f>Transform!AJ53</f>
        <v>0</v>
      </c>
      <c r="AK17" s="50">
        <f>Transform!AK53</f>
        <v>0</v>
      </c>
      <c r="AL17" s="50">
        <f>Transform!AL53</f>
        <v>0</v>
      </c>
      <c r="AM17" s="50">
        <f>Transform!AM53</f>
        <v>0</v>
      </c>
      <c r="AN17" s="50">
        <f>Transform!AN53</f>
        <v>0</v>
      </c>
      <c r="AO17" s="50">
        <f>Transform!AO53</f>
        <v>0</v>
      </c>
    </row>
    <row r="18" spans="1:54" outlineLevel="1" x14ac:dyDescent="0.35">
      <c r="D18" s="1" t="str" cm="1">
        <f t="array" aca="1" ref="D18" ca="1">IFERROR(MID(_xlfn.FORMULATEXT(I18),FIND("=",_xlfn.FORMULATEXT(I18))+1,FIND("!",_xlfn.FORMULATEXT(I18))-2),MID(_xlfn.FORMULATEXT(INDEX(L18:AV18,MATCH(FALSE,ISBLANK(L18:AV18),0))),FIND("=",_xlfn.FORMULATEXT(INDEX(L18:AV18,MATCH(FALSE,ISBLANK(L18:AV18),0))))+1,FIND("!",_xlfn.FORMULATEXT(INDEX(L18:AV18,MATCH(FALSE,ISBLANK(L18:AV18),0))))-2))</f>
        <v>Transform</v>
      </c>
      <c r="E18" t="s">
        <v>551</v>
      </c>
      <c r="G18" t="str">
        <f>Transform!G64</f>
        <v>flag</v>
      </c>
      <c r="J18" t="s">
        <v>13</v>
      </c>
      <c r="X18" s="19">
        <f>Transform!X64</f>
        <v>0</v>
      </c>
      <c r="Y18" s="19">
        <f>Transform!Y64</f>
        <v>0</v>
      </c>
      <c r="Z18" s="19">
        <f>Transform!Z64</f>
        <v>0</v>
      </c>
      <c r="AA18" s="19">
        <f>Transform!AA64</f>
        <v>0</v>
      </c>
      <c r="AB18" s="19">
        <f>Transform!AB64</f>
        <v>0</v>
      </c>
      <c r="AC18" s="19">
        <f>Transform!AC64</f>
        <v>0</v>
      </c>
      <c r="AD18" s="19">
        <f>Transform!AD64</f>
        <v>0</v>
      </c>
      <c r="AE18" s="19">
        <f>Transform!AE64</f>
        <v>0</v>
      </c>
      <c r="AF18" s="19">
        <f>Transform!AF64</f>
        <v>0</v>
      </c>
      <c r="AG18" s="19">
        <f>Transform!AG64</f>
        <v>0</v>
      </c>
      <c r="AH18" s="19">
        <f>Transform!AH64</f>
        <v>0</v>
      </c>
      <c r="AI18" s="19">
        <f>Transform!AI64</f>
        <v>0</v>
      </c>
      <c r="AJ18" s="19">
        <f>Transform!AJ64</f>
        <v>0</v>
      </c>
      <c r="AK18" s="19">
        <f>Transform!AK64</f>
        <v>0</v>
      </c>
      <c r="AL18" s="19">
        <f>Transform!AL64</f>
        <v>0</v>
      </c>
      <c r="AM18" s="19">
        <f>Transform!AM64</f>
        <v>0</v>
      </c>
      <c r="AN18" s="19">
        <f>Transform!AN64</f>
        <v>0</v>
      </c>
      <c r="AO18" s="19">
        <f>Transform!AO64</f>
        <v>0</v>
      </c>
      <c r="AP18" s="19">
        <f>Transform!AP64</f>
        <v>0</v>
      </c>
      <c r="AQ18" s="19">
        <f>Transform!AQ64</f>
        <v>0</v>
      </c>
      <c r="AR18" s="19">
        <f>Transform!AR64</f>
        <v>0</v>
      </c>
      <c r="AS18" s="19">
        <f>Transform!AS64</f>
        <v>0</v>
      </c>
      <c r="AT18" s="175">
        <f>Transform!AT64</f>
        <v>0</v>
      </c>
      <c r="AU18" s="159">
        <f>Transform!AU64</f>
        <v>0</v>
      </c>
      <c r="AV18" s="19">
        <f>Transform!AV64</f>
        <v>0</v>
      </c>
      <c r="AW18" s="19">
        <f>Transform!AW64</f>
        <v>0</v>
      </c>
      <c r="AX18" s="19">
        <f>Transform!AX64</f>
        <v>0</v>
      </c>
      <c r="AY18" s="19">
        <f>Transform!AY64</f>
        <v>0</v>
      </c>
    </row>
    <row r="19" spans="1:54" outlineLevel="1" x14ac:dyDescent="0.35">
      <c r="D19" s="1" t="str" cm="1">
        <f t="array" aca="1" ref="D19" ca="1">IFERROR(MID(_xlfn.FORMULATEXT(I19),FIND("=",_xlfn.FORMULATEXT(I19))+1,FIND("!",_xlfn.FORMULATEXT(I19))-2),MID(_xlfn.FORMULATEXT(INDEX(L19:AV19,MATCH(FALSE,ISBLANK(L19:AV19),0))),FIND("=",_xlfn.FORMULATEXT(INDEX(L19:AV19,MATCH(FALSE,ISBLANK(L19:AV19),0))))+1,FIND("!",_xlfn.FORMULATEXT(INDEX(L19:AV19,MATCH(FALSE,ISBLANK(L19:AV19),0))))-2))</f>
        <v>Transform</v>
      </c>
      <c r="E19" t="s">
        <v>490</v>
      </c>
      <c r="G19" t="str">
        <f>Transform!G65</f>
        <v>scalar</v>
      </c>
      <c r="J19" t="s">
        <v>13</v>
      </c>
      <c r="X19" s="19">
        <f>Transform!X65</f>
        <v>0</v>
      </c>
      <c r="Y19" s="19">
        <f>Transform!Y65</f>
        <v>0</v>
      </c>
      <c r="Z19" s="19">
        <f>Transform!Z65</f>
        <v>0</v>
      </c>
      <c r="AA19" s="19">
        <f>Transform!AA65</f>
        <v>0</v>
      </c>
      <c r="AB19" s="19">
        <f>Transform!AB65</f>
        <v>0</v>
      </c>
      <c r="AC19" s="19">
        <f>Transform!AC65</f>
        <v>0</v>
      </c>
      <c r="AD19" s="19">
        <f>Transform!AD65</f>
        <v>0</v>
      </c>
      <c r="AE19" s="19">
        <f>Transform!AE65</f>
        <v>0</v>
      </c>
      <c r="AF19" s="19">
        <f>Transform!AF65</f>
        <v>0</v>
      </c>
      <c r="AG19" s="19">
        <f>Transform!AG65</f>
        <v>0</v>
      </c>
      <c r="AH19" s="19">
        <f>Transform!AH65</f>
        <v>0</v>
      </c>
      <c r="AI19" s="19">
        <f>Transform!AI65</f>
        <v>0</v>
      </c>
      <c r="AJ19" s="19">
        <f>Transform!AJ65</f>
        <v>0</v>
      </c>
      <c r="AK19" s="19">
        <f>Transform!AK65</f>
        <v>0</v>
      </c>
      <c r="AL19" s="19">
        <f>Transform!AL65</f>
        <v>0</v>
      </c>
      <c r="AM19" s="19">
        <f>Transform!AM65</f>
        <v>0</v>
      </c>
      <c r="AN19" s="19">
        <f>Transform!AN65</f>
        <v>0</v>
      </c>
      <c r="AO19" s="19">
        <f>Transform!AO65</f>
        <v>0</v>
      </c>
      <c r="AP19" s="19">
        <f>Transform!AP65</f>
        <v>0</v>
      </c>
      <c r="AQ19" s="19">
        <f>Transform!AQ65</f>
        <v>0</v>
      </c>
      <c r="AR19" s="19">
        <f>Transform!AR65</f>
        <v>0</v>
      </c>
      <c r="AS19" s="19">
        <f>Transform!AS65</f>
        <v>0</v>
      </c>
      <c r="AT19" s="175">
        <f>Transform!AT65</f>
        <v>0</v>
      </c>
      <c r="AU19" s="159">
        <f>Transform!AU65</f>
        <v>0</v>
      </c>
      <c r="AV19" s="19">
        <f>Transform!AV65</f>
        <v>0</v>
      </c>
      <c r="AW19" s="19">
        <f>Transform!AW65</f>
        <v>0</v>
      </c>
      <c r="AX19" s="19">
        <f>Transform!AX65</f>
        <v>0</v>
      </c>
      <c r="AY19" s="19">
        <f>Transform!AY65</f>
        <v>0</v>
      </c>
    </row>
    <row r="20" spans="1:54" outlineLevel="1" x14ac:dyDescent="0.35">
      <c r="D20" s="1" t="str" cm="1">
        <f t="array" aca="1" ref="D20" ca="1">IFERROR(MID(_xlfn.FORMULATEXT(I20),FIND("=",_xlfn.FORMULATEXT(I20))+1,FIND("!",_xlfn.FORMULATEXT(I20))-2),MID(_xlfn.FORMULATEXT(INDEX(L20:AV20,MATCH(FALSE,ISBLANK(L20:AV20),0))),FIND("=",_xlfn.FORMULATEXT(INDEX(L20:AV20,MATCH(FALSE,ISBLANK(L20:AV20),0))))+1,FIND("!",_xlfn.FORMULATEXT(INDEX(L20:AV20,MATCH(FALSE,ISBLANK(L20:AV20),0))))-2))</f>
        <v>Transform</v>
      </c>
      <c r="E20" t="s">
        <v>300</v>
      </c>
      <c r="G20" t="str">
        <f>Transform!G58</f>
        <v>years</v>
      </c>
      <c r="J20" t="s">
        <v>13</v>
      </c>
      <c r="AH20" s="53">
        <f>Transform!AH58</f>
        <v>0.15</v>
      </c>
      <c r="AI20" s="53">
        <f>Transform!AI58</f>
        <v>0.15</v>
      </c>
      <c r="AJ20" s="53">
        <f>Transform!AJ58</f>
        <v>2.5000000000000001E-2</v>
      </c>
      <c r="AK20" s="53">
        <f>Transform!AK58</f>
        <v>0</v>
      </c>
      <c r="AL20" s="53">
        <f>Transform!AL58</f>
        <v>0.05</v>
      </c>
      <c r="AM20" s="53">
        <f>Transform!AM58</f>
        <v>0.125</v>
      </c>
      <c r="AN20" s="53">
        <f>Transform!AN58</f>
        <v>0.2</v>
      </c>
      <c r="AO20" s="53">
        <f>Transform!AO58</f>
        <v>0.3</v>
      </c>
    </row>
    <row r="21" spans="1:54" x14ac:dyDescent="0.35"/>
    <row r="22" spans="1:54" ht="20" thickBot="1" x14ac:dyDescent="0.5">
      <c r="A22" s="13" t="s">
        <v>395</v>
      </c>
    </row>
    <row r="23" spans="1:54" ht="15" thickTop="1" x14ac:dyDescent="0.35">
      <c r="E23" t="s">
        <v>488</v>
      </c>
      <c r="G23" t="s">
        <v>236</v>
      </c>
      <c r="J23" t="s">
        <v>13</v>
      </c>
      <c r="W23" s="44">
        <f t="shared" ref="W23:AF24" si="0">(W$4&lt;$I$7)*1</f>
        <v>1</v>
      </c>
      <c r="X23" s="44">
        <f t="shared" si="0"/>
        <v>1</v>
      </c>
      <c r="Y23" s="44">
        <f t="shared" si="0"/>
        <v>1</v>
      </c>
      <c r="Z23" s="44">
        <f t="shared" si="0"/>
        <v>1</v>
      </c>
      <c r="AA23" s="44">
        <f t="shared" si="0"/>
        <v>1</v>
      </c>
      <c r="AB23" s="44">
        <f t="shared" si="0"/>
        <v>1</v>
      </c>
      <c r="AC23" s="44">
        <f t="shared" si="0"/>
        <v>1</v>
      </c>
      <c r="AD23" s="44">
        <f t="shared" si="0"/>
        <v>1</v>
      </c>
      <c r="AE23" s="44">
        <f t="shared" si="0"/>
        <v>1</v>
      </c>
      <c r="AF23" s="44">
        <f t="shared" si="0"/>
        <v>1</v>
      </c>
      <c r="AG23" s="44">
        <f t="shared" ref="AG23:AP24" si="1">(AG$4&lt;$I$7)*1</f>
        <v>1</v>
      </c>
      <c r="AH23" s="44">
        <f t="shared" si="1"/>
        <v>0</v>
      </c>
      <c r="AI23" s="44">
        <f t="shared" si="1"/>
        <v>0</v>
      </c>
      <c r="AJ23" s="44">
        <f t="shared" si="1"/>
        <v>0</v>
      </c>
      <c r="AK23" s="44">
        <f t="shared" si="1"/>
        <v>0</v>
      </c>
      <c r="AL23" s="44">
        <f t="shared" si="1"/>
        <v>0</v>
      </c>
      <c r="AM23" s="44">
        <f t="shared" si="1"/>
        <v>0</v>
      </c>
      <c r="AN23" s="44">
        <f t="shared" si="1"/>
        <v>0</v>
      </c>
      <c r="AO23" s="44">
        <f t="shared" si="1"/>
        <v>0</v>
      </c>
      <c r="AP23" s="44">
        <f t="shared" si="1"/>
        <v>0</v>
      </c>
      <c r="AQ23" s="44">
        <f t="shared" ref="AQ23:AY24" si="2">(AQ$4&lt;$I$7)*1</f>
        <v>0</v>
      </c>
      <c r="AR23" s="44">
        <f t="shared" si="2"/>
        <v>0</v>
      </c>
      <c r="AS23" s="44">
        <f t="shared" si="2"/>
        <v>0</v>
      </c>
      <c r="AT23" s="176">
        <f t="shared" si="2"/>
        <v>0</v>
      </c>
      <c r="AU23" s="160">
        <f t="shared" si="2"/>
        <v>0</v>
      </c>
      <c r="AV23" s="44">
        <f t="shared" si="2"/>
        <v>0</v>
      </c>
      <c r="AW23" s="44">
        <f t="shared" si="2"/>
        <v>0</v>
      </c>
      <c r="AX23" s="44">
        <f t="shared" si="2"/>
        <v>0</v>
      </c>
      <c r="AY23" s="44">
        <f t="shared" si="2"/>
        <v>0</v>
      </c>
      <c r="BA23" s="88" t="str">
        <f ca="1">$A$1</f>
        <v>Depreciation</v>
      </c>
      <c r="BB23" s="1" t="str">
        <f>$A$22</f>
        <v>Input calculations</v>
      </c>
    </row>
    <row r="24" spans="1:54" x14ac:dyDescent="0.35">
      <c r="E24" t="s">
        <v>489</v>
      </c>
      <c r="G24" t="s">
        <v>236</v>
      </c>
      <c r="J24" t="s">
        <v>13</v>
      </c>
      <c r="W24" s="44">
        <f t="shared" si="0"/>
        <v>1</v>
      </c>
      <c r="X24" s="44">
        <f t="shared" si="0"/>
        <v>1</v>
      </c>
      <c r="Y24" s="44">
        <f t="shared" si="0"/>
        <v>1</v>
      </c>
      <c r="Z24" s="44">
        <f t="shared" si="0"/>
        <v>1</v>
      </c>
      <c r="AA24" s="44">
        <f t="shared" si="0"/>
        <v>1</v>
      </c>
      <c r="AB24" s="44">
        <f t="shared" si="0"/>
        <v>1</v>
      </c>
      <c r="AC24" s="44">
        <f t="shared" si="0"/>
        <v>1</v>
      </c>
      <c r="AD24" s="44">
        <f t="shared" si="0"/>
        <v>1</v>
      </c>
      <c r="AE24" s="44">
        <f t="shared" si="0"/>
        <v>1</v>
      </c>
      <c r="AF24" s="44">
        <f t="shared" si="0"/>
        <v>1</v>
      </c>
      <c r="AG24" s="44">
        <f t="shared" si="1"/>
        <v>1</v>
      </c>
      <c r="AH24" s="44">
        <f t="shared" si="1"/>
        <v>0</v>
      </c>
      <c r="AI24" s="44">
        <f t="shared" si="1"/>
        <v>0</v>
      </c>
      <c r="AJ24" s="44">
        <f t="shared" si="1"/>
        <v>0</v>
      </c>
      <c r="AK24" s="44">
        <f t="shared" si="1"/>
        <v>0</v>
      </c>
      <c r="AL24" s="44">
        <f t="shared" si="1"/>
        <v>0</v>
      </c>
      <c r="AM24" s="44">
        <f t="shared" si="1"/>
        <v>0</v>
      </c>
      <c r="AN24" s="44">
        <f t="shared" si="1"/>
        <v>0</v>
      </c>
      <c r="AO24" s="44">
        <f t="shared" si="1"/>
        <v>0</v>
      </c>
      <c r="AP24" s="44">
        <f t="shared" si="1"/>
        <v>0</v>
      </c>
      <c r="AQ24" s="44">
        <f t="shared" si="2"/>
        <v>0</v>
      </c>
      <c r="AR24" s="44">
        <f t="shared" si="2"/>
        <v>0</v>
      </c>
      <c r="AS24" s="44">
        <f t="shared" si="2"/>
        <v>0</v>
      </c>
      <c r="AT24" s="176">
        <f t="shared" si="2"/>
        <v>0</v>
      </c>
      <c r="AU24" s="160">
        <f t="shared" si="2"/>
        <v>0</v>
      </c>
      <c r="AV24" s="44">
        <f t="shared" si="2"/>
        <v>0</v>
      </c>
      <c r="AW24" s="44">
        <f t="shared" si="2"/>
        <v>0</v>
      </c>
      <c r="AX24" s="44">
        <f t="shared" si="2"/>
        <v>0</v>
      </c>
      <c r="AY24" s="44">
        <f t="shared" si="2"/>
        <v>0</v>
      </c>
      <c r="BA24" s="88" t="str">
        <f t="shared" ref="BA24:BA25" ca="1" si="3">$A$1</f>
        <v>Depreciation</v>
      </c>
      <c r="BB24" s="1" t="str">
        <f t="shared" ref="BB24:BB25" si="4">$A$22</f>
        <v>Input calculations</v>
      </c>
    </row>
    <row r="25" spans="1:54" x14ac:dyDescent="0.35">
      <c r="E25" t="s">
        <v>286</v>
      </c>
      <c r="G25" t="s">
        <v>236</v>
      </c>
      <c r="J25" t="s">
        <v>13</v>
      </c>
      <c r="W25" s="44">
        <f t="shared" ref="W25:AY25" si="5">(W$4&gt;=$I$7)*1</f>
        <v>0</v>
      </c>
      <c r="X25" s="44">
        <f t="shared" si="5"/>
        <v>0</v>
      </c>
      <c r="Y25" s="44">
        <f t="shared" si="5"/>
        <v>0</v>
      </c>
      <c r="Z25" s="44">
        <f t="shared" si="5"/>
        <v>0</v>
      </c>
      <c r="AA25" s="44">
        <f t="shared" si="5"/>
        <v>0</v>
      </c>
      <c r="AB25" s="44">
        <f t="shared" si="5"/>
        <v>0</v>
      </c>
      <c r="AC25" s="44">
        <f t="shared" si="5"/>
        <v>0</v>
      </c>
      <c r="AD25" s="44">
        <f t="shared" si="5"/>
        <v>0</v>
      </c>
      <c r="AE25" s="44">
        <f t="shared" si="5"/>
        <v>0</v>
      </c>
      <c r="AF25" s="44">
        <f t="shared" si="5"/>
        <v>0</v>
      </c>
      <c r="AG25" s="44">
        <f t="shared" si="5"/>
        <v>0</v>
      </c>
      <c r="AH25" s="44">
        <f t="shared" si="5"/>
        <v>1</v>
      </c>
      <c r="AI25" s="44">
        <f t="shared" si="5"/>
        <v>1</v>
      </c>
      <c r="AJ25" s="44">
        <f t="shared" si="5"/>
        <v>1</v>
      </c>
      <c r="AK25" s="44">
        <f t="shared" si="5"/>
        <v>1</v>
      </c>
      <c r="AL25" s="44">
        <f t="shared" si="5"/>
        <v>1</v>
      </c>
      <c r="AM25" s="44">
        <f t="shared" si="5"/>
        <v>1</v>
      </c>
      <c r="AN25" s="44">
        <f t="shared" si="5"/>
        <v>1</v>
      </c>
      <c r="AO25" s="44">
        <f t="shared" si="5"/>
        <v>1</v>
      </c>
      <c r="AP25" s="44">
        <f t="shared" si="5"/>
        <v>1</v>
      </c>
      <c r="AQ25" s="44">
        <f t="shared" si="5"/>
        <v>1</v>
      </c>
      <c r="AR25" s="44">
        <f t="shared" si="5"/>
        <v>1</v>
      </c>
      <c r="AS25" s="44">
        <f t="shared" si="5"/>
        <v>1</v>
      </c>
      <c r="AT25" s="176">
        <f t="shared" si="5"/>
        <v>1</v>
      </c>
      <c r="AU25" s="160">
        <f t="shared" si="5"/>
        <v>1</v>
      </c>
      <c r="AV25" s="44">
        <f t="shared" si="5"/>
        <v>1</v>
      </c>
      <c r="AW25" s="44">
        <f t="shared" si="5"/>
        <v>1</v>
      </c>
      <c r="AX25" s="44">
        <f t="shared" si="5"/>
        <v>1</v>
      </c>
      <c r="AY25" s="44">
        <f t="shared" si="5"/>
        <v>1</v>
      </c>
      <c r="BA25" s="88" t="str">
        <f t="shared" ca="1" si="3"/>
        <v>Depreciation</v>
      </c>
      <c r="BB25" s="1" t="str">
        <f t="shared" si="4"/>
        <v>Input calculations</v>
      </c>
    </row>
    <row r="26" spans="1:54" x14ac:dyDescent="0.35"/>
    <row r="27" spans="1:54" x14ac:dyDescent="0.35">
      <c r="E27" t="s">
        <v>491</v>
      </c>
      <c r="G27" t="s">
        <v>190</v>
      </c>
      <c r="I27" s="2"/>
      <c r="J27" t="s">
        <v>13</v>
      </c>
      <c r="W27" s="44">
        <f t="shared" ref="W27:AY27" si="6">IF(YEAR(W$4)&lt;YEAR(StartRIIO3),$I$8,YEAR($I$9)-YEAR(W4))</f>
        <v>45</v>
      </c>
      <c r="X27" s="44">
        <f t="shared" si="6"/>
        <v>45</v>
      </c>
      <c r="Y27" s="44">
        <f t="shared" si="6"/>
        <v>45</v>
      </c>
      <c r="Z27" s="44">
        <f t="shared" si="6"/>
        <v>45</v>
      </c>
      <c r="AA27" s="44">
        <f t="shared" si="6"/>
        <v>45</v>
      </c>
      <c r="AB27" s="44">
        <f t="shared" si="6"/>
        <v>45</v>
      </c>
      <c r="AC27" s="44">
        <f t="shared" si="6"/>
        <v>45</v>
      </c>
      <c r="AD27" s="44">
        <f t="shared" si="6"/>
        <v>45</v>
      </c>
      <c r="AE27" s="44">
        <f t="shared" si="6"/>
        <v>45</v>
      </c>
      <c r="AF27" s="44">
        <f t="shared" si="6"/>
        <v>45</v>
      </c>
      <c r="AG27" s="44">
        <f t="shared" si="6"/>
        <v>45</v>
      </c>
      <c r="AH27" s="44">
        <f t="shared" si="6"/>
        <v>45</v>
      </c>
      <c r="AI27" s="44">
        <f t="shared" si="6"/>
        <v>45</v>
      </c>
      <c r="AJ27" s="44">
        <f t="shared" si="6"/>
        <v>45</v>
      </c>
      <c r="AK27" s="44">
        <f t="shared" si="6"/>
        <v>45</v>
      </c>
      <c r="AL27" s="44">
        <f t="shared" si="6"/>
        <v>45</v>
      </c>
      <c r="AM27" s="44">
        <f t="shared" si="6"/>
        <v>45</v>
      </c>
      <c r="AN27" s="44">
        <f t="shared" si="6"/>
        <v>45</v>
      </c>
      <c r="AO27" s="44">
        <f t="shared" si="6"/>
        <v>45</v>
      </c>
      <c r="AP27" s="44">
        <f t="shared" si="6"/>
        <v>45</v>
      </c>
      <c r="AQ27" s="44">
        <f t="shared" si="6"/>
        <v>45</v>
      </c>
      <c r="AR27" s="44">
        <f t="shared" si="6"/>
        <v>45</v>
      </c>
      <c r="AS27" s="44">
        <f t="shared" si="6"/>
        <v>45</v>
      </c>
      <c r="AT27" s="176">
        <f t="shared" si="6"/>
        <v>45</v>
      </c>
      <c r="AU27" s="160">
        <f t="shared" si="6"/>
        <v>23</v>
      </c>
      <c r="AV27" s="44">
        <f t="shared" si="6"/>
        <v>22</v>
      </c>
      <c r="AW27" s="44">
        <f t="shared" si="6"/>
        <v>21</v>
      </c>
      <c r="AX27" s="44">
        <f t="shared" si="6"/>
        <v>20</v>
      </c>
      <c r="AY27" s="44">
        <f t="shared" si="6"/>
        <v>19</v>
      </c>
      <c r="BA27" s="88" t="str">
        <f t="shared" ref="BA27:BA28" ca="1" si="7">$A$1</f>
        <v>Depreciation</v>
      </c>
      <c r="BB27" s="1" t="str">
        <f t="shared" ref="BB27:BB28" si="8">$A$22</f>
        <v>Input calculations</v>
      </c>
    </row>
    <row r="28" spans="1:54" x14ac:dyDescent="0.35">
      <c r="E28" t="s">
        <v>286</v>
      </c>
      <c r="G28" t="s">
        <v>190</v>
      </c>
      <c r="J28" t="s">
        <v>13</v>
      </c>
      <c r="W28" s="44">
        <f t="shared" ref="W28:AY28" si="9">W27*(1+W27)/2</f>
        <v>1035</v>
      </c>
      <c r="X28" s="44">
        <f t="shared" si="9"/>
        <v>1035</v>
      </c>
      <c r="Y28" s="44">
        <f t="shared" si="9"/>
        <v>1035</v>
      </c>
      <c r="Z28" s="44">
        <f t="shared" si="9"/>
        <v>1035</v>
      </c>
      <c r="AA28" s="44">
        <f t="shared" si="9"/>
        <v>1035</v>
      </c>
      <c r="AB28" s="44">
        <f t="shared" si="9"/>
        <v>1035</v>
      </c>
      <c r="AC28" s="44">
        <f t="shared" si="9"/>
        <v>1035</v>
      </c>
      <c r="AD28" s="44">
        <f t="shared" si="9"/>
        <v>1035</v>
      </c>
      <c r="AE28" s="44">
        <f t="shared" si="9"/>
        <v>1035</v>
      </c>
      <c r="AF28" s="44">
        <f t="shared" si="9"/>
        <v>1035</v>
      </c>
      <c r="AG28" s="44">
        <f t="shared" si="9"/>
        <v>1035</v>
      </c>
      <c r="AH28" s="44">
        <f t="shared" si="9"/>
        <v>1035</v>
      </c>
      <c r="AI28" s="44">
        <f t="shared" si="9"/>
        <v>1035</v>
      </c>
      <c r="AJ28" s="44">
        <f t="shared" si="9"/>
        <v>1035</v>
      </c>
      <c r="AK28" s="44">
        <f t="shared" si="9"/>
        <v>1035</v>
      </c>
      <c r="AL28" s="44">
        <f t="shared" si="9"/>
        <v>1035</v>
      </c>
      <c r="AM28" s="44">
        <f t="shared" si="9"/>
        <v>1035</v>
      </c>
      <c r="AN28" s="44">
        <f t="shared" si="9"/>
        <v>1035</v>
      </c>
      <c r="AO28" s="44">
        <f t="shared" si="9"/>
        <v>1035</v>
      </c>
      <c r="AP28" s="44">
        <f t="shared" si="9"/>
        <v>1035</v>
      </c>
      <c r="AQ28" s="44">
        <f t="shared" si="9"/>
        <v>1035</v>
      </c>
      <c r="AR28" s="44">
        <f t="shared" si="9"/>
        <v>1035</v>
      </c>
      <c r="AS28" s="44">
        <f t="shared" si="9"/>
        <v>1035</v>
      </c>
      <c r="AT28" s="176">
        <f t="shared" si="9"/>
        <v>1035</v>
      </c>
      <c r="AU28" s="160">
        <f t="shared" si="9"/>
        <v>276</v>
      </c>
      <c r="AV28" s="44">
        <f t="shared" si="9"/>
        <v>253</v>
      </c>
      <c r="AW28" s="44">
        <f t="shared" si="9"/>
        <v>231</v>
      </c>
      <c r="AX28" s="44">
        <f t="shared" si="9"/>
        <v>210</v>
      </c>
      <c r="AY28" s="44">
        <f t="shared" si="9"/>
        <v>190</v>
      </c>
      <c r="BA28" s="88" t="str">
        <f t="shared" ca="1" si="7"/>
        <v>Depreciation</v>
      </c>
      <c r="BB28" s="1" t="str">
        <f t="shared" si="8"/>
        <v>Input calculations</v>
      </c>
    </row>
    <row r="29" spans="1:54" x14ac:dyDescent="0.35"/>
    <row r="30" spans="1:54" x14ac:dyDescent="0.35">
      <c r="E30" t="s">
        <v>647</v>
      </c>
      <c r="G30" t="str">
        <f>price_label</f>
        <v>£m 23/24 prices</v>
      </c>
      <c r="AU30" s="152">
        <f>(AU11*PCf)/AU10</f>
        <v>141.10107924986119</v>
      </c>
      <c r="AV30" s="12">
        <f>(AV11*PCf)/AV10</f>
        <v>150.03052575401802</v>
      </c>
      <c r="AW30" s="12">
        <f>(AW11*PCf)/AW10</f>
        <v>148.88047451639065</v>
      </c>
      <c r="AX30" s="12">
        <f>(AX11*PCf)/AX10</f>
        <v>145.57159215483762</v>
      </c>
      <c r="AY30" s="12">
        <f>(AY11*PCf)/AY10</f>
        <v>141.08046857352724</v>
      </c>
      <c r="BA30" s="88" t="str">
        <f t="shared" ref="BA30:BA31" ca="1" si="10">$A$1</f>
        <v>Depreciation</v>
      </c>
      <c r="BB30" s="1" t="str">
        <f t="shared" ref="BB30:BB31" si="11">$A$22</f>
        <v>Input calculations</v>
      </c>
    </row>
    <row r="31" spans="1:54" x14ac:dyDescent="0.35">
      <c r="E31" t="s">
        <v>492</v>
      </c>
      <c r="G31" t="str">
        <f>price_label</f>
        <v>£m 23/24 prices</v>
      </c>
      <c r="J31" t="s">
        <v>13</v>
      </c>
      <c r="W31" s="12">
        <f t="shared" ref="W31:AY31" si="12">SUM(W30,W12:W13)</f>
        <v>91.905465427581476</v>
      </c>
      <c r="X31" s="12">
        <f t="shared" si="12"/>
        <v>79.115440417778871</v>
      </c>
      <c r="Y31" s="12">
        <f t="shared" si="12"/>
        <v>57.28104057961589</v>
      </c>
      <c r="Z31" s="12">
        <f t="shared" si="12"/>
        <v>66.994243886430311</v>
      </c>
      <c r="AA31" s="12">
        <f t="shared" si="12"/>
        <v>49.644047772208971</v>
      </c>
      <c r="AB31" s="12">
        <f t="shared" si="12"/>
        <v>133.37914749620904</v>
      </c>
      <c r="AC31" s="12">
        <f t="shared" si="12"/>
        <v>144.02328495601324</v>
      </c>
      <c r="AD31" s="12">
        <f t="shared" si="12"/>
        <v>189.59720839926936</v>
      </c>
      <c r="AE31" s="12">
        <f t="shared" si="12"/>
        <v>197.52068254319832</v>
      </c>
      <c r="AF31" s="12">
        <f t="shared" si="12"/>
        <v>177.25045037918576</v>
      </c>
      <c r="AG31" s="12">
        <f t="shared" si="12"/>
        <v>110.81029182430835</v>
      </c>
      <c r="AH31" s="12">
        <f t="shared" si="12"/>
        <v>113.32221010949328</v>
      </c>
      <c r="AI31" s="12">
        <f t="shared" si="12"/>
        <v>109.76500366917041</v>
      </c>
      <c r="AJ31" s="12">
        <f t="shared" si="12"/>
        <v>114.22336322517508</v>
      </c>
      <c r="AK31" s="12">
        <f t="shared" si="12"/>
        <v>127.54784733053384</v>
      </c>
      <c r="AL31" s="12">
        <f t="shared" si="12"/>
        <v>128.38622713335945</v>
      </c>
      <c r="AM31" s="12">
        <f t="shared" si="12"/>
        <v>141.61228861219638</v>
      </c>
      <c r="AN31" s="12">
        <f t="shared" si="12"/>
        <v>135.54680984121518</v>
      </c>
      <c r="AO31" s="12">
        <f t="shared" si="12"/>
        <v>131.03123438949584</v>
      </c>
      <c r="AP31" s="12">
        <f t="shared" si="12"/>
        <v>127.80430836953926</v>
      </c>
      <c r="AQ31" s="12">
        <f t="shared" si="12"/>
        <v>139.25083719589287</v>
      </c>
      <c r="AR31" s="12">
        <f t="shared" si="12"/>
        <v>156.62287921155232</v>
      </c>
      <c r="AS31" s="12">
        <f t="shared" si="12"/>
        <v>155.47122631923617</v>
      </c>
      <c r="AT31" s="69">
        <f t="shared" si="12"/>
        <v>165.11064032006806</v>
      </c>
      <c r="AU31" s="152">
        <f t="shared" si="12"/>
        <v>141.10107924986119</v>
      </c>
      <c r="AV31" s="12">
        <f t="shared" si="12"/>
        <v>150.03052575401802</v>
      </c>
      <c r="AW31" s="12">
        <f t="shared" si="12"/>
        <v>148.88047451639065</v>
      </c>
      <c r="AX31" s="12">
        <f t="shared" si="12"/>
        <v>145.57159215483762</v>
      </c>
      <c r="AY31" s="12">
        <f t="shared" si="12"/>
        <v>141.08046857352724</v>
      </c>
      <c r="BA31" s="88" t="str">
        <f t="shared" ca="1" si="10"/>
        <v>Depreciation</v>
      </c>
      <c r="BB31" s="1" t="str">
        <f t="shared" si="11"/>
        <v>Input calculations</v>
      </c>
    </row>
    <row r="32" spans="1:54" x14ac:dyDescent="0.35"/>
    <row r="33" spans="1:55" ht="20" thickBot="1" x14ac:dyDescent="0.5">
      <c r="A33" s="13" t="s">
        <v>299</v>
      </c>
    </row>
    <row r="34" spans="1:55" ht="15" thickTop="1" x14ac:dyDescent="0.35">
      <c r="E34" t="s">
        <v>286</v>
      </c>
      <c r="G34" t="s">
        <v>287</v>
      </c>
      <c r="I34" s="44">
        <f>I14*(1+I14)/2</f>
        <v>1596</v>
      </c>
      <c r="BA34" s="88" t="str">
        <f t="shared" ref="BA34:BA41" ca="1" si="13">$A$1</f>
        <v>Depreciation</v>
      </c>
      <c r="BB34" s="1" t="str">
        <f>$A$33</f>
        <v>Pre-vesting depreciation</v>
      </c>
    </row>
    <row r="35" spans="1:55" x14ac:dyDescent="0.35">
      <c r="E35" t="s">
        <v>494</v>
      </c>
      <c r="G35" t="s">
        <v>109</v>
      </c>
      <c r="J35" t="s">
        <v>13</v>
      </c>
      <c r="AH35" s="46">
        <f t="shared" ref="AH35:AY35" si="14">AH15/$I$34</f>
        <v>2.819548872180451E-2</v>
      </c>
      <c r="AI35" s="46">
        <f t="shared" si="14"/>
        <v>2.7568922305764409E-2</v>
      </c>
      <c r="AJ35" s="46">
        <f t="shared" si="14"/>
        <v>2.6942355889724309E-2</v>
      </c>
      <c r="AK35" s="46">
        <f t="shared" si="14"/>
        <v>2.6315789473684209E-2</v>
      </c>
      <c r="AL35" s="46">
        <f t="shared" si="14"/>
        <v>2.5689223057644109E-2</v>
      </c>
      <c r="AM35" s="46">
        <f t="shared" si="14"/>
        <v>2.5062656641604009E-2</v>
      </c>
      <c r="AN35" s="46">
        <f t="shared" si="14"/>
        <v>2.4436090225563908E-2</v>
      </c>
      <c r="AO35" s="46">
        <f t="shared" si="14"/>
        <v>2.3809523809523808E-2</v>
      </c>
      <c r="AP35" s="46">
        <f t="shared" si="14"/>
        <v>2.3182957393483708E-2</v>
      </c>
      <c r="AQ35" s="46">
        <f t="shared" si="14"/>
        <v>2.2556390977443608E-2</v>
      </c>
      <c r="AR35" s="46">
        <f t="shared" si="14"/>
        <v>2.1929824561403508E-2</v>
      </c>
      <c r="AS35" s="46">
        <f t="shared" si="14"/>
        <v>2.1303258145363407E-2</v>
      </c>
      <c r="AT35" s="172">
        <f t="shared" si="14"/>
        <v>2.0676691729323307E-2</v>
      </c>
      <c r="AU35" s="153">
        <f t="shared" si="14"/>
        <v>2.0050125313283207E-2</v>
      </c>
      <c r="AV35" s="46">
        <f t="shared" si="14"/>
        <v>1.9423558897243107E-2</v>
      </c>
      <c r="AW35" s="46">
        <f t="shared" si="14"/>
        <v>1.8796992481203006E-2</v>
      </c>
      <c r="AX35" s="46">
        <f t="shared" si="14"/>
        <v>1.8170426065162906E-2</v>
      </c>
      <c r="AY35" s="46">
        <f t="shared" si="14"/>
        <v>1.7543859649122806E-2</v>
      </c>
      <c r="BA35" s="88" t="str">
        <f t="shared" ca="1" si="13"/>
        <v>Depreciation</v>
      </c>
      <c r="BB35" s="1" t="str">
        <f>$A$33</f>
        <v>Pre-vesting depreciation</v>
      </c>
    </row>
    <row r="36" spans="1:55" x14ac:dyDescent="0.35"/>
    <row r="37" spans="1:55" x14ac:dyDescent="0.35">
      <c r="E37" t="s">
        <v>493</v>
      </c>
      <c r="G37" t="str">
        <f>price_label</f>
        <v>£m 23/24 prices</v>
      </c>
      <c r="J37" t="s">
        <v>13</v>
      </c>
      <c r="AH37" s="12">
        <f t="shared" ref="AH37:AY37" si="15">AH16*StartPreVest+AG39</f>
        <v>1398.6437346002203</v>
      </c>
      <c r="AI37" s="12">
        <f t="shared" si="15"/>
        <v>1398.3177825004477</v>
      </c>
      <c r="AJ37" s="12">
        <f t="shared" si="15"/>
        <v>1398.6448273560745</v>
      </c>
      <c r="AK37" s="12">
        <f t="shared" si="15"/>
        <v>1398.6448273560745</v>
      </c>
      <c r="AL37" s="12">
        <f t="shared" si="15"/>
        <v>1398.6448273560745</v>
      </c>
      <c r="AM37" s="12">
        <f t="shared" si="15"/>
        <v>1398.6448273560745</v>
      </c>
      <c r="AN37" s="12">
        <f t="shared" si="15"/>
        <v>1398.6448273560745</v>
      </c>
      <c r="AO37" s="12">
        <f t="shared" si="15"/>
        <v>1398.6448273560745</v>
      </c>
      <c r="AP37" s="12">
        <f t="shared" si="15"/>
        <v>1398.6448273560745</v>
      </c>
      <c r="AQ37" s="12">
        <f t="shared" si="15"/>
        <v>1398.6448273560745</v>
      </c>
      <c r="AR37" s="12">
        <f t="shared" si="15"/>
        <v>1398.6448273560745</v>
      </c>
      <c r="AS37" s="12">
        <f t="shared" si="15"/>
        <v>1398.6448273560745</v>
      </c>
      <c r="AT37" s="69">
        <f t="shared" si="15"/>
        <v>1398.6448273560745</v>
      </c>
      <c r="AU37" s="152">
        <f t="shared" si="15"/>
        <v>1398.6448273560745</v>
      </c>
      <c r="AV37" s="12">
        <f t="shared" si="15"/>
        <v>1398.6448273560745</v>
      </c>
      <c r="AW37" s="12">
        <f t="shared" si="15"/>
        <v>1398.6448273560745</v>
      </c>
      <c r="AX37" s="12">
        <f t="shared" si="15"/>
        <v>1398.6448273560745</v>
      </c>
      <c r="AY37" s="12">
        <f t="shared" si="15"/>
        <v>1398.6448273560745</v>
      </c>
      <c r="BA37" s="88" t="str">
        <f t="shared" ca="1" si="13"/>
        <v>Depreciation</v>
      </c>
      <c r="BB37" s="1" t="str">
        <f t="shared" ref="BB37:BB39" si="16">$A$33</f>
        <v>Pre-vesting depreciation</v>
      </c>
    </row>
    <row r="38" spans="1:55" x14ac:dyDescent="0.35">
      <c r="E38" t="s">
        <v>495</v>
      </c>
      <c r="G38" t="str">
        <f>price_label</f>
        <v>£m 23/24 prices</v>
      </c>
      <c r="J38" t="s">
        <v>13</v>
      </c>
      <c r="AH38" s="12">
        <f t="shared" ref="AH38:AY38" si="17">-AH17</f>
        <v>-0.32595209977257916</v>
      </c>
      <c r="AI38" s="12">
        <f t="shared" si="17"/>
        <v>0.32704485562675989</v>
      </c>
      <c r="AJ38" s="12">
        <f t="shared" si="17"/>
        <v>0</v>
      </c>
      <c r="AK38" s="12">
        <f t="shared" si="17"/>
        <v>0</v>
      </c>
      <c r="AL38" s="12">
        <f t="shared" si="17"/>
        <v>0</v>
      </c>
      <c r="AM38" s="12">
        <f t="shared" si="17"/>
        <v>0</v>
      </c>
      <c r="AN38" s="12">
        <f t="shared" si="17"/>
        <v>0</v>
      </c>
      <c r="AO38" s="12">
        <f t="shared" si="17"/>
        <v>0</v>
      </c>
      <c r="AP38" s="12">
        <f t="shared" si="17"/>
        <v>0</v>
      </c>
      <c r="AQ38" s="12">
        <f t="shared" si="17"/>
        <v>0</v>
      </c>
      <c r="AR38" s="12">
        <f t="shared" si="17"/>
        <v>0</v>
      </c>
      <c r="AS38" s="12">
        <f t="shared" si="17"/>
        <v>0</v>
      </c>
      <c r="AT38" s="69">
        <f t="shared" si="17"/>
        <v>0</v>
      </c>
      <c r="AU38" s="152">
        <f t="shared" si="17"/>
        <v>0</v>
      </c>
      <c r="AV38" s="12">
        <f t="shared" si="17"/>
        <v>0</v>
      </c>
      <c r="AW38" s="12">
        <f t="shared" si="17"/>
        <v>0</v>
      </c>
      <c r="AX38" s="12">
        <f t="shared" si="17"/>
        <v>0</v>
      </c>
      <c r="AY38" s="12">
        <f t="shared" si="17"/>
        <v>0</v>
      </c>
      <c r="BA38" s="88" t="str">
        <f t="shared" ca="1" si="13"/>
        <v>Depreciation</v>
      </c>
      <c r="BB38" s="1" t="str">
        <f t="shared" si="16"/>
        <v>Pre-vesting depreciation</v>
      </c>
    </row>
    <row r="39" spans="1:55" x14ac:dyDescent="0.35">
      <c r="E39" t="s">
        <v>496</v>
      </c>
      <c r="G39" t="str">
        <f>price_label</f>
        <v>£m 23/24 prices</v>
      </c>
      <c r="J39" t="s">
        <v>13</v>
      </c>
      <c r="AH39" s="12">
        <f t="shared" ref="AH39:AY39" si="18">SUM(AH37:AH38)</f>
        <v>1398.3177825004477</v>
      </c>
      <c r="AI39" s="12">
        <f t="shared" si="18"/>
        <v>1398.6448273560745</v>
      </c>
      <c r="AJ39" s="12">
        <f t="shared" si="18"/>
        <v>1398.6448273560745</v>
      </c>
      <c r="AK39" s="12">
        <f t="shared" si="18"/>
        <v>1398.6448273560745</v>
      </c>
      <c r="AL39" s="12">
        <f t="shared" si="18"/>
        <v>1398.6448273560745</v>
      </c>
      <c r="AM39" s="12">
        <f t="shared" si="18"/>
        <v>1398.6448273560745</v>
      </c>
      <c r="AN39" s="12">
        <f t="shared" si="18"/>
        <v>1398.6448273560745</v>
      </c>
      <c r="AO39" s="12">
        <f t="shared" si="18"/>
        <v>1398.6448273560745</v>
      </c>
      <c r="AP39" s="12">
        <f t="shared" si="18"/>
        <v>1398.6448273560745</v>
      </c>
      <c r="AQ39" s="12">
        <f t="shared" si="18"/>
        <v>1398.6448273560745</v>
      </c>
      <c r="AR39" s="12">
        <f t="shared" si="18"/>
        <v>1398.6448273560745</v>
      </c>
      <c r="AS39" s="12">
        <f t="shared" si="18"/>
        <v>1398.6448273560745</v>
      </c>
      <c r="AT39" s="69">
        <f t="shared" si="18"/>
        <v>1398.6448273560745</v>
      </c>
      <c r="AU39" s="152">
        <f t="shared" si="18"/>
        <v>1398.6448273560745</v>
      </c>
      <c r="AV39" s="12">
        <f t="shared" si="18"/>
        <v>1398.6448273560745</v>
      </c>
      <c r="AW39" s="12">
        <f t="shared" si="18"/>
        <v>1398.6448273560745</v>
      </c>
      <c r="AX39" s="12">
        <f t="shared" si="18"/>
        <v>1398.6448273560745</v>
      </c>
      <c r="AY39" s="12">
        <f t="shared" si="18"/>
        <v>1398.6448273560745</v>
      </c>
      <c r="BA39" s="88" t="str">
        <f t="shared" ca="1" si="13"/>
        <v>Depreciation</v>
      </c>
      <c r="BB39" s="1" t="str">
        <f t="shared" si="16"/>
        <v>Pre-vesting depreciation</v>
      </c>
    </row>
    <row r="40" spans="1:55" x14ac:dyDescent="0.35"/>
    <row r="41" spans="1:55" x14ac:dyDescent="0.35">
      <c r="E41" t="s">
        <v>299</v>
      </c>
      <c r="G41" t="str">
        <f>price_label</f>
        <v>£m 23/24 prices</v>
      </c>
      <c r="J41" t="s">
        <v>13</v>
      </c>
      <c r="AH41" s="12">
        <f t="shared" ref="AH41:AY41" si="19">AH37*AH35</f>
        <v>39.435443644743053</v>
      </c>
      <c r="AI41" s="12">
        <f t="shared" si="19"/>
        <v>38.550114304523618</v>
      </c>
      <c r="AJ41" s="12">
        <f t="shared" si="19"/>
        <v>37.682786701949375</v>
      </c>
      <c r="AK41" s="12">
        <f t="shared" si="19"/>
        <v>36.806442825159856</v>
      </c>
      <c r="AL41" s="12">
        <f t="shared" si="19"/>
        <v>35.930098948370336</v>
      </c>
      <c r="AM41" s="12">
        <f t="shared" si="19"/>
        <v>35.053755071580817</v>
      </c>
      <c r="AN41" s="12">
        <f t="shared" si="19"/>
        <v>34.17741119479129</v>
      </c>
      <c r="AO41" s="12">
        <f t="shared" si="19"/>
        <v>33.30106731800177</v>
      </c>
      <c r="AP41" s="12">
        <f t="shared" si="19"/>
        <v>32.424723441212251</v>
      </c>
      <c r="AQ41" s="12">
        <f t="shared" si="19"/>
        <v>31.548379564422731</v>
      </c>
      <c r="AR41" s="12">
        <f t="shared" si="19"/>
        <v>30.672035687633212</v>
      </c>
      <c r="AS41" s="12">
        <f t="shared" si="19"/>
        <v>29.795691810843692</v>
      </c>
      <c r="AT41" s="69">
        <f t="shared" si="19"/>
        <v>28.919347934054169</v>
      </c>
      <c r="AU41" s="152">
        <f t="shared" si="19"/>
        <v>28.04300405726465</v>
      </c>
      <c r="AV41" s="12">
        <f t="shared" si="19"/>
        <v>27.16666018047513</v>
      </c>
      <c r="AW41" s="12">
        <f t="shared" si="19"/>
        <v>26.290316303685611</v>
      </c>
      <c r="AX41" s="12">
        <f t="shared" si="19"/>
        <v>25.413972426896091</v>
      </c>
      <c r="AY41" s="12">
        <f t="shared" si="19"/>
        <v>24.537628550106568</v>
      </c>
      <c r="BA41" s="88" t="str">
        <f t="shared" ca="1" si="13"/>
        <v>Depreciation</v>
      </c>
      <c r="BB41" s="1" t="str">
        <f t="shared" ref="BB41" si="20">$A$33</f>
        <v>Pre-vesting depreciation</v>
      </c>
    </row>
    <row r="42" spans="1:55" x14ac:dyDescent="0.35"/>
    <row r="43" spans="1:55" ht="20" thickBot="1" x14ac:dyDescent="0.5">
      <c r="A43" s="13" t="s">
        <v>552</v>
      </c>
    </row>
    <row r="44" spans="1:55" ht="18" thickTop="1" thickBot="1" x14ac:dyDescent="0.45">
      <c r="B44" s="15" t="s">
        <v>553</v>
      </c>
      <c r="AT44" s="177"/>
    </row>
    <row r="45" spans="1:55" ht="15" thickTop="1" x14ac:dyDescent="0.35"/>
    <row r="46" spans="1:55" x14ac:dyDescent="0.35">
      <c r="E46" s="2">
        <v>37711</v>
      </c>
      <c r="G46" t="s">
        <v>190</v>
      </c>
      <c r="I46" s="86" cm="1">
        <f t="array" ref="I46:I74">TRANSPOSE(W27:AY27)</f>
        <v>45</v>
      </c>
      <c r="J46" t="s">
        <v>13</v>
      </c>
      <c r="X46" s="44">
        <f>MAX(IF(X$4&gt;$E46,$I46-COUNTIF($W46:W46,"&gt;"&amp;0),0))</f>
        <v>45</v>
      </c>
      <c r="Y46" s="44">
        <f>MAX(IF(Y$4&gt;$E46,$I46-COUNTIF($W46:X46,"&gt;"&amp;0),0))</f>
        <v>44</v>
      </c>
      <c r="Z46" s="44">
        <f>MAX(IF(Z$4&gt;$E46,$I46-COUNTIF($W46:Y46,"&gt;"&amp;0),0))</f>
        <v>43</v>
      </c>
      <c r="AA46" s="44">
        <f>MAX(IF(AA$4&gt;$E46,$I46-COUNTIF($W46:Z46,"&gt;"&amp;0),0))</f>
        <v>42</v>
      </c>
      <c r="AB46" s="44">
        <f>MAX(IF(AB$4&gt;$E46,$I46-COUNTIF($W46:AA46,"&gt;"&amp;0),0))</f>
        <v>41</v>
      </c>
      <c r="AC46" s="44">
        <f>MAX(IF(AC$4&gt;$E46,$I46-COUNTIF($W46:AB46,"&gt;"&amp;0),0))</f>
        <v>40</v>
      </c>
      <c r="AD46" s="44">
        <f>MAX(IF(AD$4&gt;$E46,$I46-COUNTIF($W46:AC46,"&gt;"&amp;0),0))</f>
        <v>39</v>
      </c>
      <c r="AE46" s="44">
        <f>MAX(IF(AE$4&gt;$E46,$I46-COUNTIF($W46:AD46,"&gt;"&amp;0),0))</f>
        <v>38</v>
      </c>
      <c r="AF46" s="44">
        <f>MAX(IF(AF$4&gt;$E46,$I46-COUNTIF($W46:AE46,"&gt;"&amp;0),0))</f>
        <v>37</v>
      </c>
      <c r="AG46" s="44">
        <f>MAX(IF(AG$4&gt;$E46,$I46-COUNTIF($W46:AF46,"&gt;"&amp;0),0))</f>
        <v>36</v>
      </c>
      <c r="AH46" s="44">
        <f>MAX(IF(AH$4&gt;$E46,$I46-COUNTIF($W46:AG46,"&gt;"&amp;0),0))</f>
        <v>35</v>
      </c>
      <c r="AI46" s="44">
        <f>MAX(IF(AI$4&gt;$E46,$I46-COUNTIF($W46:AH46,"&gt;"&amp;0),0))</f>
        <v>34</v>
      </c>
      <c r="AJ46" s="44">
        <f>MAX(IF(AJ$4&gt;$E46,$I46-COUNTIF($W46:AI46,"&gt;"&amp;0),0))</f>
        <v>33</v>
      </c>
      <c r="AK46" s="44">
        <f>MAX(IF(AK$4&gt;$E46,$I46-COUNTIF($W46:AJ46,"&gt;"&amp;0),0))</f>
        <v>32</v>
      </c>
      <c r="AL46" s="44">
        <f>MAX(IF(AL$4&gt;$E46,$I46-COUNTIF($W46:AK46,"&gt;"&amp;0),0))</f>
        <v>31</v>
      </c>
      <c r="AM46" s="44">
        <f>MAX(IF(AM$4&gt;$E46,$I46-COUNTIF($W46:AL46,"&gt;"&amp;0),0))</f>
        <v>30</v>
      </c>
      <c r="AN46" s="44">
        <f>MAX(IF(AN$4&gt;$E46,$I46-COUNTIF($W46:AM46,"&gt;"&amp;0),0))</f>
        <v>29</v>
      </c>
      <c r="AO46" s="44">
        <f>MAX(IF(AO$4&gt;$E46,$I46-COUNTIF($W46:AN46,"&gt;"&amp;0),0))</f>
        <v>28</v>
      </c>
      <c r="AP46" s="44">
        <f>MAX(IF(AP$4&gt;$E46,$I46-COUNTIF($W46:AO46,"&gt;"&amp;0),0))</f>
        <v>27</v>
      </c>
      <c r="AQ46" s="44">
        <f>MAX(IF(AQ$4&gt;$E46,$I46-COUNTIF($W46:AP46,"&gt;"&amp;0),0))</f>
        <v>26</v>
      </c>
      <c r="AR46" s="44">
        <f>MAX(IF(AR$4&gt;$E46,$I46-COUNTIF($W46:AQ46,"&gt;"&amp;0),0))</f>
        <v>25</v>
      </c>
      <c r="AS46" s="44">
        <f>MAX(IF(AS$4&gt;$E46,$I46-COUNTIF($W46:AR46,"&gt;"&amp;0),0))</f>
        <v>24</v>
      </c>
      <c r="AT46" s="176">
        <f>MAX(IF(AT$4&gt;$E46,$I46-COUNTIF($W46:AS46,"&gt;"&amp;0),0))</f>
        <v>23</v>
      </c>
      <c r="AU46" s="160">
        <f>MAX(IF(AU$4&gt;$E46,$I46-COUNTIF($W46:AT46,"&gt;"&amp;0),0))</f>
        <v>22</v>
      </c>
      <c r="AV46" s="44">
        <f>MAX(IF(AV$4&gt;$E46,$I46-COUNTIF($W46:AU46,"&gt;"&amp;0),0))</f>
        <v>21</v>
      </c>
      <c r="AW46" s="44">
        <f>MAX(IF(AW$4&gt;$E46,$I46-COUNTIF($W46:AV46,"&gt;"&amp;0),0))</f>
        <v>20</v>
      </c>
      <c r="AX46" s="44">
        <f>MAX(IF(AX$4&gt;$E46,$I46-COUNTIF($W46:AW46,"&gt;"&amp;0),0))</f>
        <v>19</v>
      </c>
      <c r="AY46" s="44">
        <f>MAX(IF(AY$4&gt;$E46,$I46-COUNTIF($W46:AX46,"&gt;"&amp;0),0))</f>
        <v>18</v>
      </c>
      <c r="BA46" s="88" t="str">
        <f t="shared" ref="BA46:BA74" ca="1" si="21">$A$1</f>
        <v>Depreciation</v>
      </c>
      <c r="BB46" s="1" t="str">
        <f>$A$43</f>
        <v>Post-vesting depreciation</v>
      </c>
      <c r="BC46" s="1" t="str">
        <f>$B$44</f>
        <v>Asset life remaining</v>
      </c>
    </row>
    <row r="47" spans="1:55" x14ac:dyDescent="0.35">
      <c r="E47" s="2">
        <v>38077</v>
      </c>
      <c r="G47" t="s">
        <v>190</v>
      </c>
      <c r="I47" s="86">
        <v>45</v>
      </c>
      <c r="J47" t="s">
        <v>13</v>
      </c>
      <c r="X47" s="44">
        <f>MAX(IF(X$4&gt;$E47,$I47-COUNTIF($W47:W47,"&gt;"&amp;0),0))</f>
        <v>0</v>
      </c>
      <c r="Y47" s="44">
        <f>MAX(IF(Y$4&gt;$E47,$I47-COUNTIF($W47:X47,"&gt;"&amp;0),0))</f>
        <v>45</v>
      </c>
      <c r="Z47" s="44">
        <f>MAX(IF(Z$4&gt;$E47,$I47-COUNTIF($W47:Y47,"&gt;"&amp;0),0))</f>
        <v>44</v>
      </c>
      <c r="AA47" s="44">
        <f>MAX(IF(AA$4&gt;$E47,$I47-COUNTIF($W47:Z47,"&gt;"&amp;0),0))</f>
        <v>43</v>
      </c>
      <c r="AB47" s="44">
        <f>MAX(IF(AB$4&gt;$E47,$I47-COUNTIF($W47:AA47,"&gt;"&amp;0),0))</f>
        <v>42</v>
      </c>
      <c r="AC47" s="44">
        <f>MAX(IF(AC$4&gt;$E47,$I47-COUNTIF($W47:AB47,"&gt;"&amp;0),0))</f>
        <v>41</v>
      </c>
      <c r="AD47" s="44">
        <f>MAX(IF(AD$4&gt;$E47,$I47-COUNTIF($W47:AC47,"&gt;"&amp;0),0))</f>
        <v>40</v>
      </c>
      <c r="AE47" s="44">
        <f>MAX(IF(AE$4&gt;$E47,$I47-COUNTIF($W47:AD47,"&gt;"&amp;0),0))</f>
        <v>39</v>
      </c>
      <c r="AF47" s="44">
        <f>MAX(IF(AF$4&gt;$E47,$I47-COUNTIF($W47:AE47,"&gt;"&amp;0),0))</f>
        <v>38</v>
      </c>
      <c r="AG47" s="44">
        <f>MAX(IF(AG$4&gt;$E47,$I47-COUNTIF($W47:AF47,"&gt;"&amp;0),0))</f>
        <v>37</v>
      </c>
      <c r="AH47" s="44">
        <f>MAX(IF(AH$4&gt;$E47,$I47-COUNTIF($W47:AG47,"&gt;"&amp;0),0))</f>
        <v>36</v>
      </c>
      <c r="AI47" s="44">
        <f>MAX(IF(AI$4&gt;$E47,$I47-COUNTIF($W47:AH47,"&gt;"&amp;0),0))</f>
        <v>35</v>
      </c>
      <c r="AJ47" s="44">
        <f>MAX(IF(AJ$4&gt;$E47,$I47-COUNTIF($W47:AI47,"&gt;"&amp;0),0))</f>
        <v>34</v>
      </c>
      <c r="AK47" s="44">
        <f>MAX(IF(AK$4&gt;$E47,$I47-COUNTIF($W47:AJ47,"&gt;"&amp;0),0))</f>
        <v>33</v>
      </c>
      <c r="AL47" s="44">
        <f>MAX(IF(AL$4&gt;$E47,$I47-COUNTIF($W47:AK47,"&gt;"&amp;0),0))</f>
        <v>32</v>
      </c>
      <c r="AM47" s="44">
        <f>MAX(IF(AM$4&gt;$E47,$I47-COUNTIF($W47:AL47,"&gt;"&amp;0),0))</f>
        <v>31</v>
      </c>
      <c r="AN47" s="44">
        <f>MAX(IF(AN$4&gt;$E47,$I47-COUNTIF($W47:AM47,"&gt;"&amp;0),0))</f>
        <v>30</v>
      </c>
      <c r="AO47" s="44">
        <f>MAX(IF(AO$4&gt;$E47,$I47-COUNTIF($W47:AN47,"&gt;"&amp;0),0))</f>
        <v>29</v>
      </c>
      <c r="AP47" s="44">
        <f>MAX(IF(AP$4&gt;$E47,$I47-COUNTIF($W47:AO47,"&gt;"&amp;0),0))</f>
        <v>28</v>
      </c>
      <c r="AQ47" s="44">
        <f>MAX(IF(AQ$4&gt;$E47,$I47-COUNTIF($W47:AP47,"&gt;"&amp;0),0))</f>
        <v>27</v>
      </c>
      <c r="AR47" s="44">
        <f>MAX(IF(AR$4&gt;$E47,$I47-COUNTIF($W47:AQ47,"&gt;"&amp;0),0))</f>
        <v>26</v>
      </c>
      <c r="AS47" s="44">
        <f>MAX(IF(AS$4&gt;$E47,$I47-COUNTIF($W47:AR47,"&gt;"&amp;0),0))</f>
        <v>25</v>
      </c>
      <c r="AT47" s="176">
        <f>MAX(IF(AT$4&gt;$E47,$I47-COUNTIF($W47:AS47,"&gt;"&amp;0),0))</f>
        <v>24</v>
      </c>
      <c r="AU47" s="160">
        <f>MAX(IF(AU$4&gt;$E47,$I47-COUNTIF($W47:AT47,"&gt;"&amp;0),0))</f>
        <v>23</v>
      </c>
      <c r="AV47" s="44">
        <f>MAX(IF(AV$4&gt;$E47,$I47-COUNTIF($W47:AU47,"&gt;"&amp;0),0))</f>
        <v>22</v>
      </c>
      <c r="AW47" s="44">
        <f>MAX(IF(AW$4&gt;$E47,$I47-COUNTIF($W47:AV47,"&gt;"&amp;0),0))</f>
        <v>21</v>
      </c>
      <c r="AX47" s="44">
        <f>MAX(IF(AX$4&gt;$E47,$I47-COUNTIF($W47:AW47,"&gt;"&amp;0),0))</f>
        <v>20</v>
      </c>
      <c r="AY47" s="44">
        <f>MAX(IF(AY$4&gt;$E47,$I47-COUNTIF($W47:AX47,"&gt;"&amp;0),0))</f>
        <v>19</v>
      </c>
      <c r="BA47" s="88" t="str">
        <f t="shared" ca="1" si="21"/>
        <v>Depreciation</v>
      </c>
      <c r="BB47" s="1" t="str">
        <f t="shared" ref="BB47:BB74" si="22">$A$43</f>
        <v>Post-vesting depreciation</v>
      </c>
      <c r="BC47" s="1" t="str">
        <f t="shared" ref="BC47:BC74" si="23">$B$44</f>
        <v>Asset life remaining</v>
      </c>
    </row>
    <row r="48" spans="1:55" x14ac:dyDescent="0.35">
      <c r="E48" s="2">
        <v>38442</v>
      </c>
      <c r="G48" t="s">
        <v>190</v>
      </c>
      <c r="I48" s="86">
        <v>45</v>
      </c>
      <c r="J48" t="s">
        <v>13</v>
      </c>
      <c r="X48" s="44">
        <f>MAX(IF(X$4&gt;$E48,$I48-COUNTIF($W48:W48,"&gt;"&amp;0),0))</f>
        <v>0</v>
      </c>
      <c r="Y48" s="44">
        <f>MAX(IF(Y$4&gt;$E48,$I48-COUNTIF($W48:X48,"&gt;"&amp;0),0))</f>
        <v>0</v>
      </c>
      <c r="Z48" s="44">
        <f>MAX(IF(Z$4&gt;$E48,$I48-COUNTIF($W48:Y48,"&gt;"&amp;0),0))</f>
        <v>45</v>
      </c>
      <c r="AA48" s="44">
        <f>MAX(IF(AA$4&gt;$E48,$I48-COUNTIF($W48:Z48,"&gt;"&amp;0),0))</f>
        <v>44</v>
      </c>
      <c r="AB48" s="44">
        <f>MAX(IF(AB$4&gt;$E48,$I48-COUNTIF($W48:AA48,"&gt;"&amp;0),0))</f>
        <v>43</v>
      </c>
      <c r="AC48" s="44">
        <f>MAX(IF(AC$4&gt;$E48,$I48-COUNTIF($W48:AB48,"&gt;"&amp;0),0))</f>
        <v>42</v>
      </c>
      <c r="AD48" s="44">
        <f>MAX(IF(AD$4&gt;$E48,$I48-COUNTIF($W48:AC48,"&gt;"&amp;0),0))</f>
        <v>41</v>
      </c>
      <c r="AE48" s="44">
        <f>MAX(IF(AE$4&gt;$E48,$I48-COUNTIF($W48:AD48,"&gt;"&amp;0),0))</f>
        <v>40</v>
      </c>
      <c r="AF48" s="44">
        <f>MAX(IF(AF$4&gt;$E48,$I48-COUNTIF($W48:AE48,"&gt;"&amp;0),0))</f>
        <v>39</v>
      </c>
      <c r="AG48" s="44">
        <f>MAX(IF(AG$4&gt;$E48,$I48-COUNTIF($W48:AF48,"&gt;"&amp;0),0))</f>
        <v>38</v>
      </c>
      <c r="AH48" s="44">
        <f>MAX(IF(AH$4&gt;$E48,$I48-COUNTIF($W48:AG48,"&gt;"&amp;0),0))</f>
        <v>37</v>
      </c>
      <c r="AI48" s="44">
        <f>MAX(IF(AI$4&gt;$E48,$I48-COUNTIF($W48:AH48,"&gt;"&amp;0),0))</f>
        <v>36</v>
      </c>
      <c r="AJ48" s="44">
        <f>MAX(IF(AJ$4&gt;$E48,$I48-COUNTIF($W48:AI48,"&gt;"&amp;0),0))</f>
        <v>35</v>
      </c>
      <c r="AK48" s="44">
        <f>MAX(IF(AK$4&gt;$E48,$I48-COUNTIF($W48:AJ48,"&gt;"&amp;0),0))</f>
        <v>34</v>
      </c>
      <c r="AL48" s="44">
        <f>MAX(IF(AL$4&gt;$E48,$I48-COUNTIF($W48:AK48,"&gt;"&amp;0),0))</f>
        <v>33</v>
      </c>
      <c r="AM48" s="44">
        <f>MAX(IF(AM$4&gt;$E48,$I48-COUNTIF($W48:AL48,"&gt;"&amp;0),0))</f>
        <v>32</v>
      </c>
      <c r="AN48" s="44">
        <f>MAX(IF(AN$4&gt;$E48,$I48-COUNTIF($W48:AM48,"&gt;"&amp;0),0))</f>
        <v>31</v>
      </c>
      <c r="AO48" s="44">
        <f>MAX(IF(AO$4&gt;$E48,$I48-COUNTIF($W48:AN48,"&gt;"&amp;0),0))</f>
        <v>30</v>
      </c>
      <c r="AP48" s="44">
        <f>MAX(IF(AP$4&gt;$E48,$I48-COUNTIF($W48:AO48,"&gt;"&amp;0),0))</f>
        <v>29</v>
      </c>
      <c r="AQ48" s="44">
        <f>MAX(IF(AQ$4&gt;$E48,$I48-COUNTIF($W48:AP48,"&gt;"&amp;0),0))</f>
        <v>28</v>
      </c>
      <c r="AR48" s="44">
        <f>MAX(IF(AR$4&gt;$E48,$I48-COUNTIF($W48:AQ48,"&gt;"&amp;0),0))</f>
        <v>27</v>
      </c>
      <c r="AS48" s="44">
        <f>MAX(IF(AS$4&gt;$E48,$I48-COUNTIF($W48:AR48,"&gt;"&amp;0),0))</f>
        <v>26</v>
      </c>
      <c r="AT48" s="176">
        <f>MAX(IF(AT$4&gt;$E48,$I48-COUNTIF($W48:AS48,"&gt;"&amp;0),0))</f>
        <v>25</v>
      </c>
      <c r="AU48" s="160">
        <f>MAX(IF(AU$4&gt;$E48,$I48-COUNTIF($W48:AT48,"&gt;"&amp;0),0))</f>
        <v>24</v>
      </c>
      <c r="AV48" s="44">
        <f>MAX(IF(AV$4&gt;$E48,$I48-COUNTIF($W48:AU48,"&gt;"&amp;0),0))</f>
        <v>23</v>
      </c>
      <c r="AW48" s="44">
        <f>MAX(IF(AW$4&gt;$E48,$I48-COUNTIF($W48:AV48,"&gt;"&amp;0),0))</f>
        <v>22</v>
      </c>
      <c r="AX48" s="44">
        <f>MAX(IF(AX$4&gt;$E48,$I48-COUNTIF($W48:AW48,"&gt;"&amp;0),0))</f>
        <v>21</v>
      </c>
      <c r="AY48" s="44">
        <f>MAX(IF(AY$4&gt;$E48,$I48-COUNTIF($W48:AX48,"&gt;"&amp;0),0))</f>
        <v>20</v>
      </c>
      <c r="BA48" s="88" t="str">
        <f t="shared" ca="1" si="21"/>
        <v>Depreciation</v>
      </c>
      <c r="BB48" s="1" t="str">
        <f t="shared" si="22"/>
        <v>Post-vesting depreciation</v>
      </c>
      <c r="BC48" s="1" t="str">
        <f t="shared" si="23"/>
        <v>Asset life remaining</v>
      </c>
    </row>
    <row r="49" spans="5:55" x14ac:dyDescent="0.35">
      <c r="E49" s="2">
        <v>38807</v>
      </c>
      <c r="G49" t="s">
        <v>190</v>
      </c>
      <c r="I49" s="86">
        <v>45</v>
      </c>
      <c r="J49" t="s">
        <v>13</v>
      </c>
      <c r="X49" s="44">
        <f>MAX(IF(X$4&gt;$E49,$I49-COUNTIF($W49:W49,"&gt;"&amp;0),0))</f>
        <v>0</v>
      </c>
      <c r="Y49" s="44">
        <f>MAX(IF(Y$4&gt;$E49,$I49-COUNTIF($W49:X49,"&gt;"&amp;0),0))</f>
        <v>0</v>
      </c>
      <c r="Z49" s="44">
        <f>MAX(IF(Z$4&gt;$E49,$I49-COUNTIF($W49:Y49,"&gt;"&amp;0),0))</f>
        <v>0</v>
      </c>
      <c r="AA49" s="44">
        <f>MAX(IF(AA$4&gt;$E49,$I49-COUNTIF($W49:Z49,"&gt;"&amp;0),0))</f>
        <v>45</v>
      </c>
      <c r="AB49" s="44">
        <f>MAX(IF(AB$4&gt;$E49,$I49-COUNTIF($W49:AA49,"&gt;"&amp;0),0))</f>
        <v>44</v>
      </c>
      <c r="AC49" s="44">
        <f>MAX(IF(AC$4&gt;$E49,$I49-COUNTIF($W49:AB49,"&gt;"&amp;0),0))</f>
        <v>43</v>
      </c>
      <c r="AD49" s="44">
        <f>MAX(IF(AD$4&gt;$E49,$I49-COUNTIF($W49:AC49,"&gt;"&amp;0),0))</f>
        <v>42</v>
      </c>
      <c r="AE49" s="44">
        <f>MAX(IF(AE$4&gt;$E49,$I49-COUNTIF($W49:AD49,"&gt;"&amp;0),0))</f>
        <v>41</v>
      </c>
      <c r="AF49" s="44">
        <f>MAX(IF(AF$4&gt;$E49,$I49-COUNTIF($W49:AE49,"&gt;"&amp;0),0))</f>
        <v>40</v>
      </c>
      <c r="AG49" s="44">
        <f>MAX(IF(AG$4&gt;$E49,$I49-COUNTIF($W49:AF49,"&gt;"&amp;0),0))</f>
        <v>39</v>
      </c>
      <c r="AH49" s="44">
        <f>MAX(IF(AH$4&gt;$E49,$I49-COUNTIF($W49:AG49,"&gt;"&amp;0),0))</f>
        <v>38</v>
      </c>
      <c r="AI49" s="44">
        <f>MAX(IF(AI$4&gt;$E49,$I49-COUNTIF($W49:AH49,"&gt;"&amp;0),0))</f>
        <v>37</v>
      </c>
      <c r="AJ49" s="44">
        <f>MAX(IF(AJ$4&gt;$E49,$I49-COUNTIF($W49:AI49,"&gt;"&amp;0),0))</f>
        <v>36</v>
      </c>
      <c r="AK49" s="44">
        <f>MAX(IF(AK$4&gt;$E49,$I49-COUNTIF($W49:AJ49,"&gt;"&amp;0),0))</f>
        <v>35</v>
      </c>
      <c r="AL49" s="44">
        <f>MAX(IF(AL$4&gt;$E49,$I49-COUNTIF($W49:AK49,"&gt;"&amp;0),0))</f>
        <v>34</v>
      </c>
      <c r="AM49" s="44">
        <f>MAX(IF(AM$4&gt;$E49,$I49-COUNTIF($W49:AL49,"&gt;"&amp;0),0))</f>
        <v>33</v>
      </c>
      <c r="AN49" s="44">
        <f>MAX(IF(AN$4&gt;$E49,$I49-COUNTIF($W49:AM49,"&gt;"&amp;0),0))</f>
        <v>32</v>
      </c>
      <c r="AO49" s="44">
        <f>MAX(IF(AO$4&gt;$E49,$I49-COUNTIF($W49:AN49,"&gt;"&amp;0),0))</f>
        <v>31</v>
      </c>
      <c r="AP49" s="44">
        <f>MAX(IF(AP$4&gt;$E49,$I49-COUNTIF($W49:AO49,"&gt;"&amp;0),0))</f>
        <v>30</v>
      </c>
      <c r="AQ49" s="44">
        <f>MAX(IF(AQ$4&gt;$E49,$I49-COUNTIF($W49:AP49,"&gt;"&amp;0),0))</f>
        <v>29</v>
      </c>
      <c r="AR49" s="44">
        <f>MAX(IF(AR$4&gt;$E49,$I49-COUNTIF($W49:AQ49,"&gt;"&amp;0),0))</f>
        <v>28</v>
      </c>
      <c r="AS49" s="44">
        <f>MAX(IF(AS$4&gt;$E49,$I49-COUNTIF($W49:AR49,"&gt;"&amp;0),0))</f>
        <v>27</v>
      </c>
      <c r="AT49" s="176">
        <f>MAX(IF(AT$4&gt;$E49,$I49-COUNTIF($W49:AS49,"&gt;"&amp;0),0))</f>
        <v>26</v>
      </c>
      <c r="AU49" s="160">
        <f>MAX(IF(AU$4&gt;$E49,$I49-COUNTIF($W49:AT49,"&gt;"&amp;0),0))</f>
        <v>25</v>
      </c>
      <c r="AV49" s="44">
        <f>MAX(IF(AV$4&gt;$E49,$I49-COUNTIF($W49:AU49,"&gt;"&amp;0),0))</f>
        <v>24</v>
      </c>
      <c r="AW49" s="44">
        <f>MAX(IF(AW$4&gt;$E49,$I49-COUNTIF($W49:AV49,"&gt;"&amp;0),0))</f>
        <v>23</v>
      </c>
      <c r="AX49" s="44">
        <f>MAX(IF(AX$4&gt;$E49,$I49-COUNTIF($W49:AW49,"&gt;"&amp;0),0))</f>
        <v>22</v>
      </c>
      <c r="AY49" s="44">
        <f>MAX(IF(AY$4&gt;$E49,$I49-COUNTIF($W49:AX49,"&gt;"&amp;0),0))</f>
        <v>21</v>
      </c>
      <c r="BA49" s="88" t="str">
        <f t="shared" ca="1" si="21"/>
        <v>Depreciation</v>
      </c>
      <c r="BB49" s="1" t="str">
        <f t="shared" si="22"/>
        <v>Post-vesting depreciation</v>
      </c>
      <c r="BC49" s="1" t="str">
        <f t="shared" si="23"/>
        <v>Asset life remaining</v>
      </c>
    </row>
    <row r="50" spans="5:55" x14ac:dyDescent="0.35">
      <c r="E50" s="2">
        <v>39172</v>
      </c>
      <c r="G50" t="s">
        <v>190</v>
      </c>
      <c r="I50" s="86">
        <v>45</v>
      </c>
      <c r="J50" t="s">
        <v>13</v>
      </c>
      <c r="X50" s="44">
        <f>MAX(IF(X$4&gt;$E50,$I50-COUNTIF($W50:W50,"&gt;"&amp;0),0))</f>
        <v>0</v>
      </c>
      <c r="Y50" s="44">
        <f>MAX(IF(Y$4&gt;$E50,$I50-COUNTIF($W50:X50,"&gt;"&amp;0),0))</f>
        <v>0</v>
      </c>
      <c r="Z50" s="44">
        <f>MAX(IF(Z$4&gt;$E50,$I50-COUNTIF($W50:Y50,"&gt;"&amp;0),0))</f>
        <v>0</v>
      </c>
      <c r="AA50" s="44">
        <f>MAX(IF(AA$4&gt;$E50,$I50-COUNTIF($W50:Z50,"&gt;"&amp;0),0))</f>
        <v>0</v>
      </c>
      <c r="AB50" s="44">
        <f>MAX(IF(AB$4&gt;$E50,$I50-COUNTIF($W50:AA50,"&gt;"&amp;0),0))</f>
        <v>45</v>
      </c>
      <c r="AC50" s="44">
        <f>MAX(IF(AC$4&gt;$E50,$I50-COUNTIF($W50:AB50,"&gt;"&amp;0),0))</f>
        <v>44</v>
      </c>
      <c r="AD50" s="44">
        <f>MAX(IF(AD$4&gt;$E50,$I50-COUNTIF($W50:AC50,"&gt;"&amp;0),0))</f>
        <v>43</v>
      </c>
      <c r="AE50" s="44">
        <f>MAX(IF(AE$4&gt;$E50,$I50-COUNTIF($W50:AD50,"&gt;"&amp;0),0))</f>
        <v>42</v>
      </c>
      <c r="AF50" s="44">
        <f>MAX(IF(AF$4&gt;$E50,$I50-COUNTIF($W50:AE50,"&gt;"&amp;0),0))</f>
        <v>41</v>
      </c>
      <c r="AG50" s="44">
        <f>MAX(IF(AG$4&gt;$E50,$I50-COUNTIF($W50:AF50,"&gt;"&amp;0),0))</f>
        <v>40</v>
      </c>
      <c r="AH50" s="44">
        <f>MAX(IF(AH$4&gt;$E50,$I50-COUNTIF($W50:AG50,"&gt;"&amp;0),0))</f>
        <v>39</v>
      </c>
      <c r="AI50" s="44">
        <f>MAX(IF(AI$4&gt;$E50,$I50-COUNTIF($W50:AH50,"&gt;"&amp;0),0))</f>
        <v>38</v>
      </c>
      <c r="AJ50" s="44">
        <f>MAX(IF(AJ$4&gt;$E50,$I50-COUNTIF($W50:AI50,"&gt;"&amp;0),0))</f>
        <v>37</v>
      </c>
      <c r="AK50" s="44">
        <f>MAX(IF(AK$4&gt;$E50,$I50-COUNTIF($W50:AJ50,"&gt;"&amp;0),0))</f>
        <v>36</v>
      </c>
      <c r="AL50" s="44">
        <f>MAX(IF(AL$4&gt;$E50,$I50-COUNTIF($W50:AK50,"&gt;"&amp;0),0))</f>
        <v>35</v>
      </c>
      <c r="AM50" s="44">
        <f>MAX(IF(AM$4&gt;$E50,$I50-COUNTIF($W50:AL50,"&gt;"&amp;0),0))</f>
        <v>34</v>
      </c>
      <c r="AN50" s="44">
        <f>MAX(IF(AN$4&gt;$E50,$I50-COUNTIF($W50:AM50,"&gt;"&amp;0),0))</f>
        <v>33</v>
      </c>
      <c r="AO50" s="44">
        <f>MAX(IF(AO$4&gt;$E50,$I50-COUNTIF($W50:AN50,"&gt;"&amp;0),0))</f>
        <v>32</v>
      </c>
      <c r="AP50" s="44">
        <f>MAX(IF(AP$4&gt;$E50,$I50-COUNTIF($W50:AO50,"&gt;"&amp;0),0))</f>
        <v>31</v>
      </c>
      <c r="AQ50" s="44">
        <f>MAX(IF(AQ$4&gt;$E50,$I50-COUNTIF($W50:AP50,"&gt;"&amp;0),0))</f>
        <v>30</v>
      </c>
      <c r="AR50" s="44">
        <f>MAX(IF(AR$4&gt;$E50,$I50-COUNTIF($W50:AQ50,"&gt;"&amp;0),0))</f>
        <v>29</v>
      </c>
      <c r="AS50" s="44">
        <f>MAX(IF(AS$4&gt;$E50,$I50-COUNTIF($W50:AR50,"&gt;"&amp;0),0))</f>
        <v>28</v>
      </c>
      <c r="AT50" s="176">
        <f>MAX(IF(AT$4&gt;$E50,$I50-COUNTIF($W50:AS50,"&gt;"&amp;0),0))</f>
        <v>27</v>
      </c>
      <c r="AU50" s="160">
        <f>MAX(IF(AU$4&gt;$E50,$I50-COUNTIF($W50:AT50,"&gt;"&amp;0),0))</f>
        <v>26</v>
      </c>
      <c r="AV50" s="44">
        <f>MAX(IF(AV$4&gt;$E50,$I50-COUNTIF($W50:AU50,"&gt;"&amp;0),0))</f>
        <v>25</v>
      </c>
      <c r="AW50" s="44">
        <f>MAX(IF(AW$4&gt;$E50,$I50-COUNTIF($W50:AV50,"&gt;"&amp;0),0))</f>
        <v>24</v>
      </c>
      <c r="AX50" s="44">
        <f>MAX(IF(AX$4&gt;$E50,$I50-COUNTIF($W50:AW50,"&gt;"&amp;0),0))</f>
        <v>23</v>
      </c>
      <c r="AY50" s="44">
        <f>MAX(IF(AY$4&gt;$E50,$I50-COUNTIF($W50:AX50,"&gt;"&amp;0),0))</f>
        <v>22</v>
      </c>
      <c r="BA50" s="88" t="str">
        <f t="shared" ca="1" si="21"/>
        <v>Depreciation</v>
      </c>
      <c r="BB50" s="1" t="str">
        <f t="shared" si="22"/>
        <v>Post-vesting depreciation</v>
      </c>
      <c r="BC50" s="1" t="str">
        <f t="shared" si="23"/>
        <v>Asset life remaining</v>
      </c>
    </row>
    <row r="51" spans="5:55" x14ac:dyDescent="0.35">
      <c r="E51" s="2">
        <v>39538</v>
      </c>
      <c r="G51" t="s">
        <v>190</v>
      </c>
      <c r="I51" s="86">
        <v>45</v>
      </c>
      <c r="J51" t="s">
        <v>13</v>
      </c>
      <c r="X51" s="44">
        <f>MAX(IF(X$4&gt;$E51,$I51-COUNTIF($W51:W51,"&gt;"&amp;0),0))</f>
        <v>0</v>
      </c>
      <c r="Y51" s="44">
        <f>MAX(IF(Y$4&gt;$E51,$I51-COUNTIF($W51:X51,"&gt;"&amp;0),0))</f>
        <v>0</v>
      </c>
      <c r="Z51" s="44">
        <f>MAX(IF(Z$4&gt;$E51,$I51-COUNTIF($W51:Y51,"&gt;"&amp;0),0))</f>
        <v>0</v>
      </c>
      <c r="AA51" s="44">
        <f>MAX(IF(AA$4&gt;$E51,$I51-COUNTIF($W51:Z51,"&gt;"&amp;0),0))</f>
        <v>0</v>
      </c>
      <c r="AB51" s="44">
        <f>MAX(IF(AB$4&gt;$E51,$I51-COUNTIF($W51:AA51,"&gt;"&amp;0),0))</f>
        <v>0</v>
      </c>
      <c r="AC51" s="44">
        <f>MAX(IF(AC$4&gt;$E51,$I51-COUNTIF($W51:AB51,"&gt;"&amp;0),0))</f>
        <v>45</v>
      </c>
      <c r="AD51" s="44">
        <f>MAX(IF(AD$4&gt;$E51,$I51-COUNTIF($W51:AC51,"&gt;"&amp;0),0))</f>
        <v>44</v>
      </c>
      <c r="AE51" s="44">
        <f>MAX(IF(AE$4&gt;$E51,$I51-COUNTIF($W51:AD51,"&gt;"&amp;0),0))</f>
        <v>43</v>
      </c>
      <c r="AF51" s="44">
        <f>MAX(IF(AF$4&gt;$E51,$I51-COUNTIF($W51:AE51,"&gt;"&amp;0),0))</f>
        <v>42</v>
      </c>
      <c r="AG51" s="44">
        <f>MAX(IF(AG$4&gt;$E51,$I51-COUNTIF($W51:AF51,"&gt;"&amp;0),0))</f>
        <v>41</v>
      </c>
      <c r="AH51" s="44">
        <f>MAX(IF(AH$4&gt;$E51,$I51-COUNTIF($W51:AG51,"&gt;"&amp;0),0))</f>
        <v>40</v>
      </c>
      <c r="AI51" s="44">
        <f>MAX(IF(AI$4&gt;$E51,$I51-COUNTIF($W51:AH51,"&gt;"&amp;0),0))</f>
        <v>39</v>
      </c>
      <c r="AJ51" s="44">
        <f>MAX(IF(AJ$4&gt;$E51,$I51-COUNTIF($W51:AI51,"&gt;"&amp;0),0))</f>
        <v>38</v>
      </c>
      <c r="AK51" s="44">
        <f>MAX(IF(AK$4&gt;$E51,$I51-COUNTIF($W51:AJ51,"&gt;"&amp;0),0))</f>
        <v>37</v>
      </c>
      <c r="AL51" s="44">
        <f>MAX(IF(AL$4&gt;$E51,$I51-COUNTIF($W51:AK51,"&gt;"&amp;0),0))</f>
        <v>36</v>
      </c>
      <c r="AM51" s="44">
        <f>MAX(IF(AM$4&gt;$E51,$I51-COUNTIF($W51:AL51,"&gt;"&amp;0),0))</f>
        <v>35</v>
      </c>
      <c r="AN51" s="44">
        <f>MAX(IF(AN$4&gt;$E51,$I51-COUNTIF($W51:AM51,"&gt;"&amp;0),0))</f>
        <v>34</v>
      </c>
      <c r="AO51" s="44">
        <f>MAX(IF(AO$4&gt;$E51,$I51-COUNTIF($W51:AN51,"&gt;"&amp;0),0))</f>
        <v>33</v>
      </c>
      <c r="AP51" s="44">
        <f>MAX(IF(AP$4&gt;$E51,$I51-COUNTIF($W51:AO51,"&gt;"&amp;0),0))</f>
        <v>32</v>
      </c>
      <c r="AQ51" s="44">
        <f>MAX(IF(AQ$4&gt;$E51,$I51-COUNTIF($W51:AP51,"&gt;"&amp;0),0))</f>
        <v>31</v>
      </c>
      <c r="AR51" s="44">
        <f>MAX(IF(AR$4&gt;$E51,$I51-COUNTIF($W51:AQ51,"&gt;"&amp;0),0))</f>
        <v>30</v>
      </c>
      <c r="AS51" s="44">
        <f>MAX(IF(AS$4&gt;$E51,$I51-COUNTIF($W51:AR51,"&gt;"&amp;0),0))</f>
        <v>29</v>
      </c>
      <c r="AT51" s="176">
        <f>MAX(IF(AT$4&gt;$E51,$I51-COUNTIF($W51:AS51,"&gt;"&amp;0),0))</f>
        <v>28</v>
      </c>
      <c r="AU51" s="160">
        <f>MAX(IF(AU$4&gt;$E51,$I51-COUNTIF($W51:AT51,"&gt;"&amp;0),0))</f>
        <v>27</v>
      </c>
      <c r="AV51" s="44">
        <f>MAX(IF(AV$4&gt;$E51,$I51-COUNTIF($W51:AU51,"&gt;"&amp;0),0))</f>
        <v>26</v>
      </c>
      <c r="AW51" s="44">
        <f>MAX(IF(AW$4&gt;$E51,$I51-COUNTIF($W51:AV51,"&gt;"&amp;0),0))</f>
        <v>25</v>
      </c>
      <c r="AX51" s="44">
        <f>MAX(IF(AX$4&gt;$E51,$I51-COUNTIF($W51:AW51,"&gt;"&amp;0),0))</f>
        <v>24</v>
      </c>
      <c r="AY51" s="44">
        <f>MAX(IF(AY$4&gt;$E51,$I51-COUNTIF($W51:AX51,"&gt;"&amp;0),0))</f>
        <v>23</v>
      </c>
      <c r="BA51" s="88" t="str">
        <f t="shared" ca="1" si="21"/>
        <v>Depreciation</v>
      </c>
      <c r="BB51" s="1" t="str">
        <f t="shared" si="22"/>
        <v>Post-vesting depreciation</v>
      </c>
      <c r="BC51" s="1" t="str">
        <f t="shared" si="23"/>
        <v>Asset life remaining</v>
      </c>
    </row>
    <row r="52" spans="5:55" x14ac:dyDescent="0.35">
      <c r="E52" s="2">
        <v>39903</v>
      </c>
      <c r="G52" t="s">
        <v>190</v>
      </c>
      <c r="I52" s="86">
        <v>45</v>
      </c>
      <c r="J52" t="s">
        <v>13</v>
      </c>
      <c r="X52" s="44">
        <f>MAX(IF(X$4&gt;$E52,$I52-COUNTIF($W52:W52,"&gt;"&amp;0),0))</f>
        <v>0</v>
      </c>
      <c r="Y52" s="44">
        <f>MAX(IF(Y$4&gt;$E52,$I52-COUNTIF($W52:X52,"&gt;"&amp;0),0))</f>
        <v>0</v>
      </c>
      <c r="Z52" s="44">
        <f>MAX(IF(Z$4&gt;$E52,$I52-COUNTIF($W52:Y52,"&gt;"&amp;0),0))</f>
        <v>0</v>
      </c>
      <c r="AA52" s="44">
        <f>MAX(IF(AA$4&gt;$E52,$I52-COUNTIF($W52:Z52,"&gt;"&amp;0),0))</f>
        <v>0</v>
      </c>
      <c r="AB52" s="44">
        <f>MAX(IF(AB$4&gt;$E52,$I52-COUNTIF($W52:AA52,"&gt;"&amp;0),0))</f>
        <v>0</v>
      </c>
      <c r="AC52" s="44">
        <f>MAX(IF(AC$4&gt;$E52,$I52-COUNTIF($W52:AB52,"&gt;"&amp;0),0))</f>
        <v>0</v>
      </c>
      <c r="AD52" s="44">
        <f>MAX(IF(AD$4&gt;$E52,$I52-COUNTIF($W52:AC52,"&gt;"&amp;0),0))</f>
        <v>45</v>
      </c>
      <c r="AE52" s="44">
        <f>MAX(IF(AE$4&gt;$E52,$I52-COUNTIF($W52:AD52,"&gt;"&amp;0),0))</f>
        <v>44</v>
      </c>
      <c r="AF52" s="44">
        <f>MAX(IF(AF$4&gt;$E52,$I52-COUNTIF($W52:AE52,"&gt;"&amp;0),0))</f>
        <v>43</v>
      </c>
      <c r="AG52" s="44">
        <f>MAX(IF(AG$4&gt;$E52,$I52-COUNTIF($W52:AF52,"&gt;"&amp;0),0))</f>
        <v>42</v>
      </c>
      <c r="AH52" s="44">
        <f>MAX(IF(AH$4&gt;$E52,$I52-COUNTIF($W52:AG52,"&gt;"&amp;0),0))</f>
        <v>41</v>
      </c>
      <c r="AI52" s="44">
        <f>MAX(IF(AI$4&gt;$E52,$I52-COUNTIF($W52:AH52,"&gt;"&amp;0),0))</f>
        <v>40</v>
      </c>
      <c r="AJ52" s="44">
        <f>MAX(IF(AJ$4&gt;$E52,$I52-COUNTIF($W52:AI52,"&gt;"&amp;0),0))</f>
        <v>39</v>
      </c>
      <c r="AK52" s="44">
        <f>MAX(IF(AK$4&gt;$E52,$I52-COUNTIF($W52:AJ52,"&gt;"&amp;0),0))</f>
        <v>38</v>
      </c>
      <c r="AL52" s="44">
        <f>MAX(IF(AL$4&gt;$E52,$I52-COUNTIF($W52:AK52,"&gt;"&amp;0),0))</f>
        <v>37</v>
      </c>
      <c r="AM52" s="44">
        <f>MAX(IF(AM$4&gt;$E52,$I52-COUNTIF($W52:AL52,"&gt;"&amp;0),0))</f>
        <v>36</v>
      </c>
      <c r="AN52" s="44">
        <f>MAX(IF(AN$4&gt;$E52,$I52-COUNTIF($W52:AM52,"&gt;"&amp;0),0))</f>
        <v>35</v>
      </c>
      <c r="AO52" s="44">
        <f>MAX(IF(AO$4&gt;$E52,$I52-COUNTIF($W52:AN52,"&gt;"&amp;0),0))</f>
        <v>34</v>
      </c>
      <c r="AP52" s="44">
        <f>MAX(IF(AP$4&gt;$E52,$I52-COUNTIF($W52:AO52,"&gt;"&amp;0),0))</f>
        <v>33</v>
      </c>
      <c r="AQ52" s="44">
        <f>MAX(IF(AQ$4&gt;$E52,$I52-COUNTIF($W52:AP52,"&gt;"&amp;0),0))</f>
        <v>32</v>
      </c>
      <c r="AR52" s="44">
        <f>MAX(IF(AR$4&gt;$E52,$I52-COUNTIF($W52:AQ52,"&gt;"&amp;0),0))</f>
        <v>31</v>
      </c>
      <c r="AS52" s="44">
        <f>MAX(IF(AS$4&gt;$E52,$I52-COUNTIF($W52:AR52,"&gt;"&amp;0),0))</f>
        <v>30</v>
      </c>
      <c r="AT52" s="176">
        <f>MAX(IF(AT$4&gt;$E52,$I52-COUNTIF($W52:AS52,"&gt;"&amp;0),0))</f>
        <v>29</v>
      </c>
      <c r="AU52" s="160">
        <f>MAX(IF(AU$4&gt;$E52,$I52-COUNTIF($W52:AT52,"&gt;"&amp;0),0))</f>
        <v>28</v>
      </c>
      <c r="AV52" s="44">
        <f>MAX(IF(AV$4&gt;$E52,$I52-COUNTIF($W52:AU52,"&gt;"&amp;0),0))</f>
        <v>27</v>
      </c>
      <c r="AW52" s="44">
        <f>MAX(IF(AW$4&gt;$E52,$I52-COUNTIF($W52:AV52,"&gt;"&amp;0),0))</f>
        <v>26</v>
      </c>
      <c r="AX52" s="44">
        <f>MAX(IF(AX$4&gt;$E52,$I52-COUNTIF($W52:AW52,"&gt;"&amp;0),0))</f>
        <v>25</v>
      </c>
      <c r="AY52" s="44">
        <f>MAX(IF(AY$4&gt;$E52,$I52-COUNTIF($W52:AX52,"&gt;"&amp;0),0))</f>
        <v>24</v>
      </c>
      <c r="BA52" s="88" t="str">
        <f t="shared" ca="1" si="21"/>
        <v>Depreciation</v>
      </c>
      <c r="BB52" s="1" t="str">
        <f t="shared" si="22"/>
        <v>Post-vesting depreciation</v>
      </c>
      <c r="BC52" s="1" t="str">
        <f t="shared" si="23"/>
        <v>Asset life remaining</v>
      </c>
    </row>
    <row r="53" spans="5:55" x14ac:dyDescent="0.35">
      <c r="E53" s="2">
        <v>40268</v>
      </c>
      <c r="G53" t="s">
        <v>190</v>
      </c>
      <c r="I53" s="86">
        <v>45</v>
      </c>
      <c r="J53" t="s">
        <v>13</v>
      </c>
      <c r="X53" s="44">
        <f>MAX(IF(X$4&gt;$E53,$I53-COUNTIF($W53:W53,"&gt;"&amp;0),0))</f>
        <v>0</v>
      </c>
      <c r="Y53" s="44">
        <f>MAX(IF(Y$4&gt;$E53,$I53-COUNTIF($W53:X53,"&gt;"&amp;0),0))</f>
        <v>0</v>
      </c>
      <c r="Z53" s="44">
        <f>MAX(IF(Z$4&gt;$E53,$I53-COUNTIF($W53:Y53,"&gt;"&amp;0),0))</f>
        <v>0</v>
      </c>
      <c r="AA53" s="44">
        <f>MAX(IF(AA$4&gt;$E53,$I53-COUNTIF($W53:Z53,"&gt;"&amp;0),0))</f>
        <v>0</v>
      </c>
      <c r="AB53" s="44">
        <f>MAX(IF(AB$4&gt;$E53,$I53-COUNTIF($W53:AA53,"&gt;"&amp;0),0))</f>
        <v>0</v>
      </c>
      <c r="AC53" s="44">
        <f>MAX(IF(AC$4&gt;$E53,$I53-COUNTIF($W53:AB53,"&gt;"&amp;0),0))</f>
        <v>0</v>
      </c>
      <c r="AD53" s="44">
        <f>MAX(IF(AD$4&gt;$E53,$I53-COUNTIF($W53:AC53,"&gt;"&amp;0),0))</f>
        <v>0</v>
      </c>
      <c r="AE53" s="44">
        <f>MAX(IF(AE$4&gt;$E53,$I53-COUNTIF($W53:AD53,"&gt;"&amp;0),0))</f>
        <v>45</v>
      </c>
      <c r="AF53" s="44">
        <f>MAX(IF(AF$4&gt;$E53,$I53-COUNTIF($W53:AE53,"&gt;"&amp;0),0))</f>
        <v>44</v>
      </c>
      <c r="AG53" s="44">
        <f>MAX(IF(AG$4&gt;$E53,$I53-COUNTIF($W53:AF53,"&gt;"&amp;0),0))</f>
        <v>43</v>
      </c>
      <c r="AH53" s="44">
        <f>MAX(IF(AH$4&gt;$E53,$I53-COUNTIF($W53:AG53,"&gt;"&amp;0),0))</f>
        <v>42</v>
      </c>
      <c r="AI53" s="44">
        <f>MAX(IF(AI$4&gt;$E53,$I53-COUNTIF($W53:AH53,"&gt;"&amp;0),0))</f>
        <v>41</v>
      </c>
      <c r="AJ53" s="44">
        <f>MAX(IF(AJ$4&gt;$E53,$I53-COUNTIF($W53:AI53,"&gt;"&amp;0),0))</f>
        <v>40</v>
      </c>
      <c r="AK53" s="44">
        <f>MAX(IF(AK$4&gt;$E53,$I53-COUNTIF($W53:AJ53,"&gt;"&amp;0),0))</f>
        <v>39</v>
      </c>
      <c r="AL53" s="44">
        <f>MAX(IF(AL$4&gt;$E53,$I53-COUNTIF($W53:AK53,"&gt;"&amp;0),0))</f>
        <v>38</v>
      </c>
      <c r="AM53" s="44">
        <f>MAX(IF(AM$4&gt;$E53,$I53-COUNTIF($W53:AL53,"&gt;"&amp;0),0))</f>
        <v>37</v>
      </c>
      <c r="AN53" s="44">
        <f>MAX(IF(AN$4&gt;$E53,$I53-COUNTIF($W53:AM53,"&gt;"&amp;0),0))</f>
        <v>36</v>
      </c>
      <c r="AO53" s="44">
        <f>MAX(IF(AO$4&gt;$E53,$I53-COUNTIF($W53:AN53,"&gt;"&amp;0),0))</f>
        <v>35</v>
      </c>
      <c r="AP53" s="44">
        <f>MAX(IF(AP$4&gt;$E53,$I53-COUNTIF($W53:AO53,"&gt;"&amp;0),0))</f>
        <v>34</v>
      </c>
      <c r="AQ53" s="44">
        <f>MAX(IF(AQ$4&gt;$E53,$I53-COUNTIF($W53:AP53,"&gt;"&amp;0),0))</f>
        <v>33</v>
      </c>
      <c r="AR53" s="44">
        <f>MAX(IF(AR$4&gt;$E53,$I53-COUNTIF($W53:AQ53,"&gt;"&amp;0),0))</f>
        <v>32</v>
      </c>
      <c r="AS53" s="44">
        <f>MAX(IF(AS$4&gt;$E53,$I53-COUNTIF($W53:AR53,"&gt;"&amp;0),0))</f>
        <v>31</v>
      </c>
      <c r="AT53" s="176">
        <f>MAX(IF(AT$4&gt;$E53,$I53-COUNTIF($W53:AS53,"&gt;"&amp;0),0))</f>
        <v>30</v>
      </c>
      <c r="AU53" s="160">
        <f>MAX(IF(AU$4&gt;$E53,$I53-COUNTIF($W53:AT53,"&gt;"&amp;0),0))</f>
        <v>29</v>
      </c>
      <c r="AV53" s="44">
        <f>MAX(IF(AV$4&gt;$E53,$I53-COUNTIF($W53:AU53,"&gt;"&amp;0),0))</f>
        <v>28</v>
      </c>
      <c r="AW53" s="44">
        <f>MAX(IF(AW$4&gt;$E53,$I53-COUNTIF($W53:AV53,"&gt;"&amp;0),0))</f>
        <v>27</v>
      </c>
      <c r="AX53" s="44">
        <f>MAX(IF(AX$4&gt;$E53,$I53-COUNTIF($W53:AW53,"&gt;"&amp;0),0))</f>
        <v>26</v>
      </c>
      <c r="AY53" s="44">
        <f>MAX(IF(AY$4&gt;$E53,$I53-COUNTIF($W53:AX53,"&gt;"&amp;0),0))</f>
        <v>25</v>
      </c>
      <c r="BA53" s="88" t="str">
        <f t="shared" ca="1" si="21"/>
        <v>Depreciation</v>
      </c>
      <c r="BB53" s="1" t="str">
        <f t="shared" si="22"/>
        <v>Post-vesting depreciation</v>
      </c>
      <c r="BC53" s="1" t="str">
        <f t="shared" si="23"/>
        <v>Asset life remaining</v>
      </c>
    </row>
    <row r="54" spans="5:55" x14ac:dyDescent="0.35">
      <c r="E54" s="2">
        <v>40633</v>
      </c>
      <c r="G54" t="s">
        <v>190</v>
      </c>
      <c r="I54" s="86">
        <v>45</v>
      </c>
      <c r="J54" t="s">
        <v>13</v>
      </c>
      <c r="X54" s="44">
        <f>MAX(IF(X$4&gt;$E54,$I54-COUNTIF($W54:W54,"&gt;"&amp;0),0))</f>
        <v>0</v>
      </c>
      <c r="Y54" s="44">
        <f>MAX(IF(Y$4&gt;$E54,$I54-COUNTIF($W54:X54,"&gt;"&amp;0),0))</f>
        <v>0</v>
      </c>
      <c r="Z54" s="44">
        <f>MAX(IF(Z$4&gt;$E54,$I54-COUNTIF($W54:Y54,"&gt;"&amp;0),0))</f>
        <v>0</v>
      </c>
      <c r="AA54" s="44">
        <f>MAX(IF(AA$4&gt;$E54,$I54-COUNTIF($W54:Z54,"&gt;"&amp;0),0))</f>
        <v>0</v>
      </c>
      <c r="AB54" s="44">
        <f>MAX(IF(AB$4&gt;$E54,$I54-COUNTIF($W54:AA54,"&gt;"&amp;0),0))</f>
        <v>0</v>
      </c>
      <c r="AC54" s="44">
        <f>MAX(IF(AC$4&gt;$E54,$I54-COUNTIF($W54:AB54,"&gt;"&amp;0),0))</f>
        <v>0</v>
      </c>
      <c r="AD54" s="44">
        <f>MAX(IF(AD$4&gt;$E54,$I54-COUNTIF($W54:AC54,"&gt;"&amp;0),0))</f>
        <v>0</v>
      </c>
      <c r="AE54" s="44">
        <f>MAX(IF(AE$4&gt;$E54,$I54-COUNTIF($W54:AD54,"&gt;"&amp;0),0))</f>
        <v>0</v>
      </c>
      <c r="AF54" s="44">
        <f>MAX(IF(AF$4&gt;$E54,$I54-COUNTIF($W54:AE54,"&gt;"&amp;0),0))</f>
        <v>45</v>
      </c>
      <c r="AG54" s="44">
        <f>MAX(IF(AG$4&gt;$E54,$I54-COUNTIF($W54:AF54,"&gt;"&amp;0),0))</f>
        <v>44</v>
      </c>
      <c r="AH54" s="44">
        <f>MAX(IF(AH$4&gt;$E54,$I54-COUNTIF($W54:AG54,"&gt;"&amp;0),0))</f>
        <v>43</v>
      </c>
      <c r="AI54" s="44">
        <f>MAX(IF(AI$4&gt;$E54,$I54-COUNTIF($W54:AH54,"&gt;"&amp;0),0))</f>
        <v>42</v>
      </c>
      <c r="AJ54" s="44">
        <f>MAX(IF(AJ$4&gt;$E54,$I54-COUNTIF($W54:AI54,"&gt;"&amp;0),0))</f>
        <v>41</v>
      </c>
      <c r="AK54" s="44">
        <f>MAX(IF(AK$4&gt;$E54,$I54-COUNTIF($W54:AJ54,"&gt;"&amp;0),0))</f>
        <v>40</v>
      </c>
      <c r="AL54" s="44">
        <f>MAX(IF(AL$4&gt;$E54,$I54-COUNTIF($W54:AK54,"&gt;"&amp;0),0))</f>
        <v>39</v>
      </c>
      <c r="AM54" s="44">
        <f>MAX(IF(AM$4&gt;$E54,$I54-COUNTIF($W54:AL54,"&gt;"&amp;0),0))</f>
        <v>38</v>
      </c>
      <c r="AN54" s="44">
        <f>MAX(IF(AN$4&gt;$E54,$I54-COUNTIF($W54:AM54,"&gt;"&amp;0),0))</f>
        <v>37</v>
      </c>
      <c r="AO54" s="44">
        <f>MAX(IF(AO$4&gt;$E54,$I54-COUNTIF($W54:AN54,"&gt;"&amp;0),0))</f>
        <v>36</v>
      </c>
      <c r="AP54" s="44">
        <f>MAX(IF(AP$4&gt;$E54,$I54-COUNTIF($W54:AO54,"&gt;"&amp;0),0))</f>
        <v>35</v>
      </c>
      <c r="AQ54" s="44">
        <f>MAX(IF(AQ$4&gt;$E54,$I54-COUNTIF($W54:AP54,"&gt;"&amp;0),0))</f>
        <v>34</v>
      </c>
      <c r="AR54" s="44">
        <f>MAX(IF(AR$4&gt;$E54,$I54-COUNTIF($W54:AQ54,"&gt;"&amp;0),0))</f>
        <v>33</v>
      </c>
      <c r="AS54" s="44">
        <f>MAX(IF(AS$4&gt;$E54,$I54-COUNTIF($W54:AR54,"&gt;"&amp;0),0))</f>
        <v>32</v>
      </c>
      <c r="AT54" s="176">
        <f>MAX(IF(AT$4&gt;$E54,$I54-COUNTIF($W54:AS54,"&gt;"&amp;0),0))</f>
        <v>31</v>
      </c>
      <c r="AU54" s="160">
        <f>MAX(IF(AU$4&gt;$E54,$I54-COUNTIF($W54:AT54,"&gt;"&amp;0),0))</f>
        <v>30</v>
      </c>
      <c r="AV54" s="44">
        <f>MAX(IF(AV$4&gt;$E54,$I54-COUNTIF($W54:AU54,"&gt;"&amp;0),0))</f>
        <v>29</v>
      </c>
      <c r="AW54" s="44">
        <f>MAX(IF(AW$4&gt;$E54,$I54-COUNTIF($W54:AV54,"&gt;"&amp;0),0))</f>
        <v>28</v>
      </c>
      <c r="AX54" s="44">
        <f>MAX(IF(AX$4&gt;$E54,$I54-COUNTIF($W54:AW54,"&gt;"&amp;0),0))</f>
        <v>27</v>
      </c>
      <c r="AY54" s="44">
        <f>MAX(IF(AY$4&gt;$E54,$I54-COUNTIF($W54:AX54,"&gt;"&amp;0),0))</f>
        <v>26</v>
      </c>
      <c r="BA54" s="88" t="str">
        <f t="shared" ca="1" si="21"/>
        <v>Depreciation</v>
      </c>
      <c r="BB54" s="1" t="str">
        <f t="shared" si="22"/>
        <v>Post-vesting depreciation</v>
      </c>
      <c r="BC54" s="1" t="str">
        <f t="shared" si="23"/>
        <v>Asset life remaining</v>
      </c>
    </row>
    <row r="55" spans="5:55" x14ac:dyDescent="0.35">
      <c r="E55" s="2">
        <v>40999</v>
      </c>
      <c r="G55" t="s">
        <v>190</v>
      </c>
      <c r="I55" s="86">
        <v>45</v>
      </c>
      <c r="J55" t="s">
        <v>13</v>
      </c>
      <c r="X55" s="44">
        <f>MAX(IF(X$4&gt;$E55,$I55-COUNTIF($W55:W55,"&gt;"&amp;0),0))</f>
        <v>0</v>
      </c>
      <c r="Y55" s="44">
        <f>MAX(IF(Y$4&gt;$E55,$I55-COUNTIF($W55:X55,"&gt;"&amp;0),0))</f>
        <v>0</v>
      </c>
      <c r="Z55" s="44">
        <f>MAX(IF(Z$4&gt;$E55,$I55-COUNTIF($W55:Y55,"&gt;"&amp;0),0))</f>
        <v>0</v>
      </c>
      <c r="AA55" s="44">
        <f>MAX(IF(AA$4&gt;$E55,$I55-COUNTIF($W55:Z55,"&gt;"&amp;0),0))</f>
        <v>0</v>
      </c>
      <c r="AB55" s="44">
        <f>MAX(IF(AB$4&gt;$E55,$I55-COUNTIF($W55:AA55,"&gt;"&amp;0),0))</f>
        <v>0</v>
      </c>
      <c r="AC55" s="44">
        <f>MAX(IF(AC$4&gt;$E55,$I55-COUNTIF($W55:AB55,"&gt;"&amp;0),0))</f>
        <v>0</v>
      </c>
      <c r="AD55" s="44">
        <f>MAX(IF(AD$4&gt;$E55,$I55-COUNTIF($W55:AC55,"&gt;"&amp;0),0))</f>
        <v>0</v>
      </c>
      <c r="AE55" s="44">
        <f>MAX(IF(AE$4&gt;$E55,$I55-COUNTIF($W55:AD55,"&gt;"&amp;0),0))</f>
        <v>0</v>
      </c>
      <c r="AF55" s="44">
        <f>MAX(IF(AF$4&gt;$E55,$I55-COUNTIF($W55:AE55,"&gt;"&amp;0),0))</f>
        <v>0</v>
      </c>
      <c r="AG55" s="44">
        <f>MAX(IF(AG$4&gt;$E55,$I55-COUNTIF($W55:AF55,"&gt;"&amp;0),0))</f>
        <v>45</v>
      </c>
      <c r="AH55" s="44">
        <f>MAX(IF(AH$4&gt;$E55,$I55-COUNTIF($W55:AG55,"&gt;"&amp;0),0))</f>
        <v>44</v>
      </c>
      <c r="AI55" s="44">
        <f>MAX(IF(AI$4&gt;$E55,$I55-COUNTIF($W55:AH55,"&gt;"&amp;0),0))</f>
        <v>43</v>
      </c>
      <c r="AJ55" s="44">
        <f>MAX(IF(AJ$4&gt;$E55,$I55-COUNTIF($W55:AI55,"&gt;"&amp;0),0))</f>
        <v>42</v>
      </c>
      <c r="AK55" s="44">
        <f>MAX(IF(AK$4&gt;$E55,$I55-COUNTIF($W55:AJ55,"&gt;"&amp;0),0))</f>
        <v>41</v>
      </c>
      <c r="AL55" s="44">
        <f>MAX(IF(AL$4&gt;$E55,$I55-COUNTIF($W55:AK55,"&gt;"&amp;0),0))</f>
        <v>40</v>
      </c>
      <c r="AM55" s="44">
        <f>MAX(IF(AM$4&gt;$E55,$I55-COUNTIF($W55:AL55,"&gt;"&amp;0),0))</f>
        <v>39</v>
      </c>
      <c r="AN55" s="44">
        <f>MAX(IF(AN$4&gt;$E55,$I55-COUNTIF($W55:AM55,"&gt;"&amp;0),0))</f>
        <v>38</v>
      </c>
      <c r="AO55" s="44">
        <f>MAX(IF(AO$4&gt;$E55,$I55-COUNTIF($W55:AN55,"&gt;"&amp;0),0))</f>
        <v>37</v>
      </c>
      <c r="AP55" s="44">
        <f>MAX(IF(AP$4&gt;$E55,$I55-COUNTIF($W55:AO55,"&gt;"&amp;0),0))</f>
        <v>36</v>
      </c>
      <c r="AQ55" s="44">
        <f>MAX(IF(AQ$4&gt;$E55,$I55-COUNTIF($W55:AP55,"&gt;"&amp;0),0))</f>
        <v>35</v>
      </c>
      <c r="AR55" s="44">
        <f>MAX(IF(AR$4&gt;$E55,$I55-COUNTIF($W55:AQ55,"&gt;"&amp;0),0))</f>
        <v>34</v>
      </c>
      <c r="AS55" s="44">
        <f>MAX(IF(AS$4&gt;$E55,$I55-COUNTIF($W55:AR55,"&gt;"&amp;0),0))</f>
        <v>33</v>
      </c>
      <c r="AT55" s="176">
        <f>MAX(IF(AT$4&gt;$E55,$I55-COUNTIF($W55:AS55,"&gt;"&amp;0),0))</f>
        <v>32</v>
      </c>
      <c r="AU55" s="160">
        <f>MAX(IF(AU$4&gt;$E55,$I55-COUNTIF($W55:AT55,"&gt;"&amp;0),0))</f>
        <v>31</v>
      </c>
      <c r="AV55" s="44">
        <f>MAX(IF(AV$4&gt;$E55,$I55-COUNTIF($W55:AU55,"&gt;"&amp;0),0))</f>
        <v>30</v>
      </c>
      <c r="AW55" s="44">
        <f>MAX(IF(AW$4&gt;$E55,$I55-COUNTIF($W55:AV55,"&gt;"&amp;0),0))</f>
        <v>29</v>
      </c>
      <c r="AX55" s="44">
        <f>MAX(IF(AX$4&gt;$E55,$I55-COUNTIF($W55:AW55,"&gt;"&amp;0),0))</f>
        <v>28</v>
      </c>
      <c r="AY55" s="44">
        <f>MAX(IF(AY$4&gt;$E55,$I55-COUNTIF($W55:AX55,"&gt;"&amp;0),0))</f>
        <v>27</v>
      </c>
      <c r="BA55" s="88" t="str">
        <f t="shared" ca="1" si="21"/>
        <v>Depreciation</v>
      </c>
      <c r="BB55" s="1" t="str">
        <f t="shared" si="22"/>
        <v>Post-vesting depreciation</v>
      </c>
      <c r="BC55" s="1" t="str">
        <f t="shared" si="23"/>
        <v>Asset life remaining</v>
      </c>
    </row>
    <row r="56" spans="5:55" x14ac:dyDescent="0.35">
      <c r="E56" s="2">
        <v>41364</v>
      </c>
      <c r="G56" t="s">
        <v>190</v>
      </c>
      <c r="I56" s="86">
        <v>45</v>
      </c>
      <c r="J56" t="s">
        <v>13</v>
      </c>
      <c r="X56" s="44">
        <f>MAX(IF(X$4&gt;$E56,$I56-COUNTIF($W56:W56,"&gt;"&amp;0),0))</f>
        <v>0</v>
      </c>
      <c r="Y56" s="44">
        <f>MAX(IF(Y$4&gt;$E56,$I56-COUNTIF($W56:X56,"&gt;"&amp;0),0))</f>
        <v>0</v>
      </c>
      <c r="Z56" s="44">
        <f>MAX(IF(Z$4&gt;$E56,$I56-COUNTIF($W56:Y56,"&gt;"&amp;0),0))</f>
        <v>0</v>
      </c>
      <c r="AA56" s="44">
        <f>MAX(IF(AA$4&gt;$E56,$I56-COUNTIF($W56:Z56,"&gt;"&amp;0),0))</f>
        <v>0</v>
      </c>
      <c r="AB56" s="44">
        <f>MAX(IF(AB$4&gt;$E56,$I56-COUNTIF($W56:AA56,"&gt;"&amp;0),0))</f>
        <v>0</v>
      </c>
      <c r="AC56" s="44">
        <f>MAX(IF(AC$4&gt;$E56,$I56-COUNTIF($W56:AB56,"&gt;"&amp;0),0))</f>
        <v>0</v>
      </c>
      <c r="AD56" s="44">
        <f>MAX(IF(AD$4&gt;$E56,$I56-COUNTIF($W56:AC56,"&gt;"&amp;0),0))</f>
        <v>0</v>
      </c>
      <c r="AE56" s="44">
        <f>MAX(IF(AE$4&gt;$E56,$I56-COUNTIF($W56:AD56,"&gt;"&amp;0),0))</f>
        <v>0</v>
      </c>
      <c r="AF56" s="44">
        <f>MAX(IF(AF$4&gt;$E56,$I56-COUNTIF($W56:AE56,"&gt;"&amp;0),0))</f>
        <v>0</v>
      </c>
      <c r="AG56" s="44">
        <f>MAX(IF(AG$4&gt;$E56,$I56-COUNTIF($W56:AF56,"&gt;"&amp;0),0))</f>
        <v>0</v>
      </c>
      <c r="AH56" s="44">
        <f>MAX(IF(AH$4&gt;$E56,$I56-COUNTIF($W56:AG56,"&gt;"&amp;0),0))</f>
        <v>45</v>
      </c>
      <c r="AI56" s="44">
        <f>MAX(IF(AI$4&gt;$E56,$I56-COUNTIF($W56:AH56,"&gt;"&amp;0),0))</f>
        <v>44</v>
      </c>
      <c r="AJ56" s="44">
        <f>MAX(IF(AJ$4&gt;$E56,$I56-COUNTIF($W56:AI56,"&gt;"&amp;0),0))</f>
        <v>43</v>
      </c>
      <c r="AK56" s="44">
        <f>MAX(IF(AK$4&gt;$E56,$I56-COUNTIF($W56:AJ56,"&gt;"&amp;0),0))</f>
        <v>42</v>
      </c>
      <c r="AL56" s="44">
        <f>MAX(IF(AL$4&gt;$E56,$I56-COUNTIF($W56:AK56,"&gt;"&amp;0),0))</f>
        <v>41</v>
      </c>
      <c r="AM56" s="44">
        <f>MAX(IF(AM$4&gt;$E56,$I56-COUNTIF($W56:AL56,"&gt;"&amp;0),0))</f>
        <v>40</v>
      </c>
      <c r="AN56" s="44">
        <f>MAX(IF(AN$4&gt;$E56,$I56-COUNTIF($W56:AM56,"&gt;"&amp;0),0))</f>
        <v>39</v>
      </c>
      <c r="AO56" s="44">
        <f>MAX(IF(AO$4&gt;$E56,$I56-COUNTIF($W56:AN56,"&gt;"&amp;0),0))</f>
        <v>38</v>
      </c>
      <c r="AP56" s="44">
        <f>MAX(IF(AP$4&gt;$E56,$I56-COUNTIF($W56:AO56,"&gt;"&amp;0),0))</f>
        <v>37</v>
      </c>
      <c r="AQ56" s="44">
        <f>MAX(IF(AQ$4&gt;$E56,$I56-COUNTIF($W56:AP56,"&gt;"&amp;0),0))</f>
        <v>36</v>
      </c>
      <c r="AR56" s="44">
        <f>MAX(IF(AR$4&gt;$E56,$I56-COUNTIF($W56:AQ56,"&gt;"&amp;0),0))</f>
        <v>35</v>
      </c>
      <c r="AS56" s="44">
        <f>MAX(IF(AS$4&gt;$E56,$I56-COUNTIF($W56:AR56,"&gt;"&amp;0),0))</f>
        <v>34</v>
      </c>
      <c r="AT56" s="176">
        <f>MAX(IF(AT$4&gt;$E56,$I56-COUNTIF($W56:AS56,"&gt;"&amp;0),0))</f>
        <v>33</v>
      </c>
      <c r="AU56" s="160">
        <f>MAX(IF(AU$4&gt;$E56,$I56-COUNTIF($W56:AT56,"&gt;"&amp;0),0))</f>
        <v>32</v>
      </c>
      <c r="AV56" s="44">
        <f>MAX(IF(AV$4&gt;$E56,$I56-COUNTIF($W56:AU56,"&gt;"&amp;0),0))</f>
        <v>31</v>
      </c>
      <c r="AW56" s="44">
        <f>MAX(IF(AW$4&gt;$E56,$I56-COUNTIF($W56:AV56,"&gt;"&amp;0),0))</f>
        <v>30</v>
      </c>
      <c r="AX56" s="44">
        <f>MAX(IF(AX$4&gt;$E56,$I56-COUNTIF($W56:AW56,"&gt;"&amp;0),0))</f>
        <v>29</v>
      </c>
      <c r="AY56" s="44">
        <f>MAX(IF(AY$4&gt;$E56,$I56-COUNTIF($W56:AX56,"&gt;"&amp;0),0))</f>
        <v>28</v>
      </c>
      <c r="BA56" s="88" t="str">
        <f t="shared" ca="1" si="21"/>
        <v>Depreciation</v>
      </c>
      <c r="BB56" s="1" t="str">
        <f t="shared" si="22"/>
        <v>Post-vesting depreciation</v>
      </c>
      <c r="BC56" s="1" t="str">
        <f t="shared" si="23"/>
        <v>Asset life remaining</v>
      </c>
    </row>
    <row r="57" spans="5:55" x14ac:dyDescent="0.35">
      <c r="E57" s="2">
        <v>41729</v>
      </c>
      <c r="G57" t="s">
        <v>190</v>
      </c>
      <c r="I57" s="86">
        <v>45</v>
      </c>
      <c r="J57" t="s">
        <v>13</v>
      </c>
      <c r="X57" s="44">
        <f>MAX(IF(X$4&gt;$E57,$I57-COUNTIF($W57:W57,"&gt;"&amp;0),0))</f>
        <v>0</v>
      </c>
      <c r="Y57" s="44">
        <f>MAX(IF(Y$4&gt;$E57,$I57-COUNTIF($W57:X57,"&gt;"&amp;0),0))</f>
        <v>0</v>
      </c>
      <c r="Z57" s="44">
        <f>MAX(IF(Z$4&gt;$E57,$I57-COUNTIF($W57:Y57,"&gt;"&amp;0),0))</f>
        <v>0</v>
      </c>
      <c r="AA57" s="44">
        <f>MAX(IF(AA$4&gt;$E57,$I57-COUNTIF($W57:Z57,"&gt;"&amp;0),0))</f>
        <v>0</v>
      </c>
      <c r="AB57" s="44">
        <f>MAX(IF(AB$4&gt;$E57,$I57-COUNTIF($W57:AA57,"&gt;"&amp;0),0))</f>
        <v>0</v>
      </c>
      <c r="AC57" s="44">
        <f>MAX(IF(AC$4&gt;$E57,$I57-COUNTIF($W57:AB57,"&gt;"&amp;0),0))</f>
        <v>0</v>
      </c>
      <c r="AD57" s="44">
        <f>MAX(IF(AD$4&gt;$E57,$I57-COUNTIF($W57:AC57,"&gt;"&amp;0),0))</f>
        <v>0</v>
      </c>
      <c r="AE57" s="44">
        <f>MAX(IF(AE$4&gt;$E57,$I57-COUNTIF($W57:AD57,"&gt;"&amp;0),0))</f>
        <v>0</v>
      </c>
      <c r="AF57" s="44">
        <f>MAX(IF(AF$4&gt;$E57,$I57-COUNTIF($W57:AE57,"&gt;"&amp;0),0))</f>
        <v>0</v>
      </c>
      <c r="AG57" s="44">
        <f>MAX(IF(AG$4&gt;$E57,$I57-COUNTIF($W57:AF57,"&gt;"&amp;0),0))</f>
        <v>0</v>
      </c>
      <c r="AH57" s="44">
        <f>MAX(IF(AH$4&gt;$E57,$I57-COUNTIF($W57:AG57,"&gt;"&amp;0),0))</f>
        <v>0</v>
      </c>
      <c r="AI57" s="44">
        <f>MAX(IF(AI$4&gt;$E57,$I57-COUNTIF($W57:AH57,"&gt;"&amp;0),0))</f>
        <v>45</v>
      </c>
      <c r="AJ57" s="44">
        <f>MAX(IF(AJ$4&gt;$E57,$I57-COUNTIF($W57:AI57,"&gt;"&amp;0),0))</f>
        <v>44</v>
      </c>
      <c r="AK57" s="44">
        <f>MAX(IF(AK$4&gt;$E57,$I57-COUNTIF($W57:AJ57,"&gt;"&amp;0),0))</f>
        <v>43</v>
      </c>
      <c r="AL57" s="44">
        <f>MAX(IF(AL$4&gt;$E57,$I57-COUNTIF($W57:AK57,"&gt;"&amp;0),0))</f>
        <v>42</v>
      </c>
      <c r="AM57" s="44">
        <f>MAX(IF(AM$4&gt;$E57,$I57-COUNTIF($W57:AL57,"&gt;"&amp;0),0))</f>
        <v>41</v>
      </c>
      <c r="AN57" s="44">
        <f>MAX(IF(AN$4&gt;$E57,$I57-COUNTIF($W57:AM57,"&gt;"&amp;0),0))</f>
        <v>40</v>
      </c>
      <c r="AO57" s="44">
        <f>MAX(IF(AO$4&gt;$E57,$I57-COUNTIF($W57:AN57,"&gt;"&amp;0),0))</f>
        <v>39</v>
      </c>
      <c r="AP57" s="44">
        <f>MAX(IF(AP$4&gt;$E57,$I57-COUNTIF($W57:AO57,"&gt;"&amp;0),0))</f>
        <v>38</v>
      </c>
      <c r="AQ57" s="44">
        <f>MAX(IF(AQ$4&gt;$E57,$I57-COUNTIF($W57:AP57,"&gt;"&amp;0),0))</f>
        <v>37</v>
      </c>
      <c r="AR57" s="44">
        <f>MAX(IF(AR$4&gt;$E57,$I57-COUNTIF($W57:AQ57,"&gt;"&amp;0),0))</f>
        <v>36</v>
      </c>
      <c r="AS57" s="44">
        <f>MAX(IF(AS$4&gt;$E57,$I57-COUNTIF($W57:AR57,"&gt;"&amp;0),0))</f>
        <v>35</v>
      </c>
      <c r="AT57" s="176">
        <f>MAX(IF(AT$4&gt;$E57,$I57-COUNTIF($W57:AS57,"&gt;"&amp;0),0))</f>
        <v>34</v>
      </c>
      <c r="AU57" s="160">
        <f>MAX(IF(AU$4&gt;$E57,$I57-COUNTIF($W57:AT57,"&gt;"&amp;0),0))</f>
        <v>33</v>
      </c>
      <c r="AV57" s="44">
        <f>MAX(IF(AV$4&gt;$E57,$I57-COUNTIF($W57:AU57,"&gt;"&amp;0),0))</f>
        <v>32</v>
      </c>
      <c r="AW57" s="44">
        <f>MAX(IF(AW$4&gt;$E57,$I57-COUNTIF($W57:AV57,"&gt;"&amp;0),0))</f>
        <v>31</v>
      </c>
      <c r="AX57" s="44">
        <f>MAX(IF(AX$4&gt;$E57,$I57-COUNTIF($W57:AW57,"&gt;"&amp;0),0))</f>
        <v>30</v>
      </c>
      <c r="AY57" s="44">
        <f>MAX(IF(AY$4&gt;$E57,$I57-COUNTIF($W57:AX57,"&gt;"&amp;0),0))</f>
        <v>29</v>
      </c>
      <c r="BA57" s="88" t="str">
        <f t="shared" ca="1" si="21"/>
        <v>Depreciation</v>
      </c>
      <c r="BB57" s="1" t="str">
        <f t="shared" si="22"/>
        <v>Post-vesting depreciation</v>
      </c>
      <c r="BC57" s="1" t="str">
        <f t="shared" si="23"/>
        <v>Asset life remaining</v>
      </c>
    </row>
    <row r="58" spans="5:55" x14ac:dyDescent="0.35">
      <c r="E58" s="2">
        <v>42094</v>
      </c>
      <c r="G58" t="s">
        <v>190</v>
      </c>
      <c r="I58" s="86">
        <v>45</v>
      </c>
      <c r="J58" t="s">
        <v>13</v>
      </c>
      <c r="X58" s="44">
        <f>MAX(IF(X$4&gt;$E58,$I58-COUNTIF($W58:W58,"&gt;"&amp;0),0))</f>
        <v>0</v>
      </c>
      <c r="Y58" s="44">
        <f>MAX(IF(Y$4&gt;$E58,$I58-COUNTIF($W58:X58,"&gt;"&amp;0),0))</f>
        <v>0</v>
      </c>
      <c r="Z58" s="44">
        <f>MAX(IF(Z$4&gt;$E58,$I58-COUNTIF($W58:Y58,"&gt;"&amp;0),0))</f>
        <v>0</v>
      </c>
      <c r="AA58" s="44">
        <f>MAX(IF(AA$4&gt;$E58,$I58-COUNTIF($W58:Z58,"&gt;"&amp;0),0))</f>
        <v>0</v>
      </c>
      <c r="AB58" s="44">
        <f>MAX(IF(AB$4&gt;$E58,$I58-COUNTIF($W58:AA58,"&gt;"&amp;0),0))</f>
        <v>0</v>
      </c>
      <c r="AC58" s="44">
        <f>MAX(IF(AC$4&gt;$E58,$I58-COUNTIF($W58:AB58,"&gt;"&amp;0),0))</f>
        <v>0</v>
      </c>
      <c r="AD58" s="44">
        <f>MAX(IF(AD$4&gt;$E58,$I58-COUNTIF($W58:AC58,"&gt;"&amp;0),0))</f>
        <v>0</v>
      </c>
      <c r="AE58" s="44">
        <f>MAX(IF(AE$4&gt;$E58,$I58-COUNTIF($W58:AD58,"&gt;"&amp;0),0))</f>
        <v>0</v>
      </c>
      <c r="AF58" s="44">
        <f>MAX(IF(AF$4&gt;$E58,$I58-COUNTIF($W58:AE58,"&gt;"&amp;0),0))</f>
        <v>0</v>
      </c>
      <c r="AG58" s="44">
        <f>MAX(IF(AG$4&gt;$E58,$I58-COUNTIF($W58:AF58,"&gt;"&amp;0),0))</f>
        <v>0</v>
      </c>
      <c r="AH58" s="44">
        <f>MAX(IF(AH$4&gt;$E58,$I58-COUNTIF($W58:AG58,"&gt;"&amp;0),0))</f>
        <v>0</v>
      </c>
      <c r="AI58" s="44">
        <f>MAX(IF(AI$4&gt;$E58,$I58-COUNTIF($W58:AH58,"&gt;"&amp;0),0))</f>
        <v>0</v>
      </c>
      <c r="AJ58" s="44">
        <f>MAX(IF(AJ$4&gt;$E58,$I58-COUNTIF($W58:AI58,"&gt;"&amp;0),0))</f>
        <v>45</v>
      </c>
      <c r="AK58" s="44">
        <f>MAX(IF(AK$4&gt;$E58,$I58-COUNTIF($W58:AJ58,"&gt;"&amp;0),0))</f>
        <v>44</v>
      </c>
      <c r="AL58" s="44">
        <f>MAX(IF(AL$4&gt;$E58,$I58-COUNTIF($W58:AK58,"&gt;"&amp;0),0))</f>
        <v>43</v>
      </c>
      <c r="AM58" s="44">
        <f>MAX(IF(AM$4&gt;$E58,$I58-COUNTIF($W58:AL58,"&gt;"&amp;0),0))</f>
        <v>42</v>
      </c>
      <c r="AN58" s="44">
        <f>MAX(IF(AN$4&gt;$E58,$I58-COUNTIF($W58:AM58,"&gt;"&amp;0),0))</f>
        <v>41</v>
      </c>
      <c r="AO58" s="44">
        <f>MAX(IF(AO$4&gt;$E58,$I58-COUNTIF($W58:AN58,"&gt;"&amp;0),0))</f>
        <v>40</v>
      </c>
      <c r="AP58" s="44">
        <f>MAX(IF(AP$4&gt;$E58,$I58-COUNTIF($W58:AO58,"&gt;"&amp;0),0))</f>
        <v>39</v>
      </c>
      <c r="AQ58" s="44">
        <f>MAX(IF(AQ$4&gt;$E58,$I58-COUNTIF($W58:AP58,"&gt;"&amp;0),0))</f>
        <v>38</v>
      </c>
      <c r="AR58" s="44">
        <f>MAX(IF(AR$4&gt;$E58,$I58-COUNTIF($W58:AQ58,"&gt;"&amp;0),0))</f>
        <v>37</v>
      </c>
      <c r="AS58" s="44">
        <f>MAX(IF(AS$4&gt;$E58,$I58-COUNTIF($W58:AR58,"&gt;"&amp;0),0))</f>
        <v>36</v>
      </c>
      <c r="AT58" s="176">
        <f>MAX(IF(AT$4&gt;$E58,$I58-COUNTIF($W58:AS58,"&gt;"&amp;0),0))</f>
        <v>35</v>
      </c>
      <c r="AU58" s="160">
        <f>MAX(IF(AU$4&gt;$E58,$I58-COUNTIF($W58:AT58,"&gt;"&amp;0),0))</f>
        <v>34</v>
      </c>
      <c r="AV58" s="44">
        <f>MAX(IF(AV$4&gt;$E58,$I58-COUNTIF($W58:AU58,"&gt;"&amp;0),0))</f>
        <v>33</v>
      </c>
      <c r="AW58" s="44">
        <f>MAX(IF(AW$4&gt;$E58,$I58-COUNTIF($W58:AV58,"&gt;"&amp;0),0))</f>
        <v>32</v>
      </c>
      <c r="AX58" s="44">
        <f>MAX(IF(AX$4&gt;$E58,$I58-COUNTIF($W58:AW58,"&gt;"&amp;0),0))</f>
        <v>31</v>
      </c>
      <c r="AY58" s="44">
        <f>MAX(IF(AY$4&gt;$E58,$I58-COUNTIF($W58:AX58,"&gt;"&amp;0),0))</f>
        <v>30</v>
      </c>
      <c r="BA58" s="88" t="str">
        <f t="shared" ca="1" si="21"/>
        <v>Depreciation</v>
      </c>
      <c r="BB58" s="1" t="str">
        <f t="shared" si="22"/>
        <v>Post-vesting depreciation</v>
      </c>
      <c r="BC58" s="1" t="str">
        <f t="shared" si="23"/>
        <v>Asset life remaining</v>
      </c>
    </row>
    <row r="59" spans="5:55" x14ac:dyDescent="0.35">
      <c r="E59" s="2">
        <v>42460</v>
      </c>
      <c r="G59" t="s">
        <v>190</v>
      </c>
      <c r="I59" s="86">
        <v>45</v>
      </c>
      <c r="J59" t="s">
        <v>13</v>
      </c>
      <c r="X59" s="44">
        <f>MAX(IF(X$4&gt;$E59,$I59-COUNTIF($W59:W59,"&gt;"&amp;0),0))</f>
        <v>0</v>
      </c>
      <c r="Y59" s="44">
        <f>MAX(IF(Y$4&gt;$E59,$I59-COUNTIF($W59:X59,"&gt;"&amp;0),0))</f>
        <v>0</v>
      </c>
      <c r="Z59" s="44">
        <f>MAX(IF(Z$4&gt;$E59,$I59-COUNTIF($W59:Y59,"&gt;"&amp;0),0))</f>
        <v>0</v>
      </c>
      <c r="AA59" s="44">
        <f>MAX(IF(AA$4&gt;$E59,$I59-COUNTIF($W59:Z59,"&gt;"&amp;0),0))</f>
        <v>0</v>
      </c>
      <c r="AB59" s="44">
        <f>MAX(IF(AB$4&gt;$E59,$I59-COUNTIF($W59:AA59,"&gt;"&amp;0),0))</f>
        <v>0</v>
      </c>
      <c r="AC59" s="44">
        <f>MAX(IF(AC$4&gt;$E59,$I59-COUNTIF($W59:AB59,"&gt;"&amp;0),0))</f>
        <v>0</v>
      </c>
      <c r="AD59" s="44">
        <f>MAX(IF(AD$4&gt;$E59,$I59-COUNTIF($W59:AC59,"&gt;"&amp;0),0))</f>
        <v>0</v>
      </c>
      <c r="AE59" s="44">
        <f>MAX(IF(AE$4&gt;$E59,$I59-COUNTIF($W59:AD59,"&gt;"&amp;0),0))</f>
        <v>0</v>
      </c>
      <c r="AF59" s="44">
        <f>MAX(IF(AF$4&gt;$E59,$I59-COUNTIF($W59:AE59,"&gt;"&amp;0),0))</f>
        <v>0</v>
      </c>
      <c r="AG59" s="44">
        <f>MAX(IF(AG$4&gt;$E59,$I59-COUNTIF($W59:AF59,"&gt;"&amp;0),0))</f>
        <v>0</v>
      </c>
      <c r="AH59" s="44">
        <f>MAX(IF(AH$4&gt;$E59,$I59-COUNTIF($W59:AG59,"&gt;"&amp;0),0))</f>
        <v>0</v>
      </c>
      <c r="AI59" s="44">
        <f>MAX(IF(AI$4&gt;$E59,$I59-COUNTIF($W59:AH59,"&gt;"&amp;0),0))</f>
        <v>0</v>
      </c>
      <c r="AJ59" s="44">
        <f>MAX(IF(AJ$4&gt;$E59,$I59-COUNTIF($W59:AI59,"&gt;"&amp;0),0))</f>
        <v>0</v>
      </c>
      <c r="AK59" s="44">
        <f>MAX(IF(AK$4&gt;$E59,$I59-COUNTIF($W59:AJ59,"&gt;"&amp;0),0))</f>
        <v>45</v>
      </c>
      <c r="AL59" s="44">
        <f>MAX(IF(AL$4&gt;$E59,$I59-COUNTIF($W59:AK59,"&gt;"&amp;0),0))</f>
        <v>44</v>
      </c>
      <c r="AM59" s="44">
        <f>MAX(IF(AM$4&gt;$E59,$I59-COUNTIF($W59:AL59,"&gt;"&amp;0),0))</f>
        <v>43</v>
      </c>
      <c r="AN59" s="44">
        <f>MAX(IF(AN$4&gt;$E59,$I59-COUNTIF($W59:AM59,"&gt;"&amp;0),0))</f>
        <v>42</v>
      </c>
      <c r="AO59" s="44">
        <f>MAX(IF(AO$4&gt;$E59,$I59-COUNTIF($W59:AN59,"&gt;"&amp;0),0))</f>
        <v>41</v>
      </c>
      <c r="AP59" s="44">
        <f>MAX(IF(AP$4&gt;$E59,$I59-COUNTIF($W59:AO59,"&gt;"&amp;0),0))</f>
        <v>40</v>
      </c>
      <c r="AQ59" s="44">
        <f>MAX(IF(AQ$4&gt;$E59,$I59-COUNTIF($W59:AP59,"&gt;"&amp;0),0))</f>
        <v>39</v>
      </c>
      <c r="AR59" s="44">
        <f>MAX(IF(AR$4&gt;$E59,$I59-COUNTIF($W59:AQ59,"&gt;"&amp;0),0))</f>
        <v>38</v>
      </c>
      <c r="AS59" s="44">
        <f>MAX(IF(AS$4&gt;$E59,$I59-COUNTIF($W59:AR59,"&gt;"&amp;0),0))</f>
        <v>37</v>
      </c>
      <c r="AT59" s="176">
        <f>MAX(IF(AT$4&gt;$E59,$I59-COUNTIF($W59:AS59,"&gt;"&amp;0),0))</f>
        <v>36</v>
      </c>
      <c r="AU59" s="160">
        <f>MAX(IF(AU$4&gt;$E59,$I59-COUNTIF($W59:AT59,"&gt;"&amp;0),0))</f>
        <v>35</v>
      </c>
      <c r="AV59" s="44">
        <f>MAX(IF(AV$4&gt;$E59,$I59-COUNTIF($W59:AU59,"&gt;"&amp;0),0))</f>
        <v>34</v>
      </c>
      <c r="AW59" s="44">
        <f>MAX(IF(AW$4&gt;$E59,$I59-COUNTIF($W59:AV59,"&gt;"&amp;0),0))</f>
        <v>33</v>
      </c>
      <c r="AX59" s="44">
        <f>MAX(IF(AX$4&gt;$E59,$I59-COUNTIF($W59:AW59,"&gt;"&amp;0),0))</f>
        <v>32</v>
      </c>
      <c r="AY59" s="44">
        <f>MAX(IF(AY$4&gt;$E59,$I59-COUNTIF($W59:AX59,"&gt;"&amp;0),0))</f>
        <v>31</v>
      </c>
      <c r="BA59" s="88" t="str">
        <f t="shared" ca="1" si="21"/>
        <v>Depreciation</v>
      </c>
      <c r="BB59" s="1" t="str">
        <f t="shared" si="22"/>
        <v>Post-vesting depreciation</v>
      </c>
      <c r="BC59" s="1" t="str">
        <f t="shared" si="23"/>
        <v>Asset life remaining</v>
      </c>
    </row>
    <row r="60" spans="5:55" x14ac:dyDescent="0.35">
      <c r="E60" s="2">
        <v>42825</v>
      </c>
      <c r="G60" t="s">
        <v>190</v>
      </c>
      <c r="I60" s="86">
        <v>45</v>
      </c>
      <c r="J60" t="s">
        <v>13</v>
      </c>
      <c r="X60" s="44">
        <f>MAX(IF(X$4&gt;$E60,$I60-COUNTIF($W60:W60,"&gt;"&amp;0),0))</f>
        <v>0</v>
      </c>
      <c r="Y60" s="44">
        <f>MAX(IF(Y$4&gt;$E60,$I60-COUNTIF($W60:X60,"&gt;"&amp;0),0))</f>
        <v>0</v>
      </c>
      <c r="Z60" s="44">
        <f>MAX(IF(Z$4&gt;$E60,$I60-COUNTIF($W60:Y60,"&gt;"&amp;0),0))</f>
        <v>0</v>
      </c>
      <c r="AA60" s="44">
        <f>MAX(IF(AA$4&gt;$E60,$I60-COUNTIF($W60:Z60,"&gt;"&amp;0),0))</f>
        <v>0</v>
      </c>
      <c r="AB60" s="44">
        <f>MAX(IF(AB$4&gt;$E60,$I60-COUNTIF($W60:AA60,"&gt;"&amp;0),0))</f>
        <v>0</v>
      </c>
      <c r="AC60" s="44">
        <f>MAX(IF(AC$4&gt;$E60,$I60-COUNTIF($W60:AB60,"&gt;"&amp;0),0))</f>
        <v>0</v>
      </c>
      <c r="AD60" s="44">
        <f>MAX(IF(AD$4&gt;$E60,$I60-COUNTIF($W60:AC60,"&gt;"&amp;0),0))</f>
        <v>0</v>
      </c>
      <c r="AE60" s="44">
        <f>MAX(IF(AE$4&gt;$E60,$I60-COUNTIF($W60:AD60,"&gt;"&amp;0),0))</f>
        <v>0</v>
      </c>
      <c r="AF60" s="44">
        <f>MAX(IF(AF$4&gt;$E60,$I60-COUNTIF($W60:AE60,"&gt;"&amp;0),0))</f>
        <v>0</v>
      </c>
      <c r="AG60" s="44">
        <f>MAX(IF(AG$4&gt;$E60,$I60-COUNTIF($W60:AF60,"&gt;"&amp;0),0))</f>
        <v>0</v>
      </c>
      <c r="AH60" s="44">
        <f>MAX(IF(AH$4&gt;$E60,$I60-COUNTIF($W60:AG60,"&gt;"&amp;0),0))</f>
        <v>0</v>
      </c>
      <c r="AI60" s="44">
        <f>MAX(IF(AI$4&gt;$E60,$I60-COUNTIF($W60:AH60,"&gt;"&amp;0),0))</f>
        <v>0</v>
      </c>
      <c r="AJ60" s="44">
        <f>MAX(IF(AJ$4&gt;$E60,$I60-COUNTIF($W60:AI60,"&gt;"&amp;0),0))</f>
        <v>0</v>
      </c>
      <c r="AK60" s="44">
        <f>MAX(IF(AK$4&gt;$E60,$I60-COUNTIF($W60:AJ60,"&gt;"&amp;0),0))</f>
        <v>0</v>
      </c>
      <c r="AL60" s="44">
        <f>MAX(IF(AL$4&gt;$E60,$I60-COUNTIF($W60:AK60,"&gt;"&amp;0),0))</f>
        <v>45</v>
      </c>
      <c r="AM60" s="44">
        <f>MAX(IF(AM$4&gt;$E60,$I60-COUNTIF($W60:AL60,"&gt;"&amp;0),0))</f>
        <v>44</v>
      </c>
      <c r="AN60" s="44">
        <f>MAX(IF(AN$4&gt;$E60,$I60-COUNTIF($W60:AM60,"&gt;"&amp;0),0))</f>
        <v>43</v>
      </c>
      <c r="AO60" s="44">
        <f>MAX(IF(AO$4&gt;$E60,$I60-COUNTIF($W60:AN60,"&gt;"&amp;0),0))</f>
        <v>42</v>
      </c>
      <c r="AP60" s="44">
        <f>MAX(IF(AP$4&gt;$E60,$I60-COUNTIF($W60:AO60,"&gt;"&amp;0),0))</f>
        <v>41</v>
      </c>
      <c r="AQ60" s="44">
        <f>MAX(IF(AQ$4&gt;$E60,$I60-COUNTIF($W60:AP60,"&gt;"&amp;0),0))</f>
        <v>40</v>
      </c>
      <c r="AR60" s="44">
        <f>MAX(IF(AR$4&gt;$E60,$I60-COUNTIF($W60:AQ60,"&gt;"&amp;0),0))</f>
        <v>39</v>
      </c>
      <c r="AS60" s="44">
        <f>MAX(IF(AS$4&gt;$E60,$I60-COUNTIF($W60:AR60,"&gt;"&amp;0),0))</f>
        <v>38</v>
      </c>
      <c r="AT60" s="176">
        <f>MAX(IF(AT$4&gt;$E60,$I60-COUNTIF($W60:AS60,"&gt;"&amp;0),0))</f>
        <v>37</v>
      </c>
      <c r="AU60" s="160">
        <f>MAX(IF(AU$4&gt;$E60,$I60-COUNTIF($W60:AT60,"&gt;"&amp;0),0))</f>
        <v>36</v>
      </c>
      <c r="AV60" s="44">
        <f>MAX(IF(AV$4&gt;$E60,$I60-COUNTIF($W60:AU60,"&gt;"&amp;0),0))</f>
        <v>35</v>
      </c>
      <c r="AW60" s="44">
        <f>MAX(IF(AW$4&gt;$E60,$I60-COUNTIF($W60:AV60,"&gt;"&amp;0),0))</f>
        <v>34</v>
      </c>
      <c r="AX60" s="44">
        <f>MAX(IF(AX$4&gt;$E60,$I60-COUNTIF($W60:AW60,"&gt;"&amp;0),0))</f>
        <v>33</v>
      </c>
      <c r="AY60" s="44">
        <f>MAX(IF(AY$4&gt;$E60,$I60-COUNTIF($W60:AX60,"&gt;"&amp;0),0))</f>
        <v>32</v>
      </c>
      <c r="BA60" s="88" t="str">
        <f t="shared" ca="1" si="21"/>
        <v>Depreciation</v>
      </c>
      <c r="BB60" s="1" t="str">
        <f t="shared" si="22"/>
        <v>Post-vesting depreciation</v>
      </c>
      <c r="BC60" s="1" t="str">
        <f t="shared" si="23"/>
        <v>Asset life remaining</v>
      </c>
    </row>
    <row r="61" spans="5:55" x14ac:dyDescent="0.35">
      <c r="E61" s="2">
        <v>43190</v>
      </c>
      <c r="G61" t="s">
        <v>190</v>
      </c>
      <c r="I61" s="86">
        <v>45</v>
      </c>
      <c r="J61" t="s">
        <v>13</v>
      </c>
      <c r="X61" s="44">
        <f>MAX(IF(X$4&gt;$E61,$I61-COUNTIF($W61:W61,"&gt;"&amp;0),0))</f>
        <v>0</v>
      </c>
      <c r="Y61" s="44">
        <f>MAX(IF(Y$4&gt;$E61,$I61-COUNTIF($W61:X61,"&gt;"&amp;0),0))</f>
        <v>0</v>
      </c>
      <c r="Z61" s="44">
        <f>MAX(IF(Z$4&gt;$E61,$I61-COUNTIF($W61:Y61,"&gt;"&amp;0),0))</f>
        <v>0</v>
      </c>
      <c r="AA61" s="44">
        <f>MAX(IF(AA$4&gt;$E61,$I61-COUNTIF($W61:Z61,"&gt;"&amp;0),0))</f>
        <v>0</v>
      </c>
      <c r="AB61" s="44">
        <f>MAX(IF(AB$4&gt;$E61,$I61-COUNTIF($W61:AA61,"&gt;"&amp;0),0))</f>
        <v>0</v>
      </c>
      <c r="AC61" s="44">
        <f>MAX(IF(AC$4&gt;$E61,$I61-COUNTIF($W61:AB61,"&gt;"&amp;0),0))</f>
        <v>0</v>
      </c>
      <c r="AD61" s="44">
        <f>MAX(IF(AD$4&gt;$E61,$I61-COUNTIF($W61:AC61,"&gt;"&amp;0),0))</f>
        <v>0</v>
      </c>
      <c r="AE61" s="44">
        <f>MAX(IF(AE$4&gt;$E61,$I61-COUNTIF($W61:AD61,"&gt;"&amp;0),0))</f>
        <v>0</v>
      </c>
      <c r="AF61" s="44">
        <f>MAX(IF(AF$4&gt;$E61,$I61-COUNTIF($W61:AE61,"&gt;"&amp;0),0))</f>
        <v>0</v>
      </c>
      <c r="AG61" s="44">
        <f>MAX(IF(AG$4&gt;$E61,$I61-COUNTIF($W61:AF61,"&gt;"&amp;0),0))</f>
        <v>0</v>
      </c>
      <c r="AH61" s="44">
        <f>MAX(IF(AH$4&gt;$E61,$I61-COUNTIF($W61:AG61,"&gt;"&amp;0),0))</f>
        <v>0</v>
      </c>
      <c r="AI61" s="44">
        <f>MAX(IF(AI$4&gt;$E61,$I61-COUNTIF($W61:AH61,"&gt;"&amp;0),0))</f>
        <v>0</v>
      </c>
      <c r="AJ61" s="44">
        <f>MAX(IF(AJ$4&gt;$E61,$I61-COUNTIF($W61:AI61,"&gt;"&amp;0),0))</f>
        <v>0</v>
      </c>
      <c r="AK61" s="44">
        <f>MAX(IF(AK$4&gt;$E61,$I61-COUNTIF($W61:AJ61,"&gt;"&amp;0),0))</f>
        <v>0</v>
      </c>
      <c r="AL61" s="44">
        <f>MAX(IF(AL$4&gt;$E61,$I61-COUNTIF($W61:AK61,"&gt;"&amp;0),0))</f>
        <v>0</v>
      </c>
      <c r="AM61" s="44">
        <f>MAX(IF(AM$4&gt;$E61,$I61-COUNTIF($W61:AL61,"&gt;"&amp;0),0))</f>
        <v>45</v>
      </c>
      <c r="AN61" s="44">
        <f>MAX(IF(AN$4&gt;$E61,$I61-COUNTIF($W61:AM61,"&gt;"&amp;0),0))</f>
        <v>44</v>
      </c>
      <c r="AO61" s="44">
        <f>MAX(IF(AO$4&gt;$E61,$I61-COUNTIF($W61:AN61,"&gt;"&amp;0),0))</f>
        <v>43</v>
      </c>
      <c r="AP61" s="44">
        <f>MAX(IF(AP$4&gt;$E61,$I61-COUNTIF($W61:AO61,"&gt;"&amp;0),0))</f>
        <v>42</v>
      </c>
      <c r="AQ61" s="44">
        <f>MAX(IF(AQ$4&gt;$E61,$I61-COUNTIF($W61:AP61,"&gt;"&amp;0),0))</f>
        <v>41</v>
      </c>
      <c r="AR61" s="44">
        <f>MAX(IF(AR$4&gt;$E61,$I61-COUNTIF($W61:AQ61,"&gt;"&amp;0),0))</f>
        <v>40</v>
      </c>
      <c r="AS61" s="44">
        <f>MAX(IF(AS$4&gt;$E61,$I61-COUNTIF($W61:AR61,"&gt;"&amp;0),0))</f>
        <v>39</v>
      </c>
      <c r="AT61" s="176">
        <f>MAX(IF(AT$4&gt;$E61,$I61-COUNTIF($W61:AS61,"&gt;"&amp;0),0))</f>
        <v>38</v>
      </c>
      <c r="AU61" s="160">
        <f>MAX(IF(AU$4&gt;$E61,$I61-COUNTIF($W61:AT61,"&gt;"&amp;0),0))</f>
        <v>37</v>
      </c>
      <c r="AV61" s="44">
        <f>MAX(IF(AV$4&gt;$E61,$I61-COUNTIF($W61:AU61,"&gt;"&amp;0),0))</f>
        <v>36</v>
      </c>
      <c r="AW61" s="44">
        <f>MAX(IF(AW$4&gt;$E61,$I61-COUNTIF($W61:AV61,"&gt;"&amp;0),0))</f>
        <v>35</v>
      </c>
      <c r="AX61" s="44">
        <f>MAX(IF(AX$4&gt;$E61,$I61-COUNTIF($W61:AW61,"&gt;"&amp;0),0))</f>
        <v>34</v>
      </c>
      <c r="AY61" s="44">
        <f>MAX(IF(AY$4&gt;$E61,$I61-COUNTIF($W61:AX61,"&gt;"&amp;0),0))</f>
        <v>33</v>
      </c>
      <c r="BA61" s="88" t="str">
        <f t="shared" ca="1" si="21"/>
        <v>Depreciation</v>
      </c>
      <c r="BB61" s="1" t="str">
        <f t="shared" si="22"/>
        <v>Post-vesting depreciation</v>
      </c>
      <c r="BC61" s="1" t="str">
        <f t="shared" si="23"/>
        <v>Asset life remaining</v>
      </c>
    </row>
    <row r="62" spans="5:55" x14ac:dyDescent="0.35">
      <c r="E62" s="2">
        <v>43555</v>
      </c>
      <c r="G62" t="s">
        <v>190</v>
      </c>
      <c r="I62" s="86">
        <v>45</v>
      </c>
      <c r="J62" t="s">
        <v>13</v>
      </c>
      <c r="X62" s="44">
        <f>MAX(IF(X$4&gt;$E62,$I62-COUNTIF($W62:W62,"&gt;"&amp;0),0))</f>
        <v>0</v>
      </c>
      <c r="Y62" s="44">
        <f>MAX(IF(Y$4&gt;$E62,$I62-COUNTIF($W62:X62,"&gt;"&amp;0),0))</f>
        <v>0</v>
      </c>
      <c r="Z62" s="44">
        <f>MAX(IF(Z$4&gt;$E62,$I62-COUNTIF($W62:Y62,"&gt;"&amp;0),0))</f>
        <v>0</v>
      </c>
      <c r="AA62" s="44">
        <f>MAX(IF(AA$4&gt;$E62,$I62-COUNTIF($W62:Z62,"&gt;"&amp;0),0))</f>
        <v>0</v>
      </c>
      <c r="AB62" s="44">
        <f>MAX(IF(AB$4&gt;$E62,$I62-COUNTIF($W62:AA62,"&gt;"&amp;0),0))</f>
        <v>0</v>
      </c>
      <c r="AC62" s="44">
        <f>MAX(IF(AC$4&gt;$E62,$I62-COUNTIF($W62:AB62,"&gt;"&amp;0),0))</f>
        <v>0</v>
      </c>
      <c r="AD62" s="44">
        <f>MAX(IF(AD$4&gt;$E62,$I62-COUNTIF($W62:AC62,"&gt;"&amp;0),0))</f>
        <v>0</v>
      </c>
      <c r="AE62" s="44">
        <f>MAX(IF(AE$4&gt;$E62,$I62-COUNTIF($W62:AD62,"&gt;"&amp;0),0))</f>
        <v>0</v>
      </c>
      <c r="AF62" s="44">
        <f>MAX(IF(AF$4&gt;$E62,$I62-COUNTIF($W62:AE62,"&gt;"&amp;0),0))</f>
        <v>0</v>
      </c>
      <c r="AG62" s="44">
        <f>MAX(IF(AG$4&gt;$E62,$I62-COUNTIF($W62:AF62,"&gt;"&amp;0),0))</f>
        <v>0</v>
      </c>
      <c r="AH62" s="44">
        <f>MAX(IF(AH$4&gt;$E62,$I62-COUNTIF($W62:AG62,"&gt;"&amp;0),0))</f>
        <v>0</v>
      </c>
      <c r="AI62" s="44">
        <f>MAX(IF(AI$4&gt;$E62,$I62-COUNTIF($W62:AH62,"&gt;"&amp;0),0))</f>
        <v>0</v>
      </c>
      <c r="AJ62" s="44">
        <f>MAX(IF(AJ$4&gt;$E62,$I62-COUNTIF($W62:AI62,"&gt;"&amp;0),0))</f>
        <v>0</v>
      </c>
      <c r="AK62" s="44">
        <f>MAX(IF(AK$4&gt;$E62,$I62-COUNTIF($W62:AJ62,"&gt;"&amp;0),0))</f>
        <v>0</v>
      </c>
      <c r="AL62" s="44">
        <f>MAX(IF(AL$4&gt;$E62,$I62-COUNTIF($W62:AK62,"&gt;"&amp;0),0))</f>
        <v>0</v>
      </c>
      <c r="AM62" s="44">
        <f>MAX(IF(AM$4&gt;$E62,$I62-COUNTIF($W62:AL62,"&gt;"&amp;0),0))</f>
        <v>0</v>
      </c>
      <c r="AN62" s="44">
        <f>MAX(IF(AN$4&gt;$E62,$I62-COUNTIF($W62:AM62,"&gt;"&amp;0),0))</f>
        <v>45</v>
      </c>
      <c r="AO62" s="44">
        <f>MAX(IF(AO$4&gt;$E62,$I62-COUNTIF($W62:AN62,"&gt;"&amp;0),0))</f>
        <v>44</v>
      </c>
      <c r="AP62" s="44">
        <f>MAX(IF(AP$4&gt;$E62,$I62-COUNTIF($W62:AO62,"&gt;"&amp;0),0))</f>
        <v>43</v>
      </c>
      <c r="AQ62" s="44">
        <f>MAX(IF(AQ$4&gt;$E62,$I62-COUNTIF($W62:AP62,"&gt;"&amp;0),0))</f>
        <v>42</v>
      </c>
      <c r="AR62" s="44">
        <f>MAX(IF(AR$4&gt;$E62,$I62-COUNTIF($W62:AQ62,"&gt;"&amp;0),0))</f>
        <v>41</v>
      </c>
      <c r="AS62" s="44">
        <f>MAX(IF(AS$4&gt;$E62,$I62-COUNTIF($W62:AR62,"&gt;"&amp;0),0))</f>
        <v>40</v>
      </c>
      <c r="AT62" s="176">
        <f>MAX(IF(AT$4&gt;$E62,$I62-COUNTIF($W62:AS62,"&gt;"&amp;0),0))</f>
        <v>39</v>
      </c>
      <c r="AU62" s="160">
        <f>MAX(IF(AU$4&gt;$E62,$I62-COUNTIF($W62:AT62,"&gt;"&amp;0),0))</f>
        <v>38</v>
      </c>
      <c r="AV62" s="44">
        <f>MAX(IF(AV$4&gt;$E62,$I62-COUNTIF($W62:AU62,"&gt;"&amp;0),0))</f>
        <v>37</v>
      </c>
      <c r="AW62" s="44">
        <f>MAX(IF(AW$4&gt;$E62,$I62-COUNTIF($W62:AV62,"&gt;"&amp;0),0))</f>
        <v>36</v>
      </c>
      <c r="AX62" s="44">
        <f>MAX(IF(AX$4&gt;$E62,$I62-COUNTIF($W62:AW62,"&gt;"&amp;0),0))</f>
        <v>35</v>
      </c>
      <c r="AY62" s="44">
        <f>MAX(IF(AY$4&gt;$E62,$I62-COUNTIF($W62:AX62,"&gt;"&amp;0),0))</f>
        <v>34</v>
      </c>
      <c r="BA62" s="88" t="str">
        <f t="shared" ca="1" si="21"/>
        <v>Depreciation</v>
      </c>
      <c r="BB62" s="1" t="str">
        <f t="shared" si="22"/>
        <v>Post-vesting depreciation</v>
      </c>
      <c r="BC62" s="1" t="str">
        <f t="shared" si="23"/>
        <v>Asset life remaining</v>
      </c>
    </row>
    <row r="63" spans="5:55" x14ac:dyDescent="0.35">
      <c r="E63" s="2">
        <v>43921</v>
      </c>
      <c r="G63" t="s">
        <v>190</v>
      </c>
      <c r="I63" s="86">
        <v>45</v>
      </c>
      <c r="J63" t="s">
        <v>13</v>
      </c>
      <c r="X63" s="44">
        <f>MAX(IF(X$4&gt;$E63,$I63-COUNTIF($W63:W63,"&gt;"&amp;0),0))</f>
        <v>0</v>
      </c>
      <c r="Y63" s="44">
        <f>MAX(IF(Y$4&gt;$E63,$I63-COUNTIF($W63:X63,"&gt;"&amp;0),0))</f>
        <v>0</v>
      </c>
      <c r="Z63" s="44">
        <f>MAX(IF(Z$4&gt;$E63,$I63-COUNTIF($W63:Y63,"&gt;"&amp;0),0))</f>
        <v>0</v>
      </c>
      <c r="AA63" s="44">
        <f>MAX(IF(AA$4&gt;$E63,$I63-COUNTIF($W63:Z63,"&gt;"&amp;0),0))</f>
        <v>0</v>
      </c>
      <c r="AB63" s="44">
        <f>MAX(IF(AB$4&gt;$E63,$I63-COUNTIF($W63:AA63,"&gt;"&amp;0),0))</f>
        <v>0</v>
      </c>
      <c r="AC63" s="44">
        <f>MAX(IF(AC$4&gt;$E63,$I63-COUNTIF($W63:AB63,"&gt;"&amp;0),0))</f>
        <v>0</v>
      </c>
      <c r="AD63" s="44">
        <f>MAX(IF(AD$4&gt;$E63,$I63-COUNTIF($W63:AC63,"&gt;"&amp;0),0))</f>
        <v>0</v>
      </c>
      <c r="AE63" s="44">
        <f>MAX(IF(AE$4&gt;$E63,$I63-COUNTIF($W63:AD63,"&gt;"&amp;0),0))</f>
        <v>0</v>
      </c>
      <c r="AF63" s="44">
        <f>MAX(IF(AF$4&gt;$E63,$I63-COUNTIF($W63:AE63,"&gt;"&amp;0),0))</f>
        <v>0</v>
      </c>
      <c r="AG63" s="44">
        <f>MAX(IF(AG$4&gt;$E63,$I63-COUNTIF($W63:AF63,"&gt;"&amp;0),0))</f>
        <v>0</v>
      </c>
      <c r="AH63" s="44">
        <f>MAX(IF(AH$4&gt;$E63,$I63-COUNTIF($W63:AG63,"&gt;"&amp;0),0))</f>
        <v>0</v>
      </c>
      <c r="AI63" s="44">
        <f>MAX(IF(AI$4&gt;$E63,$I63-COUNTIF($W63:AH63,"&gt;"&amp;0),0))</f>
        <v>0</v>
      </c>
      <c r="AJ63" s="44">
        <f>MAX(IF(AJ$4&gt;$E63,$I63-COUNTIF($W63:AI63,"&gt;"&amp;0),0))</f>
        <v>0</v>
      </c>
      <c r="AK63" s="44">
        <f>MAX(IF(AK$4&gt;$E63,$I63-COUNTIF($W63:AJ63,"&gt;"&amp;0),0))</f>
        <v>0</v>
      </c>
      <c r="AL63" s="44">
        <f>MAX(IF(AL$4&gt;$E63,$I63-COUNTIF($W63:AK63,"&gt;"&amp;0),0))</f>
        <v>0</v>
      </c>
      <c r="AM63" s="44">
        <f>MAX(IF(AM$4&gt;$E63,$I63-COUNTIF($W63:AL63,"&gt;"&amp;0),0))</f>
        <v>0</v>
      </c>
      <c r="AN63" s="44">
        <f>MAX(IF(AN$4&gt;$E63,$I63-COUNTIF($W63:AM63,"&gt;"&amp;0),0))</f>
        <v>0</v>
      </c>
      <c r="AO63" s="44">
        <f>MAX(IF(AO$4&gt;$E63,$I63-COUNTIF($W63:AN63,"&gt;"&amp;0),0))</f>
        <v>45</v>
      </c>
      <c r="AP63" s="44">
        <f>MAX(IF(AP$4&gt;$E63,$I63-COUNTIF($W63:AO63,"&gt;"&amp;0),0))</f>
        <v>44</v>
      </c>
      <c r="AQ63" s="44">
        <f>MAX(IF(AQ$4&gt;$E63,$I63-COUNTIF($W63:AP63,"&gt;"&amp;0),0))</f>
        <v>43</v>
      </c>
      <c r="AR63" s="44">
        <f>MAX(IF(AR$4&gt;$E63,$I63-COUNTIF($W63:AQ63,"&gt;"&amp;0),0))</f>
        <v>42</v>
      </c>
      <c r="AS63" s="44">
        <f>MAX(IF(AS$4&gt;$E63,$I63-COUNTIF($W63:AR63,"&gt;"&amp;0),0))</f>
        <v>41</v>
      </c>
      <c r="AT63" s="176">
        <f>MAX(IF(AT$4&gt;$E63,$I63-COUNTIF($W63:AS63,"&gt;"&amp;0),0))</f>
        <v>40</v>
      </c>
      <c r="AU63" s="160">
        <f>MAX(IF(AU$4&gt;$E63,$I63-COUNTIF($W63:AT63,"&gt;"&amp;0),0))</f>
        <v>39</v>
      </c>
      <c r="AV63" s="44">
        <f>MAX(IF(AV$4&gt;$E63,$I63-COUNTIF($W63:AU63,"&gt;"&amp;0),0))</f>
        <v>38</v>
      </c>
      <c r="AW63" s="44">
        <f>MAX(IF(AW$4&gt;$E63,$I63-COUNTIF($W63:AV63,"&gt;"&amp;0),0))</f>
        <v>37</v>
      </c>
      <c r="AX63" s="44">
        <f>MAX(IF(AX$4&gt;$E63,$I63-COUNTIF($W63:AW63,"&gt;"&amp;0),0))</f>
        <v>36</v>
      </c>
      <c r="AY63" s="44">
        <f>MAX(IF(AY$4&gt;$E63,$I63-COUNTIF($W63:AX63,"&gt;"&amp;0),0))</f>
        <v>35</v>
      </c>
      <c r="BA63" s="88" t="str">
        <f t="shared" ca="1" si="21"/>
        <v>Depreciation</v>
      </c>
      <c r="BB63" s="1" t="str">
        <f t="shared" si="22"/>
        <v>Post-vesting depreciation</v>
      </c>
      <c r="BC63" s="1" t="str">
        <f t="shared" si="23"/>
        <v>Asset life remaining</v>
      </c>
    </row>
    <row r="64" spans="5:55" x14ac:dyDescent="0.35">
      <c r="E64" s="2">
        <v>44286</v>
      </c>
      <c r="G64" t="s">
        <v>190</v>
      </c>
      <c r="I64" s="86">
        <v>45</v>
      </c>
      <c r="J64" t="s">
        <v>13</v>
      </c>
      <c r="X64" s="44">
        <f>MAX(IF(X$4&gt;$E64,$I64-COUNTIF($W64:W64,"&gt;"&amp;0),0))</f>
        <v>0</v>
      </c>
      <c r="Y64" s="44">
        <f>MAX(IF(Y$4&gt;$E64,$I64-COUNTIF($W64:X64,"&gt;"&amp;0),0))</f>
        <v>0</v>
      </c>
      <c r="Z64" s="44">
        <f>MAX(IF(Z$4&gt;$E64,$I64-COUNTIF($W64:Y64,"&gt;"&amp;0),0))</f>
        <v>0</v>
      </c>
      <c r="AA64" s="44">
        <f>MAX(IF(AA$4&gt;$E64,$I64-COUNTIF($W64:Z64,"&gt;"&amp;0),0))</f>
        <v>0</v>
      </c>
      <c r="AB64" s="44">
        <f>MAX(IF(AB$4&gt;$E64,$I64-COUNTIF($W64:AA64,"&gt;"&amp;0),0))</f>
        <v>0</v>
      </c>
      <c r="AC64" s="44">
        <f>MAX(IF(AC$4&gt;$E64,$I64-COUNTIF($W64:AB64,"&gt;"&amp;0),0))</f>
        <v>0</v>
      </c>
      <c r="AD64" s="44">
        <f>MAX(IF(AD$4&gt;$E64,$I64-COUNTIF($W64:AC64,"&gt;"&amp;0),0))</f>
        <v>0</v>
      </c>
      <c r="AE64" s="44">
        <f>MAX(IF(AE$4&gt;$E64,$I64-COUNTIF($W64:AD64,"&gt;"&amp;0),0))</f>
        <v>0</v>
      </c>
      <c r="AF64" s="44">
        <f>MAX(IF(AF$4&gt;$E64,$I64-COUNTIF($W64:AE64,"&gt;"&amp;0),0))</f>
        <v>0</v>
      </c>
      <c r="AG64" s="44">
        <f>MAX(IF(AG$4&gt;$E64,$I64-COUNTIF($W64:AF64,"&gt;"&amp;0),0))</f>
        <v>0</v>
      </c>
      <c r="AH64" s="44">
        <f>MAX(IF(AH$4&gt;$E64,$I64-COUNTIF($W64:AG64,"&gt;"&amp;0),0))</f>
        <v>0</v>
      </c>
      <c r="AI64" s="44">
        <f>MAX(IF(AI$4&gt;$E64,$I64-COUNTIF($W64:AH64,"&gt;"&amp;0),0))</f>
        <v>0</v>
      </c>
      <c r="AJ64" s="44">
        <f>MAX(IF(AJ$4&gt;$E64,$I64-COUNTIF($W64:AI64,"&gt;"&amp;0),0))</f>
        <v>0</v>
      </c>
      <c r="AK64" s="44">
        <f>MAX(IF(AK$4&gt;$E64,$I64-COUNTIF($W64:AJ64,"&gt;"&amp;0),0))</f>
        <v>0</v>
      </c>
      <c r="AL64" s="44">
        <f>MAX(IF(AL$4&gt;$E64,$I64-COUNTIF($W64:AK64,"&gt;"&amp;0),0))</f>
        <v>0</v>
      </c>
      <c r="AM64" s="44">
        <f>MAX(IF(AM$4&gt;$E64,$I64-COUNTIF($W64:AL64,"&gt;"&amp;0),0))</f>
        <v>0</v>
      </c>
      <c r="AN64" s="44">
        <f>MAX(IF(AN$4&gt;$E64,$I64-COUNTIF($W64:AM64,"&gt;"&amp;0),0))</f>
        <v>0</v>
      </c>
      <c r="AO64" s="44">
        <f>MAX(IF(AO$4&gt;$E64,$I64-COUNTIF($W64:AN64,"&gt;"&amp;0),0))</f>
        <v>0</v>
      </c>
      <c r="AP64" s="44">
        <f>MAX(IF(AP$4&gt;$E64,$I64-COUNTIF($W64:AO64,"&gt;"&amp;0),0))</f>
        <v>45</v>
      </c>
      <c r="AQ64" s="44">
        <f>MAX(IF(AQ$4&gt;$E64,$I64-COUNTIF($W64:AP64,"&gt;"&amp;0),0))</f>
        <v>44</v>
      </c>
      <c r="AR64" s="44">
        <f>MAX(IF(AR$4&gt;$E64,$I64-COUNTIF($W64:AQ64,"&gt;"&amp;0),0))</f>
        <v>43</v>
      </c>
      <c r="AS64" s="44">
        <f>MAX(IF(AS$4&gt;$E64,$I64-COUNTIF($W64:AR64,"&gt;"&amp;0),0))</f>
        <v>42</v>
      </c>
      <c r="AT64" s="176">
        <f>MAX(IF(AT$4&gt;$E64,$I64-COUNTIF($W64:AS64,"&gt;"&amp;0),0))</f>
        <v>41</v>
      </c>
      <c r="AU64" s="160">
        <f>MAX(IF(AU$4&gt;$E64,$I64-COUNTIF($W64:AT64,"&gt;"&amp;0),0))</f>
        <v>40</v>
      </c>
      <c r="AV64" s="44">
        <f>MAX(IF(AV$4&gt;$E64,$I64-COUNTIF($W64:AU64,"&gt;"&amp;0),0))</f>
        <v>39</v>
      </c>
      <c r="AW64" s="44">
        <f>MAX(IF(AW$4&gt;$E64,$I64-COUNTIF($W64:AV64,"&gt;"&amp;0),0))</f>
        <v>38</v>
      </c>
      <c r="AX64" s="44">
        <f>MAX(IF(AX$4&gt;$E64,$I64-COUNTIF($W64:AW64,"&gt;"&amp;0),0))</f>
        <v>37</v>
      </c>
      <c r="AY64" s="44">
        <f>MAX(IF(AY$4&gt;$E64,$I64-COUNTIF($W64:AX64,"&gt;"&amp;0),0))</f>
        <v>36</v>
      </c>
      <c r="BA64" s="88" t="str">
        <f t="shared" ca="1" si="21"/>
        <v>Depreciation</v>
      </c>
      <c r="BB64" s="1" t="str">
        <f t="shared" si="22"/>
        <v>Post-vesting depreciation</v>
      </c>
      <c r="BC64" s="1" t="str">
        <f t="shared" si="23"/>
        <v>Asset life remaining</v>
      </c>
    </row>
    <row r="65" spans="1:55" x14ac:dyDescent="0.35">
      <c r="E65" s="2">
        <v>44651</v>
      </c>
      <c r="G65" t="s">
        <v>190</v>
      </c>
      <c r="I65" s="86">
        <v>45</v>
      </c>
      <c r="J65" t="s">
        <v>13</v>
      </c>
      <c r="X65" s="44">
        <f>MAX(IF(X$4&gt;$E65,$I65-COUNTIF($W65:W65,"&gt;"&amp;0),0))</f>
        <v>0</v>
      </c>
      <c r="Y65" s="44">
        <f>MAX(IF(Y$4&gt;$E65,$I65-COUNTIF($W65:X65,"&gt;"&amp;0),0))</f>
        <v>0</v>
      </c>
      <c r="Z65" s="44">
        <f>MAX(IF(Z$4&gt;$E65,$I65-COUNTIF($W65:Y65,"&gt;"&amp;0),0))</f>
        <v>0</v>
      </c>
      <c r="AA65" s="44">
        <f>MAX(IF(AA$4&gt;$E65,$I65-COUNTIF($W65:Z65,"&gt;"&amp;0),0))</f>
        <v>0</v>
      </c>
      <c r="AB65" s="44">
        <f>MAX(IF(AB$4&gt;$E65,$I65-COUNTIF($W65:AA65,"&gt;"&amp;0),0))</f>
        <v>0</v>
      </c>
      <c r="AC65" s="44">
        <f>MAX(IF(AC$4&gt;$E65,$I65-COUNTIF($W65:AB65,"&gt;"&amp;0),0))</f>
        <v>0</v>
      </c>
      <c r="AD65" s="44">
        <f>MAX(IF(AD$4&gt;$E65,$I65-COUNTIF($W65:AC65,"&gt;"&amp;0),0))</f>
        <v>0</v>
      </c>
      <c r="AE65" s="44">
        <f>MAX(IF(AE$4&gt;$E65,$I65-COUNTIF($W65:AD65,"&gt;"&amp;0),0))</f>
        <v>0</v>
      </c>
      <c r="AF65" s="44">
        <f>MAX(IF(AF$4&gt;$E65,$I65-COUNTIF($W65:AE65,"&gt;"&amp;0),0))</f>
        <v>0</v>
      </c>
      <c r="AG65" s="44">
        <f>MAX(IF(AG$4&gt;$E65,$I65-COUNTIF($W65:AF65,"&gt;"&amp;0),0))</f>
        <v>0</v>
      </c>
      <c r="AH65" s="44">
        <f>MAX(IF(AH$4&gt;$E65,$I65-COUNTIF($W65:AG65,"&gt;"&amp;0),0))</f>
        <v>0</v>
      </c>
      <c r="AI65" s="44">
        <f>MAX(IF(AI$4&gt;$E65,$I65-COUNTIF($W65:AH65,"&gt;"&amp;0),0))</f>
        <v>0</v>
      </c>
      <c r="AJ65" s="44">
        <f>MAX(IF(AJ$4&gt;$E65,$I65-COUNTIF($W65:AI65,"&gt;"&amp;0),0))</f>
        <v>0</v>
      </c>
      <c r="AK65" s="44">
        <f>MAX(IF(AK$4&gt;$E65,$I65-COUNTIF($W65:AJ65,"&gt;"&amp;0),0))</f>
        <v>0</v>
      </c>
      <c r="AL65" s="44">
        <f>MAX(IF(AL$4&gt;$E65,$I65-COUNTIF($W65:AK65,"&gt;"&amp;0),0))</f>
        <v>0</v>
      </c>
      <c r="AM65" s="44">
        <f>MAX(IF(AM$4&gt;$E65,$I65-COUNTIF($W65:AL65,"&gt;"&amp;0),0))</f>
        <v>0</v>
      </c>
      <c r="AN65" s="44">
        <f>MAX(IF(AN$4&gt;$E65,$I65-COUNTIF($W65:AM65,"&gt;"&amp;0),0))</f>
        <v>0</v>
      </c>
      <c r="AO65" s="44">
        <f>MAX(IF(AO$4&gt;$E65,$I65-COUNTIF($W65:AN65,"&gt;"&amp;0),0))</f>
        <v>0</v>
      </c>
      <c r="AP65" s="44">
        <f>MAX(IF(AP$4&gt;$E65,$I65-COUNTIF($W65:AO65,"&gt;"&amp;0),0))</f>
        <v>0</v>
      </c>
      <c r="AQ65" s="44">
        <f>MAX(IF(AQ$4&gt;$E65,$I65-COUNTIF($W65:AP65,"&gt;"&amp;0),0))</f>
        <v>45</v>
      </c>
      <c r="AR65" s="44">
        <f>MAX(IF(AR$4&gt;$E65,$I65-COUNTIF($W65:AQ65,"&gt;"&amp;0),0))</f>
        <v>44</v>
      </c>
      <c r="AS65" s="44">
        <f>MAX(IF(AS$4&gt;$E65,$I65-COUNTIF($W65:AR65,"&gt;"&amp;0),0))</f>
        <v>43</v>
      </c>
      <c r="AT65" s="176">
        <f>MAX(IF(AT$4&gt;$E65,$I65-COUNTIF($W65:AS65,"&gt;"&amp;0),0))</f>
        <v>42</v>
      </c>
      <c r="AU65" s="160">
        <f>MAX(IF(AU$4&gt;$E65,$I65-COUNTIF($W65:AT65,"&gt;"&amp;0),0))</f>
        <v>41</v>
      </c>
      <c r="AV65" s="44">
        <f>MAX(IF(AV$4&gt;$E65,$I65-COUNTIF($W65:AU65,"&gt;"&amp;0),0))</f>
        <v>40</v>
      </c>
      <c r="AW65" s="44">
        <f>MAX(IF(AW$4&gt;$E65,$I65-COUNTIF($W65:AV65,"&gt;"&amp;0),0))</f>
        <v>39</v>
      </c>
      <c r="AX65" s="44">
        <f>MAX(IF(AX$4&gt;$E65,$I65-COUNTIF($W65:AW65,"&gt;"&amp;0),0))</f>
        <v>38</v>
      </c>
      <c r="AY65" s="44">
        <f>MAX(IF(AY$4&gt;$E65,$I65-COUNTIF($W65:AX65,"&gt;"&amp;0),0))</f>
        <v>37</v>
      </c>
      <c r="BA65" s="88" t="str">
        <f t="shared" ca="1" si="21"/>
        <v>Depreciation</v>
      </c>
      <c r="BB65" s="1" t="str">
        <f t="shared" si="22"/>
        <v>Post-vesting depreciation</v>
      </c>
      <c r="BC65" s="1" t="str">
        <f t="shared" si="23"/>
        <v>Asset life remaining</v>
      </c>
    </row>
    <row r="66" spans="1:55" x14ac:dyDescent="0.35">
      <c r="E66" s="2">
        <v>45016</v>
      </c>
      <c r="G66" t="s">
        <v>190</v>
      </c>
      <c r="I66" s="86">
        <v>45</v>
      </c>
      <c r="J66" t="s">
        <v>13</v>
      </c>
      <c r="X66" s="44">
        <f>MAX(IF(X$4&gt;$E66,$I66-COUNTIF($W66:W66,"&gt;"&amp;0),0))</f>
        <v>0</v>
      </c>
      <c r="Y66" s="44">
        <f>MAX(IF(Y$4&gt;$E66,$I66-COUNTIF($W66:X66,"&gt;"&amp;0),0))</f>
        <v>0</v>
      </c>
      <c r="Z66" s="44">
        <f>MAX(IF(Z$4&gt;$E66,$I66-COUNTIF($W66:Y66,"&gt;"&amp;0),0))</f>
        <v>0</v>
      </c>
      <c r="AA66" s="44">
        <f>MAX(IF(AA$4&gt;$E66,$I66-COUNTIF($W66:Z66,"&gt;"&amp;0),0))</f>
        <v>0</v>
      </c>
      <c r="AB66" s="44">
        <f>MAX(IF(AB$4&gt;$E66,$I66-COUNTIF($W66:AA66,"&gt;"&amp;0),0))</f>
        <v>0</v>
      </c>
      <c r="AC66" s="44">
        <f>MAX(IF(AC$4&gt;$E66,$I66-COUNTIF($W66:AB66,"&gt;"&amp;0),0))</f>
        <v>0</v>
      </c>
      <c r="AD66" s="44">
        <f>MAX(IF(AD$4&gt;$E66,$I66-COUNTIF($W66:AC66,"&gt;"&amp;0),0))</f>
        <v>0</v>
      </c>
      <c r="AE66" s="44">
        <f>MAX(IF(AE$4&gt;$E66,$I66-COUNTIF($W66:AD66,"&gt;"&amp;0),0))</f>
        <v>0</v>
      </c>
      <c r="AF66" s="44">
        <f>MAX(IF(AF$4&gt;$E66,$I66-COUNTIF($W66:AE66,"&gt;"&amp;0),0))</f>
        <v>0</v>
      </c>
      <c r="AG66" s="44">
        <f>MAX(IF(AG$4&gt;$E66,$I66-COUNTIF($W66:AF66,"&gt;"&amp;0),0))</f>
        <v>0</v>
      </c>
      <c r="AH66" s="44">
        <f>MAX(IF(AH$4&gt;$E66,$I66-COUNTIF($W66:AG66,"&gt;"&amp;0),0))</f>
        <v>0</v>
      </c>
      <c r="AI66" s="44">
        <f>MAX(IF(AI$4&gt;$E66,$I66-COUNTIF($W66:AH66,"&gt;"&amp;0),0))</f>
        <v>0</v>
      </c>
      <c r="AJ66" s="44">
        <f>MAX(IF(AJ$4&gt;$E66,$I66-COUNTIF($W66:AI66,"&gt;"&amp;0),0))</f>
        <v>0</v>
      </c>
      <c r="AK66" s="44">
        <f>MAX(IF(AK$4&gt;$E66,$I66-COUNTIF($W66:AJ66,"&gt;"&amp;0),0))</f>
        <v>0</v>
      </c>
      <c r="AL66" s="44">
        <f>MAX(IF(AL$4&gt;$E66,$I66-COUNTIF($W66:AK66,"&gt;"&amp;0),0))</f>
        <v>0</v>
      </c>
      <c r="AM66" s="44">
        <f>MAX(IF(AM$4&gt;$E66,$I66-COUNTIF($W66:AL66,"&gt;"&amp;0),0))</f>
        <v>0</v>
      </c>
      <c r="AN66" s="44">
        <f>MAX(IF(AN$4&gt;$E66,$I66-COUNTIF($W66:AM66,"&gt;"&amp;0),0))</f>
        <v>0</v>
      </c>
      <c r="AO66" s="44">
        <f>MAX(IF(AO$4&gt;$E66,$I66-COUNTIF($W66:AN66,"&gt;"&amp;0),0))</f>
        <v>0</v>
      </c>
      <c r="AP66" s="44">
        <f>MAX(IF(AP$4&gt;$E66,$I66-COUNTIF($W66:AO66,"&gt;"&amp;0),0))</f>
        <v>0</v>
      </c>
      <c r="AQ66" s="44">
        <f>MAX(IF(AQ$4&gt;$E66,$I66-COUNTIF($W66:AP66,"&gt;"&amp;0),0))</f>
        <v>0</v>
      </c>
      <c r="AR66" s="44">
        <f>MAX(IF(AR$4&gt;$E66,$I66-COUNTIF($W66:AQ66,"&gt;"&amp;0),0))</f>
        <v>45</v>
      </c>
      <c r="AS66" s="44">
        <f>MAX(IF(AS$4&gt;$E66,$I66-COUNTIF($W66:AR66,"&gt;"&amp;0),0))</f>
        <v>44</v>
      </c>
      <c r="AT66" s="176">
        <f>MAX(IF(AT$4&gt;$E66,$I66-COUNTIF($W66:AS66,"&gt;"&amp;0),0))</f>
        <v>43</v>
      </c>
      <c r="AU66" s="160">
        <f>MAX(IF(AU$4&gt;$E66,$I66-COUNTIF($W66:AT66,"&gt;"&amp;0),0))</f>
        <v>42</v>
      </c>
      <c r="AV66" s="44">
        <f>MAX(IF(AV$4&gt;$E66,$I66-COUNTIF($W66:AU66,"&gt;"&amp;0),0))</f>
        <v>41</v>
      </c>
      <c r="AW66" s="44">
        <f>MAX(IF(AW$4&gt;$E66,$I66-COUNTIF($W66:AV66,"&gt;"&amp;0),0))</f>
        <v>40</v>
      </c>
      <c r="AX66" s="44">
        <f>MAX(IF(AX$4&gt;$E66,$I66-COUNTIF($W66:AW66,"&gt;"&amp;0),0))</f>
        <v>39</v>
      </c>
      <c r="AY66" s="44">
        <f>MAX(IF(AY$4&gt;$E66,$I66-COUNTIF($W66:AX66,"&gt;"&amp;0),0))</f>
        <v>38</v>
      </c>
      <c r="BA66" s="88" t="str">
        <f t="shared" ca="1" si="21"/>
        <v>Depreciation</v>
      </c>
      <c r="BB66" s="1" t="str">
        <f t="shared" si="22"/>
        <v>Post-vesting depreciation</v>
      </c>
      <c r="BC66" s="1" t="str">
        <f t="shared" si="23"/>
        <v>Asset life remaining</v>
      </c>
    </row>
    <row r="67" spans="1:55" x14ac:dyDescent="0.35">
      <c r="E67" s="2">
        <v>45382</v>
      </c>
      <c r="G67" t="s">
        <v>190</v>
      </c>
      <c r="I67" s="86">
        <v>45</v>
      </c>
      <c r="J67" t="s">
        <v>13</v>
      </c>
      <c r="X67" s="44">
        <f>MAX(IF(X$4&gt;$E67,$I67-COUNTIF($W67:W67,"&gt;"&amp;0),0))</f>
        <v>0</v>
      </c>
      <c r="Y67" s="44">
        <f>MAX(IF(Y$4&gt;$E67,$I67-COUNTIF($W67:X67,"&gt;"&amp;0),0))</f>
        <v>0</v>
      </c>
      <c r="Z67" s="44">
        <f>MAX(IF(Z$4&gt;$E67,$I67-COUNTIF($W67:Y67,"&gt;"&amp;0),0))</f>
        <v>0</v>
      </c>
      <c r="AA67" s="44">
        <f>MAX(IF(AA$4&gt;$E67,$I67-COUNTIF($W67:Z67,"&gt;"&amp;0),0))</f>
        <v>0</v>
      </c>
      <c r="AB67" s="44">
        <f>MAX(IF(AB$4&gt;$E67,$I67-COUNTIF($W67:AA67,"&gt;"&amp;0),0))</f>
        <v>0</v>
      </c>
      <c r="AC67" s="44">
        <f>MAX(IF(AC$4&gt;$E67,$I67-COUNTIF($W67:AB67,"&gt;"&amp;0),0))</f>
        <v>0</v>
      </c>
      <c r="AD67" s="44">
        <f>MAX(IF(AD$4&gt;$E67,$I67-COUNTIF($W67:AC67,"&gt;"&amp;0),0))</f>
        <v>0</v>
      </c>
      <c r="AE67" s="44">
        <f>MAX(IF(AE$4&gt;$E67,$I67-COUNTIF($W67:AD67,"&gt;"&amp;0),0))</f>
        <v>0</v>
      </c>
      <c r="AF67" s="44">
        <f>MAX(IF(AF$4&gt;$E67,$I67-COUNTIF($W67:AE67,"&gt;"&amp;0),0))</f>
        <v>0</v>
      </c>
      <c r="AG67" s="44">
        <f>MAX(IF(AG$4&gt;$E67,$I67-COUNTIF($W67:AF67,"&gt;"&amp;0),0))</f>
        <v>0</v>
      </c>
      <c r="AH67" s="44">
        <f>MAX(IF(AH$4&gt;$E67,$I67-COUNTIF($W67:AG67,"&gt;"&amp;0),0))</f>
        <v>0</v>
      </c>
      <c r="AI67" s="44">
        <f>MAX(IF(AI$4&gt;$E67,$I67-COUNTIF($W67:AH67,"&gt;"&amp;0),0))</f>
        <v>0</v>
      </c>
      <c r="AJ67" s="44">
        <f>MAX(IF(AJ$4&gt;$E67,$I67-COUNTIF($W67:AI67,"&gt;"&amp;0),0))</f>
        <v>0</v>
      </c>
      <c r="AK67" s="44">
        <f>MAX(IF(AK$4&gt;$E67,$I67-COUNTIF($W67:AJ67,"&gt;"&amp;0),0))</f>
        <v>0</v>
      </c>
      <c r="AL67" s="44">
        <f>MAX(IF(AL$4&gt;$E67,$I67-COUNTIF($W67:AK67,"&gt;"&amp;0),0))</f>
        <v>0</v>
      </c>
      <c r="AM67" s="44">
        <f>MAX(IF(AM$4&gt;$E67,$I67-COUNTIF($W67:AL67,"&gt;"&amp;0),0))</f>
        <v>0</v>
      </c>
      <c r="AN67" s="44">
        <f>MAX(IF(AN$4&gt;$E67,$I67-COUNTIF($W67:AM67,"&gt;"&amp;0),0))</f>
        <v>0</v>
      </c>
      <c r="AO67" s="44">
        <f>MAX(IF(AO$4&gt;$E67,$I67-COUNTIF($W67:AN67,"&gt;"&amp;0),0))</f>
        <v>0</v>
      </c>
      <c r="AP67" s="44">
        <f>MAX(IF(AP$4&gt;$E67,$I67-COUNTIF($W67:AO67,"&gt;"&amp;0),0))</f>
        <v>0</v>
      </c>
      <c r="AQ67" s="44">
        <f>MAX(IF(AQ$4&gt;$E67,$I67-COUNTIF($W67:AP67,"&gt;"&amp;0),0))</f>
        <v>0</v>
      </c>
      <c r="AR67" s="44">
        <f>MAX(IF(AR$4&gt;$E67,$I67-COUNTIF($W67:AQ67,"&gt;"&amp;0),0))</f>
        <v>0</v>
      </c>
      <c r="AS67" s="44">
        <f>MAX(IF(AS$4&gt;$E67,$I67-COUNTIF($W67:AR67,"&gt;"&amp;0),0))</f>
        <v>45</v>
      </c>
      <c r="AT67" s="176">
        <f>MAX(IF(AT$4&gt;$E67,$I67-COUNTIF($W67:AS67,"&gt;"&amp;0),0))</f>
        <v>44</v>
      </c>
      <c r="AU67" s="160">
        <f>MAX(IF(AU$4&gt;$E67,$I67-COUNTIF($W67:AT67,"&gt;"&amp;0),0))</f>
        <v>43</v>
      </c>
      <c r="AV67" s="44">
        <f>MAX(IF(AV$4&gt;$E67,$I67-COUNTIF($W67:AU67,"&gt;"&amp;0),0))</f>
        <v>42</v>
      </c>
      <c r="AW67" s="44">
        <f>MAX(IF(AW$4&gt;$E67,$I67-COUNTIF($W67:AV67,"&gt;"&amp;0),0))</f>
        <v>41</v>
      </c>
      <c r="AX67" s="44">
        <f>MAX(IF(AX$4&gt;$E67,$I67-COUNTIF($W67:AW67,"&gt;"&amp;0),0))</f>
        <v>40</v>
      </c>
      <c r="AY67" s="44">
        <f>MAX(IF(AY$4&gt;$E67,$I67-COUNTIF($W67:AX67,"&gt;"&amp;0),0))</f>
        <v>39</v>
      </c>
      <c r="BA67" s="88" t="str">
        <f t="shared" ca="1" si="21"/>
        <v>Depreciation</v>
      </c>
      <c r="BB67" s="1" t="str">
        <f t="shared" si="22"/>
        <v>Post-vesting depreciation</v>
      </c>
      <c r="BC67" s="1" t="str">
        <f t="shared" si="23"/>
        <v>Asset life remaining</v>
      </c>
    </row>
    <row r="68" spans="1:55" x14ac:dyDescent="0.35">
      <c r="E68" s="2">
        <v>45747</v>
      </c>
      <c r="G68" t="s">
        <v>190</v>
      </c>
      <c r="I68" s="86">
        <v>45</v>
      </c>
      <c r="J68" t="s">
        <v>13</v>
      </c>
      <c r="X68" s="44">
        <f>MAX(IF(X$4&gt;$E68,$I68-COUNTIF($W68:W68,"&gt;"&amp;0),0))</f>
        <v>0</v>
      </c>
      <c r="Y68" s="44">
        <f>MAX(IF(Y$4&gt;$E68,$I68-COUNTIF($W68:X68,"&gt;"&amp;0),0))</f>
        <v>0</v>
      </c>
      <c r="Z68" s="44">
        <f>MAX(IF(Z$4&gt;$E68,$I68-COUNTIF($W68:Y68,"&gt;"&amp;0),0))</f>
        <v>0</v>
      </c>
      <c r="AA68" s="44">
        <f>MAX(IF(AA$4&gt;$E68,$I68-COUNTIF($W68:Z68,"&gt;"&amp;0),0))</f>
        <v>0</v>
      </c>
      <c r="AB68" s="44">
        <f>MAX(IF(AB$4&gt;$E68,$I68-COUNTIF($W68:AA68,"&gt;"&amp;0),0))</f>
        <v>0</v>
      </c>
      <c r="AC68" s="44">
        <f>MAX(IF(AC$4&gt;$E68,$I68-COUNTIF($W68:AB68,"&gt;"&amp;0),0))</f>
        <v>0</v>
      </c>
      <c r="AD68" s="44">
        <f>MAX(IF(AD$4&gt;$E68,$I68-COUNTIF($W68:AC68,"&gt;"&amp;0),0))</f>
        <v>0</v>
      </c>
      <c r="AE68" s="44">
        <f>MAX(IF(AE$4&gt;$E68,$I68-COUNTIF($W68:AD68,"&gt;"&amp;0),0))</f>
        <v>0</v>
      </c>
      <c r="AF68" s="44">
        <f>MAX(IF(AF$4&gt;$E68,$I68-COUNTIF($W68:AE68,"&gt;"&amp;0),0))</f>
        <v>0</v>
      </c>
      <c r="AG68" s="44">
        <f>MAX(IF(AG$4&gt;$E68,$I68-COUNTIF($W68:AF68,"&gt;"&amp;0),0))</f>
        <v>0</v>
      </c>
      <c r="AH68" s="44">
        <f>MAX(IF(AH$4&gt;$E68,$I68-COUNTIF($W68:AG68,"&gt;"&amp;0),0))</f>
        <v>0</v>
      </c>
      <c r="AI68" s="44">
        <f>MAX(IF(AI$4&gt;$E68,$I68-COUNTIF($W68:AH68,"&gt;"&amp;0),0))</f>
        <v>0</v>
      </c>
      <c r="AJ68" s="44">
        <f>MAX(IF(AJ$4&gt;$E68,$I68-COUNTIF($W68:AI68,"&gt;"&amp;0),0))</f>
        <v>0</v>
      </c>
      <c r="AK68" s="44">
        <f>MAX(IF(AK$4&gt;$E68,$I68-COUNTIF($W68:AJ68,"&gt;"&amp;0),0))</f>
        <v>0</v>
      </c>
      <c r="AL68" s="44">
        <f>MAX(IF(AL$4&gt;$E68,$I68-COUNTIF($W68:AK68,"&gt;"&amp;0),0))</f>
        <v>0</v>
      </c>
      <c r="AM68" s="44">
        <f>MAX(IF(AM$4&gt;$E68,$I68-COUNTIF($W68:AL68,"&gt;"&amp;0),0))</f>
        <v>0</v>
      </c>
      <c r="AN68" s="44">
        <f>MAX(IF(AN$4&gt;$E68,$I68-COUNTIF($W68:AM68,"&gt;"&amp;0),0))</f>
        <v>0</v>
      </c>
      <c r="AO68" s="44">
        <f>MAX(IF(AO$4&gt;$E68,$I68-COUNTIF($W68:AN68,"&gt;"&amp;0),0))</f>
        <v>0</v>
      </c>
      <c r="AP68" s="44">
        <f>MAX(IF(AP$4&gt;$E68,$I68-COUNTIF($W68:AO68,"&gt;"&amp;0),0))</f>
        <v>0</v>
      </c>
      <c r="AQ68" s="44">
        <f>MAX(IF(AQ$4&gt;$E68,$I68-COUNTIF($W68:AP68,"&gt;"&amp;0),0))</f>
        <v>0</v>
      </c>
      <c r="AR68" s="44">
        <f>MAX(IF(AR$4&gt;$E68,$I68-COUNTIF($W68:AQ68,"&gt;"&amp;0),0))</f>
        <v>0</v>
      </c>
      <c r="AS68" s="44">
        <f>MAX(IF(AS$4&gt;$E68,$I68-COUNTIF($W68:AR68,"&gt;"&amp;0),0))</f>
        <v>0</v>
      </c>
      <c r="AT68" s="176">
        <f>MAX(IF(AT$4&gt;$E68,$I68-COUNTIF($W68:AS68,"&gt;"&amp;0),0))</f>
        <v>45</v>
      </c>
      <c r="AU68" s="160">
        <f>MAX(IF(AU$4&gt;$E68,$I68-COUNTIF($W68:AT68,"&gt;"&amp;0),0))</f>
        <v>44</v>
      </c>
      <c r="AV68" s="44">
        <f>MAX(IF(AV$4&gt;$E68,$I68-COUNTIF($W68:AU68,"&gt;"&amp;0),0))</f>
        <v>43</v>
      </c>
      <c r="AW68" s="44">
        <f>MAX(IF(AW$4&gt;$E68,$I68-COUNTIF($W68:AV68,"&gt;"&amp;0),0))</f>
        <v>42</v>
      </c>
      <c r="AX68" s="44">
        <f>MAX(IF(AX$4&gt;$E68,$I68-COUNTIF($W68:AW68,"&gt;"&amp;0),0))</f>
        <v>41</v>
      </c>
      <c r="AY68" s="44">
        <f>MAX(IF(AY$4&gt;$E68,$I68-COUNTIF($W68:AX68,"&gt;"&amp;0),0))</f>
        <v>40</v>
      </c>
      <c r="BA68" s="88" t="str">
        <f t="shared" ca="1" si="21"/>
        <v>Depreciation</v>
      </c>
      <c r="BB68" s="1" t="str">
        <f t="shared" si="22"/>
        <v>Post-vesting depreciation</v>
      </c>
      <c r="BC68" s="1" t="str">
        <f t="shared" si="23"/>
        <v>Asset life remaining</v>
      </c>
    </row>
    <row r="69" spans="1:55" x14ac:dyDescent="0.35">
      <c r="E69" s="2">
        <v>46112</v>
      </c>
      <c r="G69" t="s">
        <v>190</v>
      </c>
      <c r="I69" s="86">
        <v>45</v>
      </c>
      <c r="J69" t="s">
        <v>13</v>
      </c>
      <c r="X69" s="44">
        <f>MAX(IF(X$4&gt;$E69,$I69-COUNTIF($W69:W69,"&gt;"&amp;0),0))</f>
        <v>0</v>
      </c>
      <c r="Y69" s="44">
        <f>MAX(IF(Y$4&gt;$E69,$I69-COUNTIF($W69:X69,"&gt;"&amp;0),0))</f>
        <v>0</v>
      </c>
      <c r="Z69" s="44">
        <f>MAX(IF(Z$4&gt;$E69,$I69-COUNTIF($W69:Y69,"&gt;"&amp;0),0))</f>
        <v>0</v>
      </c>
      <c r="AA69" s="44">
        <f>MAX(IF(AA$4&gt;$E69,$I69-COUNTIF($W69:Z69,"&gt;"&amp;0),0))</f>
        <v>0</v>
      </c>
      <c r="AB69" s="44">
        <f>MAX(IF(AB$4&gt;$E69,$I69-COUNTIF($W69:AA69,"&gt;"&amp;0),0))</f>
        <v>0</v>
      </c>
      <c r="AC69" s="44">
        <f>MAX(IF(AC$4&gt;$E69,$I69-COUNTIF($W69:AB69,"&gt;"&amp;0),0))</f>
        <v>0</v>
      </c>
      <c r="AD69" s="44">
        <f>MAX(IF(AD$4&gt;$E69,$I69-COUNTIF($W69:AC69,"&gt;"&amp;0),0))</f>
        <v>0</v>
      </c>
      <c r="AE69" s="44">
        <f>MAX(IF(AE$4&gt;$E69,$I69-COUNTIF($W69:AD69,"&gt;"&amp;0),0))</f>
        <v>0</v>
      </c>
      <c r="AF69" s="44">
        <f>MAX(IF(AF$4&gt;$E69,$I69-COUNTIF($W69:AE69,"&gt;"&amp;0),0))</f>
        <v>0</v>
      </c>
      <c r="AG69" s="44">
        <f>MAX(IF(AG$4&gt;$E69,$I69-COUNTIF($W69:AF69,"&gt;"&amp;0),0))</f>
        <v>0</v>
      </c>
      <c r="AH69" s="44">
        <f>MAX(IF(AH$4&gt;$E69,$I69-COUNTIF($W69:AG69,"&gt;"&amp;0),0))</f>
        <v>0</v>
      </c>
      <c r="AI69" s="44">
        <f>MAX(IF(AI$4&gt;$E69,$I69-COUNTIF($W69:AH69,"&gt;"&amp;0),0))</f>
        <v>0</v>
      </c>
      <c r="AJ69" s="44">
        <f>MAX(IF(AJ$4&gt;$E69,$I69-COUNTIF($W69:AI69,"&gt;"&amp;0),0))</f>
        <v>0</v>
      </c>
      <c r="AK69" s="44">
        <f>MAX(IF(AK$4&gt;$E69,$I69-COUNTIF($W69:AJ69,"&gt;"&amp;0),0))</f>
        <v>0</v>
      </c>
      <c r="AL69" s="44">
        <f>MAX(IF(AL$4&gt;$E69,$I69-COUNTIF($W69:AK69,"&gt;"&amp;0),0))</f>
        <v>0</v>
      </c>
      <c r="AM69" s="44">
        <f>MAX(IF(AM$4&gt;$E69,$I69-COUNTIF($W69:AL69,"&gt;"&amp;0),0))</f>
        <v>0</v>
      </c>
      <c r="AN69" s="44">
        <f>MAX(IF(AN$4&gt;$E69,$I69-COUNTIF($W69:AM69,"&gt;"&amp;0),0))</f>
        <v>0</v>
      </c>
      <c r="AO69" s="44">
        <f>MAX(IF(AO$4&gt;$E69,$I69-COUNTIF($W69:AN69,"&gt;"&amp;0),0))</f>
        <v>0</v>
      </c>
      <c r="AP69" s="44">
        <f>MAX(IF(AP$4&gt;$E69,$I69-COUNTIF($W69:AO69,"&gt;"&amp;0),0))</f>
        <v>0</v>
      </c>
      <c r="AQ69" s="44">
        <f>MAX(IF(AQ$4&gt;$E69,$I69-COUNTIF($W69:AP69,"&gt;"&amp;0),0))</f>
        <v>0</v>
      </c>
      <c r="AR69" s="44">
        <f>MAX(IF(AR$4&gt;$E69,$I69-COUNTIF($W69:AQ69,"&gt;"&amp;0),0))</f>
        <v>0</v>
      </c>
      <c r="AS69" s="44">
        <f>MAX(IF(AS$4&gt;$E69,$I69-COUNTIF($W69:AR69,"&gt;"&amp;0),0))</f>
        <v>0</v>
      </c>
      <c r="AT69" s="176">
        <f>MAX(IF(AT$4&gt;$E69,$I69-COUNTIF($W69:AS69,"&gt;"&amp;0),0))</f>
        <v>0</v>
      </c>
      <c r="AU69" s="160">
        <f>MAX(IF(AU$4&gt;$E69,$I69-COUNTIF($W69:AT69,"&gt;"&amp;0),0))</f>
        <v>45</v>
      </c>
      <c r="AV69" s="44">
        <f>MAX(IF(AV$4&gt;$E69,$I69-COUNTIF($W69:AU69,"&gt;"&amp;0),0))</f>
        <v>44</v>
      </c>
      <c r="AW69" s="44">
        <f>MAX(IF(AW$4&gt;$E69,$I69-COUNTIF($W69:AV69,"&gt;"&amp;0),0))</f>
        <v>43</v>
      </c>
      <c r="AX69" s="44">
        <f>MAX(IF(AX$4&gt;$E69,$I69-COUNTIF($W69:AW69,"&gt;"&amp;0),0))</f>
        <v>42</v>
      </c>
      <c r="AY69" s="44">
        <f>MAX(IF(AY$4&gt;$E69,$I69-COUNTIF($W69:AX69,"&gt;"&amp;0),0))</f>
        <v>41</v>
      </c>
      <c r="BA69" s="88" t="str">
        <f t="shared" ca="1" si="21"/>
        <v>Depreciation</v>
      </c>
      <c r="BB69" s="1" t="str">
        <f t="shared" si="22"/>
        <v>Post-vesting depreciation</v>
      </c>
      <c r="BC69" s="1" t="str">
        <f t="shared" si="23"/>
        <v>Asset life remaining</v>
      </c>
    </row>
    <row r="70" spans="1:55" x14ac:dyDescent="0.35">
      <c r="E70" s="2">
        <v>46477</v>
      </c>
      <c r="G70" t="s">
        <v>190</v>
      </c>
      <c r="I70" s="86">
        <v>23</v>
      </c>
      <c r="J70" t="s">
        <v>13</v>
      </c>
      <c r="X70" s="44">
        <f>MAX(IF(X$4&gt;$E70,$I70-COUNTIF($W70:W70,"&gt;"&amp;0),0))</f>
        <v>0</v>
      </c>
      <c r="Y70" s="44">
        <f>MAX(IF(Y$4&gt;$E70,$I70-COUNTIF($W70:X70,"&gt;"&amp;0),0))</f>
        <v>0</v>
      </c>
      <c r="Z70" s="44">
        <f>MAX(IF(Z$4&gt;$E70,$I70-COUNTIF($W70:Y70,"&gt;"&amp;0),0))</f>
        <v>0</v>
      </c>
      <c r="AA70" s="44">
        <f>MAX(IF(AA$4&gt;$E70,$I70-COUNTIF($W70:Z70,"&gt;"&amp;0),0))</f>
        <v>0</v>
      </c>
      <c r="AB70" s="44">
        <f>MAX(IF(AB$4&gt;$E70,$I70-COUNTIF($W70:AA70,"&gt;"&amp;0),0))</f>
        <v>0</v>
      </c>
      <c r="AC70" s="44">
        <f>MAX(IF(AC$4&gt;$E70,$I70-COUNTIF($W70:AB70,"&gt;"&amp;0),0))</f>
        <v>0</v>
      </c>
      <c r="AD70" s="44">
        <f>MAX(IF(AD$4&gt;$E70,$I70-COUNTIF($W70:AC70,"&gt;"&amp;0),0))</f>
        <v>0</v>
      </c>
      <c r="AE70" s="44">
        <f>MAX(IF(AE$4&gt;$E70,$I70-COUNTIF($W70:AD70,"&gt;"&amp;0),0))</f>
        <v>0</v>
      </c>
      <c r="AF70" s="44">
        <f>MAX(IF(AF$4&gt;$E70,$I70-COUNTIF($W70:AE70,"&gt;"&amp;0),0))</f>
        <v>0</v>
      </c>
      <c r="AG70" s="44">
        <f>MAX(IF(AG$4&gt;$E70,$I70-COUNTIF($W70:AF70,"&gt;"&amp;0),0))</f>
        <v>0</v>
      </c>
      <c r="AH70" s="44">
        <f>MAX(IF(AH$4&gt;$E70,$I70-COUNTIF($W70:AG70,"&gt;"&amp;0),0))</f>
        <v>0</v>
      </c>
      <c r="AI70" s="44">
        <f>MAX(IF(AI$4&gt;$E70,$I70-COUNTIF($W70:AH70,"&gt;"&amp;0),0))</f>
        <v>0</v>
      </c>
      <c r="AJ70" s="44">
        <f>MAX(IF(AJ$4&gt;$E70,$I70-COUNTIF($W70:AI70,"&gt;"&amp;0),0))</f>
        <v>0</v>
      </c>
      <c r="AK70" s="44">
        <f>MAX(IF(AK$4&gt;$E70,$I70-COUNTIF($W70:AJ70,"&gt;"&amp;0),0))</f>
        <v>0</v>
      </c>
      <c r="AL70" s="44">
        <f>MAX(IF(AL$4&gt;$E70,$I70-COUNTIF($W70:AK70,"&gt;"&amp;0),0))</f>
        <v>0</v>
      </c>
      <c r="AM70" s="44">
        <f>MAX(IF(AM$4&gt;$E70,$I70-COUNTIF($W70:AL70,"&gt;"&amp;0),0))</f>
        <v>0</v>
      </c>
      <c r="AN70" s="44">
        <f>MAX(IF(AN$4&gt;$E70,$I70-COUNTIF($W70:AM70,"&gt;"&amp;0),0))</f>
        <v>0</v>
      </c>
      <c r="AO70" s="44">
        <f>MAX(IF(AO$4&gt;$E70,$I70-COUNTIF($W70:AN70,"&gt;"&amp;0),0))</f>
        <v>0</v>
      </c>
      <c r="AP70" s="44">
        <f>MAX(IF(AP$4&gt;$E70,$I70-COUNTIF($W70:AO70,"&gt;"&amp;0),0))</f>
        <v>0</v>
      </c>
      <c r="AQ70" s="44">
        <f>MAX(IF(AQ$4&gt;$E70,$I70-COUNTIF($W70:AP70,"&gt;"&amp;0),0))</f>
        <v>0</v>
      </c>
      <c r="AR70" s="44">
        <f>MAX(IF(AR$4&gt;$E70,$I70-COUNTIF($W70:AQ70,"&gt;"&amp;0),0))</f>
        <v>0</v>
      </c>
      <c r="AS70" s="44">
        <f>MAX(IF(AS$4&gt;$E70,$I70-COUNTIF($W70:AR70,"&gt;"&amp;0),0))</f>
        <v>0</v>
      </c>
      <c r="AT70" s="176">
        <f>MAX(IF(AT$4&gt;$E70,$I70-COUNTIF($W70:AS70,"&gt;"&amp;0),0))</f>
        <v>0</v>
      </c>
      <c r="AU70" s="160">
        <f>MAX(IF(AU$4&gt;$E70,$I70-COUNTIF($W70:AT70,"&gt;"&amp;0),0))</f>
        <v>0</v>
      </c>
      <c r="AV70" s="44">
        <f>MAX(IF(AV$4&gt;$E70,$I70-COUNTIF($W70:AU70,"&gt;"&amp;0),0))</f>
        <v>23</v>
      </c>
      <c r="AW70" s="44">
        <f>MAX(IF(AW$4&gt;$E70,$I70-COUNTIF($W70:AV70,"&gt;"&amp;0),0))</f>
        <v>22</v>
      </c>
      <c r="AX70" s="44">
        <f>MAX(IF(AX$4&gt;$E70,$I70-COUNTIF($W70:AW70,"&gt;"&amp;0),0))</f>
        <v>21</v>
      </c>
      <c r="AY70" s="44">
        <f>MAX(IF(AY$4&gt;$E70,$I70-COUNTIF($W70:AX70,"&gt;"&amp;0),0))</f>
        <v>20</v>
      </c>
      <c r="BA70" s="88" t="str">
        <f t="shared" ca="1" si="21"/>
        <v>Depreciation</v>
      </c>
      <c r="BB70" s="1" t="str">
        <f t="shared" si="22"/>
        <v>Post-vesting depreciation</v>
      </c>
      <c r="BC70" s="1" t="str">
        <f t="shared" si="23"/>
        <v>Asset life remaining</v>
      </c>
    </row>
    <row r="71" spans="1:55" x14ac:dyDescent="0.35">
      <c r="E71" s="2">
        <v>46843</v>
      </c>
      <c r="G71" t="s">
        <v>190</v>
      </c>
      <c r="I71" s="86">
        <v>22</v>
      </c>
      <c r="J71" t="s">
        <v>13</v>
      </c>
      <c r="X71" s="44">
        <f>MAX(IF(X$4&gt;$E71,$I71-COUNTIF($W71:W71,"&gt;"&amp;0),0))</f>
        <v>0</v>
      </c>
      <c r="Y71" s="44">
        <f>MAX(IF(Y$4&gt;$E71,$I71-COUNTIF($W71:X71,"&gt;"&amp;0),0))</f>
        <v>0</v>
      </c>
      <c r="Z71" s="44">
        <f>MAX(IF(Z$4&gt;$E71,$I71-COUNTIF($W71:Y71,"&gt;"&amp;0),0))</f>
        <v>0</v>
      </c>
      <c r="AA71" s="44">
        <f>MAX(IF(AA$4&gt;$E71,$I71-COUNTIF($W71:Z71,"&gt;"&amp;0),0))</f>
        <v>0</v>
      </c>
      <c r="AB71" s="44">
        <f>MAX(IF(AB$4&gt;$E71,$I71-COUNTIF($W71:AA71,"&gt;"&amp;0),0))</f>
        <v>0</v>
      </c>
      <c r="AC71" s="44">
        <f>MAX(IF(AC$4&gt;$E71,$I71-COUNTIF($W71:AB71,"&gt;"&amp;0),0))</f>
        <v>0</v>
      </c>
      <c r="AD71" s="44">
        <f>MAX(IF(AD$4&gt;$E71,$I71-COUNTIF($W71:AC71,"&gt;"&amp;0),0))</f>
        <v>0</v>
      </c>
      <c r="AE71" s="44">
        <f>MAX(IF(AE$4&gt;$E71,$I71-COUNTIF($W71:AD71,"&gt;"&amp;0),0))</f>
        <v>0</v>
      </c>
      <c r="AF71" s="44">
        <f>MAX(IF(AF$4&gt;$E71,$I71-COUNTIF($W71:AE71,"&gt;"&amp;0),0))</f>
        <v>0</v>
      </c>
      <c r="AG71" s="44">
        <f>MAX(IF(AG$4&gt;$E71,$I71-COUNTIF($W71:AF71,"&gt;"&amp;0),0))</f>
        <v>0</v>
      </c>
      <c r="AH71" s="44">
        <f>MAX(IF(AH$4&gt;$E71,$I71-COUNTIF($W71:AG71,"&gt;"&amp;0),0))</f>
        <v>0</v>
      </c>
      <c r="AI71" s="44">
        <f>MAX(IF(AI$4&gt;$E71,$I71-COUNTIF($W71:AH71,"&gt;"&amp;0),0))</f>
        <v>0</v>
      </c>
      <c r="AJ71" s="44">
        <f>MAX(IF(AJ$4&gt;$E71,$I71-COUNTIF($W71:AI71,"&gt;"&amp;0),0))</f>
        <v>0</v>
      </c>
      <c r="AK71" s="44">
        <f>MAX(IF(AK$4&gt;$E71,$I71-COUNTIF($W71:AJ71,"&gt;"&amp;0),0))</f>
        <v>0</v>
      </c>
      <c r="AL71" s="44">
        <f>MAX(IF(AL$4&gt;$E71,$I71-COUNTIF($W71:AK71,"&gt;"&amp;0),0))</f>
        <v>0</v>
      </c>
      <c r="AM71" s="44">
        <f>MAX(IF(AM$4&gt;$E71,$I71-COUNTIF($W71:AL71,"&gt;"&amp;0),0))</f>
        <v>0</v>
      </c>
      <c r="AN71" s="44">
        <f>MAX(IF(AN$4&gt;$E71,$I71-COUNTIF($W71:AM71,"&gt;"&amp;0),0))</f>
        <v>0</v>
      </c>
      <c r="AO71" s="44">
        <f>MAX(IF(AO$4&gt;$E71,$I71-COUNTIF($W71:AN71,"&gt;"&amp;0),0))</f>
        <v>0</v>
      </c>
      <c r="AP71" s="44">
        <f>MAX(IF(AP$4&gt;$E71,$I71-COUNTIF($W71:AO71,"&gt;"&amp;0),0))</f>
        <v>0</v>
      </c>
      <c r="AQ71" s="44">
        <f>MAX(IF(AQ$4&gt;$E71,$I71-COUNTIF($W71:AP71,"&gt;"&amp;0),0))</f>
        <v>0</v>
      </c>
      <c r="AR71" s="44">
        <f>MAX(IF(AR$4&gt;$E71,$I71-COUNTIF($W71:AQ71,"&gt;"&amp;0),0))</f>
        <v>0</v>
      </c>
      <c r="AS71" s="44">
        <f>MAX(IF(AS$4&gt;$E71,$I71-COUNTIF($W71:AR71,"&gt;"&amp;0),0))</f>
        <v>0</v>
      </c>
      <c r="AT71" s="176">
        <f>MAX(IF(AT$4&gt;$E71,$I71-COUNTIF($W71:AS71,"&gt;"&amp;0),0))</f>
        <v>0</v>
      </c>
      <c r="AU71" s="160">
        <f>MAX(IF(AU$4&gt;$E71,$I71-COUNTIF($W71:AT71,"&gt;"&amp;0),0))</f>
        <v>0</v>
      </c>
      <c r="AV71" s="44">
        <f>MAX(IF(AV$4&gt;$E71,$I71-COUNTIF($W71:AU71,"&gt;"&amp;0),0))</f>
        <v>0</v>
      </c>
      <c r="AW71" s="44">
        <f>MAX(IF(AW$4&gt;$E71,$I71-COUNTIF($W71:AV71,"&gt;"&amp;0),0))</f>
        <v>22</v>
      </c>
      <c r="AX71" s="44">
        <f>MAX(IF(AX$4&gt;$E71,$I71-COUNTIF($W71:AW71,"&gt;"&amp;0),0))</f>
        <v>21</v>
      </c>
      <c r="AY71" s="44">
        <f>MAX(IF(AY$4&gt;$E71,$I71-COUNTIF($W71:AX71,"&gt;"&amp;0),0))</f>
        <v>20</v>
      </c>
      <c r="BA71" s="88" t="str">
        <f t="shared" ca="1" si="21"/>
        <v>Depreciation</v>
      </c>
      <c r="BB71" s="1" t="str">
        <f t="shared" si="22"/>
        <v>Post-vesting depreciation</v>
      </c>
      <c r="BC71" s="1" t="str">
        <f t="shared" si="23"/>
        <v>Asset life remaining</v>
      </c>
    </row>
    <row r="72" spans="1:55" x14ac:dyDescent="0.35">
      <c r="E72" s="2">
        <v>47208</v>
      </c>
      <c r="G72" t="s">
        <v>190</v>
      </c>
      <c r="I72" s="86">
        <v>21</v>
      </c>
      <c r="J72" t="s">
        <v>13</v>
      </c>
      <c r="X72" s="44">
        <f>MAX(IF(X$4&gt;$E72,$I72-COUNTIF($W72:W72,"&gt;"&amp;0),0))</f>
        <v>0</v>
      </c>
      <c r="Y72" s="44">
        <f>MAX(IF(Y$4&gt;$E72,$I72-COUNTIF($W72:X72,"&gt;"&amp;0),0))</f>
        <v>0</v>
      </c>
      <c r="Z72" s="44">
        <f>MAX(IF(Z$4&gt;$E72,$I72-COUNTIF($W72:Y72,"&gt;"&amp;0),0))</f>
        <v>0</v>
      </c>
      <c r="AA72" s="44">
        <f>MAX(IF(AA$4&gt;$E72,$I72-COUNTIF($W72:Z72,"&gt;"&amp;0),0))</f>
        <v>0</v>
      </c>
      <c r="AB72" s="44">
        <f>MAX(IF(AB$4&gt;$E72,$I72-COUNTIF($W72:AA72,"&gt;"&amp;0),0))</f>
        <v>0</v>
      </c>
      <c r="AC72" s="44">
        <f>MAX(IF(AC$4&gt;$E72,$I72-COUNTIF($W72:AB72,"&gt;"&amp;0),0))</f>
        <v>0</v>
      </c>
      <c r="AD72" s="44">
        <f>MAX(IF(AD$4&gt;$E72,$I72-COUNTIF($W72:AC72,"&gt;"&amp;0),0))</f>
        <v>0</v>
      </c>
      <c r="AE72" s="44">
        <f>MAX(IF(AE$4&gt;$E72,$I72-COUNTIF($W72:AD72,"&gt;"&amp;0),0))</f>
        <v>0</v>
      </c>
      <c r="AF72" s="44">
        <f>MAX(IF(AF$4&gt;$E72,$I72-COUNTIF($W72:AE72,"&gt;"&amp;0),0))</f>
        <v>0</v>
      </c>
      <c r="AG72" s="44">
        <f>MAX(IF(AG$4&gt;$E72,$I72-COUNTIF($W72:AF72,"&gt;"&amp;0),0))</f>
        <v>0</v>
      </c>
      <c r="AH72" s="44">
        <f>MAX(IF(AH$4&gt;$E72,$I72-COUNTIF($W72:AG72,"&gt;"&amp;0),0))</f>
        <v>0</v>
      </c>
      <c r="AI72" s="44">
        <f>MAX(IF(AI$4&gt;$E72,$I72-COUNTIF($W72:AH72,"&gt;"&amp;0),0))</f>
        <v>0</v>
      </c>
      <c r="AJ72" s="44">
        <f>MAX(IF(AJ$4&gt;$E72,$I72-COUNTIF($W72:AI72,"&gt;"&amp;0),0))</f>
        <v>0</v>
      </c>
      <c r="AK72" s="44">
        <f>MAX(IF(AK$4&gt;$E72,$I72-COUNTIF($W72:AJ72,"&gt;"&amp;0),0))</f>
        <v>0</v>
      </c>
      <c r="AL72" s="44">
        <f>MAX(IF(AL$4&gt;$E72,$I72-COUNTIF($W72:AK72,"&gt;"&amp;0),0))</f>
        <v>0</v>
      </c>
      <c r="AM72" s="44">
        <f>MAX(IF(AM$4&gt;$E72,$I72-COUNTIF($W72:AL72,"&gt;"&amp;0),0))</f>
        <v>0</v>
      </c>
      <c r="AN72" s="44">
        <f>MAX(IF(AN$4&gt;$E72,$I72-COUNTIF($W72:AM72,"&gt;"&amp;0),0))</f>
        <v>0</v>
      </c>
      <c r="AO72" s="44">
        <f>MAX(IF(AO$4&gt;$E72,$I72-COUNTIF($W72:AN72,"&gt;"&amp;0),0))</f>
        <v>0</v>
      </c>
      <c r="AP72" s="44">
        <f>MAX(IF(AP$4&gt;$E72,$I72-COUNTIF($W72:AO72,"&gt;"&amp;0),0))</f>
        <v>0</v>
      </c>
      <c r="AQ72" s="44">
        <f>MAX(IF(AQ$4&gt;$E72,$I72-COUNTIF($W72:AP72,"&gt;"&amp;0),0))</f>
        <v>0</v>
      </c>
      <c r="AR72" s="44">
        <f>MAX(IF(AR$4&gt;$E72,$I72-COUNTIF($W72:AQ72,"&gt;"&amp;0),0))</f>
        <v>0</v>
      </c>
      <c r="AS72" s="44">
        <f>MAX(IF(AS$4&gt;$E72,$I72-COUNTIF($W72:AR72,"&gt;"&amp;0),0))</f>
        <v>0</v>
      </c>
      <c r="AT72" s="176">
        <f>MAX(IF(AT$4&gt;$E72,$I72-COUNTIF($W72:AS72,"&gt;"&amp;0),0))</f>
        <v>0</v>
      </c>
      <c r="AU72" s="160">
        <f>MAX(IF(AU$4&gt;$E72,$I72-COUNTIF($W72:AT72,"&gt;"&amp;0),0))</f>
        <v>0</v>
      </c>
      <c r="AV72" s="44">
        <f>MAX(IF(AV$4&gt;$E72,$I72-COUNTIF($W72:AU72,"&gt;"&amp;0),0))</f>
        <v>0</v>
      </c>
      <c r="AW72" s="44">
        <f>MAX(IF(AW$4&gt;$E72,$I72-COUNTIF($W72:AV72,"&gt;"&amp;0),0))</f>
        <v>0</v>
      </c>
      <c r="AX72" s="44">
        <f>MAX(IF(AX$4&gt;$E72,$I72-COUNTIF($W72:AW72,"&gt;"&amp;0),0))</f>
        <v>21</v>
      </c>
      <c r="AY72" s="44">
        <f>MAX(IF(AY$4&gt;$E72,$I72-COUNTIF($W72:AX72,"&gt;"&amp;0),0))</f>
        <v>20</v>
      </c>
      <c r="BA72" s="88" t="str">
        <f t="shared" ca="1" si="21"/>
        <v>Depreciation</v>
      </c>
      <c r="BB72" s="1" t="str">
        <f t="shared" si="22"/>
        <v>Post-vesting depreciation</v>
      </c>
      <c r="BC72" s="1" t="str">
        <f t="shared" si="23"/>
        <v>Asset life remaining</v>
      </c>
    </row>
    <row r="73" spans="1:55" x14ac:dyDescent="0.35">
      <c r="E73" s="2">
        <v>47573</v>
      </c>
      <c r="G73" t="s">
        <v>190</v>
      </c>
      <c r="I73" s="86">
        <v>20</v>
      </c>
      <c r="J73" t="s">
        <v>13</v>
      </c>
      <c r="X73" s="44">
        <f>MAX(IF(X$4&gt;$E73,$I73-COUNTIF($W73:W73,"&gt;"&amp;0),0))</f>
        <v>0</v>
      </c>
      <c r="Y73" s="44">
        <f>MAX(IF(Y$4&gt;$E73,$I73-COUNTIF($W73:X73,"&gt;"&amp;0),0))</f>
        <v>0</v>
      </c>
      <c r="Z73" s="44">
        <f>MAX(IF(Z$4&gt;$E73,$I73-COUNTIF($W73:Y73,"&gt;"&amp;0),0))</f>
        <v>0</v>
      </c>
      <c r="AA73" s="44">
        <f>MAX(IF(AA$4&gt;$E73,$I73-COUNTIF($W73:Z73,"&gt;"&amp;0),0))</f>
        <v>0</v>
      </c>
      <c r="AB73" s="44">
        <f>MAX(IF(AB$4&gt;$E73,$I73-COUNTIF($W73:AA73,"&gt;"&amp;0),0))</f>
        <v>0</v>
      </c>
      <c r="AC73" s="44">
        <f>MAX(IF(AC$4&gt;$E73,$I73-COUNTIF($W73:AB73,"&gt;"&amp;0),0))</f>
        <v>0</v>
      </c>
      <c r="AD73" s="44">
        <f>MAX(IF(AD$4&gt;$E73,$I73-COUNTIF($W73:AC73,"&gt;"&amp;0),0))</f>
        <v>0</v>
      </c>
      <c r="AE73" s="44">
        <f>MAX(IF(AE$4&gt;$E73,$I73-COUNTIF($W73:AD73,"&gt;"&amp;0),0))</f>
        <v>0</v>
      </c>
      <c r="AF73" s="44">
        <f>MAX(IF(AF$4&gt;$E73,$I73-COUNTIF($W73:AE73,"&gt;"&amp;0),0))</f>
        <v>0</v>
      </c>
      <c r="AG73" s="44">
        <f>MAX(IF(AG$4&gt;$E73,$I73-COUNTIF($W73:AF73,"&gt;"&amp;0),0))</f>
        <v>0</v>
      </c>
      <c r="AH73" s="44">
        <f>MAX(IF(AH$4&gt;$E73,$I73-COUNTIF($W73:AG73,"&gt;"&amp;0),0))</f>
        <v>0</v>
      </c>
      <c r="AI73" s="44">
        <f>MAX(IF(AI$4&gt;$E73,$I73-COUNTIF($W73:AH73,"&gt;"&amp;0),0))</f>
        <v>0</v>
      </c>
      <c r="AJ73" s="44">
        <f>MAX(IF(AJ$4&gt;$E73,$I73-COUNTIF($W73:AI73,"&gt;"&amp;0),0))</f>
        <v>0</v>
      </c>
      <c r="AK73" s="44">
        <f>MAX(IF(AK$4&gt;$E73,$I73-COUNTIF($W73:AJ73,"&gt;"&amp;0),0))</f>
        <v>0</v>
      </c>
      <c r="AL73" s="44">
        <f>MAX(IF(AL$4&gt;$E73,$I73-COUNTIF($W73:AK73,"&gt;"&amp;0),0))</f>
        <v>0</v>
      </c>
      <c r="AM73" s="44">
        <f>MAX(IF(AM$4&gt;$E73,$I73-COUNTIF($W73:AL73,"&gt;"&amp;0),0))</f>
        <v>0</v>
      </c>
      <c r="AN73" s="44">
        <f>MAX(IF(AN$4&gt;$E73,$I73-COUNTIF($W73:AM73,"&gt;"&amp;0),0))</f>
        <v>0</v>
      </c>
      <c r="AO73" s="44">
        <f>MAX(IF(AO$4&gt;$E73,$I73-COUNTIF($W73:AN73,"&gt;"&amp;0),0))</f>
        <v>0</v>
      </c>
      <c r="AP73" s="44">
        <f>MAX(IF(AP$4&gt;$E73,$I73-COUNTIF($W73:AO73,"&gt;"&amp;0),0))</f>
        <v>0</v>
      </c>
      <c r="AQ73" s="44">
        <f>MAX(IF(AQ$4&gt;$E73,$I73-COUNTIF($W73:AP73,"&gt;"&amp;0),0))</f>
        <v>0</v>
      </c>
      <c r="AR73" s="44">
        <f>MAX(IF(AR$4&gt;$E73,$I73-COUNTIF($W73:AQ73,"&gt;"&amp;0),0))</f>
        <v>0</v>
      </c>
      <c r="AS73" s="44">
        <f>MAX(IF(AS$4&gt;$E73,$I73-COUNTIF($W73:AR73,"&gt;"&amp;0),0))</f>
        <v>0</v>
      </c>
      <c r="AT73" s="176">
        <f>MAX(IF(AT$4&gt;$E73,$I73-COUNTIF($W73:AS73,"&gt;"&amp;0),0))</f>
        <v>0</v>
      </c>
      <c r="AU73" s="160">
        <f>MAX(IF(AU$4&gt;$E73,$I73-COUNTIF($W73:AT73,"&gt;"&amp;0),0))</f>
        <v>0</v>
      </c>
      <c r="AV73" s="44">
        <f>MAX(IF(AV$4&gt;$E73,$I73-COUNTIF($W73:AU73,"&gt;"&amp;0),0))</f>
        <v>0</v>
      </c>
      <c r="AW73" s="44">
        <f>MAX(IF(AW$4&gt;$E73,$I73-COUNTIF($W73:AV73,"&gt;"&amp;0),0))</f>
        <v>0</v>
      </c>
      <c r="AX73" s="44">
        <f>MAX(IF(AX$4&gt;$E73,$I73-COUNTIF($W73:AW73,"&gt;"&amp;0),0))</f>
        <v>0</v>
      </c>
      <c r="AY73" s="44">
        <f>MAX(IF(AY$4&gt;$E73,$I73-COUNTIF($W73:AX73,"&gt;"&amp;0),0))</f>
        <v>20</v>
      </c>
      <c r="BA73" s="88" t="str">
        <f t="shared" ca="1" si="21"/>
        <v>Depreciation</v>
      </c>
      <c r="BB73" s="1" t="str">
        <f t="shared" si="22"/>
        <v>Post-vesting depreciation</v>
      </c>
      <c r="BC73" s="1" t="str">
        <f t="shared" si="23"/>
        <v>Asset life remaining</v>
      </c>
    </row>
    <row r="74" spans="1:55" x14ac:dyDescent="0.35">
      <c r="E74" s="2">
        <v>47938</v>
      </c>
      <c r="G74" t="s">
        <v>190</v>
      </c>
      <c r="I74" s="86">
        <v>19</v>
      </c>
      <c r="J74" t="s">
        <v>13</v>
      </c>
      <c r="X74" s="44">
        <f>MAX(IF(X$4&gt;$E74,$I74-COUNTIF($W74:W74,"&gt;"&amp;0),0))</f>
        <v>0</v>
      </c>
      <c r="Y74" s="44">
        <f>MAX(IF(Y$4&gt;$E74,$I74-COUNTIF($W74:X74,"&gt;"&amp;0),0))</f>
        <v>0</v>
      </c>
      <c r="Z74" s="44">
        <f>MAX(IF(Z$4&gt;$E74,$I74-COUNTIF($W74:Y74,"&gt;"&amp;0),0))</f>
        <v>0</v>
      </c>
      <c r="AA74" s="44">
        <f>MAX(IF(AA$4&gt;$E74,$I74-COUNTIF($W74:Z74,"&gt;"&amp;0),0))</f>
        <v>0</v>
      </c>
      <c r="AB74" s="44">
        <f>MAX(IF(AB$4&gt;$E74,$I74-COUNTIF($W74:AA74,"&gt;"&amp;0),0))</f>
        <v>0</v>
      </c>
      <c r="AC74" s="44">
        <f>MAX(IF(AC$4&gt;$E74,$I74-COUNTIF($W74:AB74,"&gt;"&amp;0),0))</f>
        <v>0</v>
      </c>
      <c r="AD74" s="44">
        <f>MAX(IF(AD$4&gt;$E74,$I74-COUNTIF($W74:AC74,"&gt;"&amp;0),0))</f>
        <v>0</v>
      </c>
      <c r="AE74" s="44">
        <f>MAX(IF(AE$4&gt;$E74,$I74-COUNTIF($W74:AD74,"&gt;"&amp;0),0))</f>
        <v>0</v>
      </c>
      <c r="AF74" s="44">
        <f>MAX(IF(AF$4&gt;$E74,$I74-COUNTIF($W74:AE74,"&gt;"&amp;0),0))</f>
        <v>0</v>
      </c>
      <c r="AG74" s="44">
        <f>MAX(IF(AG$4&gt;$E74,$I74-COUNTIF($W74:AF74,"&gt;"&amp;0),0))</f>
        <v>0</v>
      </c>
      <c r="AH74" s="44">
        <f>MAX(IF(AH$4&gt;$E74,$I74-COUNTIF($W74:AG74,"&gt;"&amp;0),0))</f>
        <v>0</v>
      </c>
      <c r="AI74" s="44">
        <f>MAX(IF(AI$4&gt;$E74,$I74-COUNTIF($W74:AH74,"&gt;"&amp;0),0))</f>
        <v>0</v>
      </c>
      <c r="AJ74" s="44">
        <f>MAX(IF(AJ$4&gt;$E74,$I74-COUNTIF($W74:AI74,"&gt;"&amp;0),0))</f>
        <v>0</v>
      </c>
      <c r="AK74" s="44">
        <f>MAX(IF(AK$4&gt;$E74,$I74-COUNTIF($W74:AJ74,"&gt;"&amp;0),0))</f>
        <v>0</v>
      </c>
      <c r="AL74" s="44">
        <f>MAX(IF(AL$4&gt;$E74,$I74-COUNTIF($W74:AK74,"&gt;"&amp;0),0))</f>
        <v>0</v>
      </c>
      <c r="AM74" s="44">
        <f>MAX(IF(AM$4&gt;$E74,$I74-COUNTIF($W74:AL74,"&gt;"&amp;0),0))</f>
        <v>0</v>
      </c>
      <c r="AN74" s="44">
        <f>MAX(IF(AN$4&gt;$E74,$I74-COUNTIF($W74:AM74,"&gt;"&amp;0),0))</f>
        <v>0</v>
      </c>
      <c r="AO74" s="44">
        <f>MAX(IF(AO$4&gt;$E74,$I74-COUNTIF($W74:AN74,"&gt;"&amp;0),0))</f>
        <v>0</v>
      </c>
      <c r="AP74" s="44">
        <f>MAX(IF(AP$4&gt;$E74,$I74-COUNTIF($W74:AO74,"&gt;"&amp;0),0))</f>
        <v>0</v>
      </c>
      <c r="AQ74" s="44">
        <f>MAX(IF(AQ$4&gt;$E74,$I74-COUNTIF($W74:AP74,"&gt;"&amp;0),0))</f>
        <v>0</v>
      </c>
      <c r="AR74" s="44">
        <f>MAX(IF(AR$4&gt;$E74,$I74-COUNTIF($W74:AQ74,"&gt;"&amp;0),0))</f>
        <v>0</v>
      </c>
      <c r="AS74" s="44">
        <f>MAX(IF(AS$4&gt;$E74,$I74-COUNTIF($W74:AR74,"&gt;"&amp;0),0))</f>
        <v>0</v>
      </c>
      <c r="AT74" s="176">
        <f>MAX(IF(AT$4&gt;$E74,$I74-COUNTIF($W74:AS74,"&gt;"&amp;0),0))</f>
        <v>0</v>
      </c>
      <c r="AU74" s="160">
        <f>MAX(IF(AU$4&gt;$E74,$I74-COUNTIF($W74:AT74,"&gt;"&amp;0),0))</f>
        <v>0</v>
      </c>
      <c r="AV74" s="44">
        <f>MAX(IF(AV$4&gt;$E74,$I74-COUNTIF($W74:AU74,"&gt;"&amp;0),0))</f>
        <v>0</v>
      </c>
      <c r="AW74" s="44">
        <f>MAX(IF(AW$4&gt;$E74,$I74-COUNTIF($W74:AV74,"&gt;"&amp;0),0))</f>
        <v>0</v>
      </c>
      <c r="AX74" s="44">
        <f>MAX(IF(AX$4&gt;$E74,$I74-COUNTIF($W74:AW74,"&gt;"&amp;0),0))</f>
        <v>0</v>
      </c>
      <c r="AY74" s="44">
        <f>MAX(IF(AY$4&gt;$E74,$I74-COUNTIF($W74:AX74,"&gt;"&amp;0),0))</f>
        <v>0</v>
      </c>
      <c r="BA74" s="88" t="str">
        <f t="shared" ca="1" si="21"/>
        <v>Depreciation</v>
      </c>
      <c r="BB74" s="1" t="str">
        <f t="shared" si="22"/>
        <v>Post-vesting depreciation</v>
      </c>
      <c r="BC74" s="1" t="str">
        <f t="shared" si="23"/>
        <v>Asset life remaining</v>
      </c>
    </row>
    <row r="75" spans="1:55" x14ac:dyDescent="0.35">
      <c r="E75" s="2"/>
    </row>
    <row r="76" spans="1:55" ht="20" thickBot="1" x14ac:dyDescent="0.5">
      <c r="A76" s="13" t="s">
        <v>286</v>
      </c>
      <c r="E76" s="2"/>
    </row>
    <row r="77" spans="1:55" ht="18" thickTop="1" thickBot="1" x14ac:dyDescent="0.45">
      <c r="B77" s="15" t="s">
        <v>554</v>
      </c>
    </row>
    <row r="78" spans="1:55" ht="15" thickTop="1" x14ac:dyDescent="0.35"/>
    <row r="79" spans="1:55" x14ac:dyDescent="0.35">
      <c r="E79" s="2">
        <v>37711</v>
      </c>
      <c r="G79" t="s">
        <v>109</v>
      </c>
      <c r="H79" s="77"/>
      <c r="I79" s="27" cm="1">
        <f t="array" ref="I79:I107">TRANSPOSE(W28:AY28)</f>
        <v>1035</v>
      </c>
      <c r="J79" t="s">
        <v>13</v>
      </c>
      <c r="X79" s="46">
        <f t="shared" ref="X79:AY79" si="24">X46/$I79</f>
        <v>4.3478260869565216E-2</v>
      </c>
      <c r="Y79" s="46">
        <f t="shared" si="24"/>
        <v>4.2512077294685993E-2</v>
      </c>
      <c r="Z79" s="46">
        <f t="shared" si="24"/>
        <v>4.1545893719806763E-2</v>
      </c>
      <c r="AA79" s="46">
        <f t="shared" si="24"/>
        <v>4.0579710144927533E-2</v>
      </c>
      <c r="AB79" s="46">
        <f t="shared" si="24"/>
        <v>3.961352657004831E-2</v>
      </c>
      <c r="AC79" s="46">
        <f t="shared" si="24"/>
        <v>3.864734299516908E-2</v>
      </c>
      <c r="AD79" s="46">
        <f t="shared" si="24"/>
        <v>3.7681159420289857E-2</v>
      </c>
      <c r="AE79" s="46">
        <f t="shared" si="24"/>
        <v>3.6714975845410627E-2</v>
      </c>
      <c r="AF79" s="46">
        <f t="shared" si="24"/>
        <v>3.5748792270531404E-2</v>
      </c>
      <c r="AG79" s="46">
        <f t="shared" si="24"/>
        <v>3.4782608695652174E-2</v>
      </c>
      <c r="AH79" s="46">
        <f t="shared" si="24"/>
        <v>3.3816425120772944E-2</v>
      </c>
      <c r="AI79" s="46">
        <f t="shared" si="24"/>
        <v>3.2850241545893721E-2</v>
      </c>
      <c r="AJ79" s="46">
        <f t="shared" si="24"/>
        <v>3.1884057971014491E-2</v>
      </c>
      <c r="AK79" s="46">
        <f t="shared" si="24"/>
        <v>3.0917874396135265E-2</v>
      </c>
      <c r="AL79" s="46">
        <f t="shared" si="24"/>
        <v>2.9951690821256038E-2</v>
      </c>
      <c r="AM79" s="46">
        <f t="shared" si="24"/>
        <v>2.8985507246376812E-2</v>
      </c>
      <c r="AN79" s="46">
        <f t="shared" si="24"/>
        <v>2.8019323671497585E-2</v>
      </c>
      <c r="AO79" s="46">
        <f t="shared" si="24"/>
        <v>2.7053140096618359E-2</v>
      </c>
      <c r="AP79" s="46">
        <f t="shared" si="24"/>
        <v>2.6086956521739129E-2</v>
      </c>
      <c r="AQ79" s="46">
        <f t="shared" si="24"/>
        <v>2.5120772946859903E-2</v>
      </c>
      <c r="AR79" s="46">
        <f t="shared" si="24"/>
        <v>2.4154589371980676E-2</v>
      </c>
      <c r="AS79" s="46">
        <f t="shared" si="24"/>
        <v>2.318840579710145E-2</v>
      </c>
      <c r="AT79" s="172">
        <f t="shared" si="24"/>
        <v>2.2222222222222223E-2</v>
      </c>
      <c r="AU79" s="153">
        <f t="shared" si="24"/>
        <v>2.1256038647342997E-2</v>
      </c>
      <c r="AV79" s="46">
        <f t="shared" si="24"/>
        <v>2.0289855072463767E-2</v>
      </c>
      <c r="AW79" s="46">
        <f t="shared" si="24"/>
        <v>1.932367149758454E-2</v>
      </c>
      <c r="AX79" s="46">
        <f t="shared" si="24"/>
        <v>1.8357487922705314E-2</v>
      </c>
      <c r="AY79" s="46">
        <f t="shared" si="24"/>
        <v>1.7391304347826087E-2</v>
      </c>
      <c r="BA79" s="88" t="str">
        <f t="shared" ref="BA79:BA107" ca="1" si="25">$A$1</f>
        <v>Depreciation</v>
      </c>
      <c r="BB79" s="1" t="str">
        <f>$A$76</f>
        <v>Sum of digits</v>
      </c>
      <c r="BC79" s="1" t="str">
        <f>$B$77</f>
        <v>Profile</v>
      </c>
    </row>
    <row r="80" spans="1:55" x14ac:dyDescent="0.35">
      <c r="E80" s="2">
        <v>38077</v>
      </c>
      <c r="G80" t="s">
        <v>109</v>
      </c>
      <c r="H80" s="77"/>
      <c r="I80" s="27">
        <v>1035</v>
      </c>
      <c r="J80" t="s">
        <v>13</v>
      </c>
      <c r="X80" s="46">
        <f t="shared" ref="X80:AY80" si="26">X47/$I80</f>
        <v>0</v>
      </c>
      <c r="Y80" s="46">
        <f t="shared" si="26"/>
        <v>4.3478260869565216E-2</v>
      </c>
      <c r="Z80" s="46">
        <f t="shared" si="26"/>
        <v>4.2512077294685993E-2</v>
      </c>
      <c r="AA80" s="46">
        <f t="shared" si="26"/>
        <v>4.1545893719806763E-2</v>
      </c>
      <c r="AB80" s="46">
        <f t="shared" si="26"/>
        <v>4.0579710144927533E-2</v>
      </c>
      <c r="AC80" s="46">
        <f t="shared" si="26"/>
        <v>3.961352657004831E-2</v>
      </c>
      <c r="AD80" s="46">
        <f t="shared" si="26"/>
        <v>3.864734299516908E-2</v>
      </c>
      <c r="AE80" s="46">
        <f t="shared" si="26"/>
        <v>3.7681159420289857E-2</v>
      </c>
      <c r="AF80" s="46">
        <f t="shared" si="26"/>
        <v>3.6714975845410627E-2</v>
      </c>
      <c r="AG80" s="46">
        <f t="shared" si="26"/>
        <v>3.5748792270531404E-2</v>
      </c>
      <c r="AH80" s="46">
        <f t="shared" si="26"/>
        <v>3.4782608695652174E-2</v>
      </c>
      <c r="AI80" s="46">
        <f t="shared" si="26"/>
        <v>3.3816425120772944E-2</v>
      </c>
      <c r="AJ80" s="46">
        <f t="shared" si="26"/>
        <v>3.2850241545893721E-2</v>
      </c>
      <c r="AK80" s="46">
        <f t="shared" si="26"/>
        <v>3.1884057971014491E-2</v>
      </c>
      <c r="AL80" s="46">
        <f t="shared" si="26"/>
        <v>3.0917874396135265E-2</v>
      </c>
      <c r="AM80" s="46">
        <f t="shared" si="26"/>
        <v>2.9951690821256038E-2</v>
      </c>
      <c r="AN80" s="46">
        <f t="shared" si="26"/>
        <v>2.8985507246376812E-2</v>
      </c>
      <c r="AO80" s="46">
        <f t="shared" si="26"/>
        <v>2.8019323671497585E-2</v>
      </c>
      <c r="AP80" s="46">
        <f t="shared" si="26"/>
        <v>2.7053140096618359E-2</v>
      </c>
      <c r="AQ80" s="46">
        <f t="shared" si="26"/>
        <v>2.6086956521739129E-2</v>
      </c>
      <c r="AR80" s="46">
        <f t="shared" si="26"/>
        <v>2.5120772946859903E-2</v>
      </c>
      <c r="AS80" s="46">
        <f t="shared" si="26"/>
        <v>2.4154589371980676E-2</v>
      </c>
      <c r="AT80" s="172">
        <f t="shared" si="26"/>
        <v>2.318840579710145E-2</v>
      </c>
      <c r="AU80" s="153">
        <f t="shared" si="26"/>
        <v>2.2222222222222223E-2</v>
      </c>
      <c r="AV80" s="46">
        <f t="shared" si="26"/>
        <v>2.1256038647342997E-2</v>
      </c>
      <c r="AW80" s="46">
        <f t="shared" si="26"/>
        <v>2.0289855072463767E-2</v>
      </c>
      <c r="AX80" s="46">
        <f t="shared" si="26"/>
        <v>1.932367149758454E-2</v>
      </c>
      <c r="AY80" s="46">
        <f t="shared" si="26"/>
        <v>1.8357487922705314E-2</v>
      </c>
      <c r="BA80" s="88" t="str">
        <f t="shared" ca="1" si="25"/>
        <v>Depreciation</v>
      </c>
      <c r="BB80" s="1" t="str">
        <f t="shared" ref="BB80:BB107" si="27">$A$76</f>
        <v>Sum of digits</v>
      </c>
      <c r="BC80" s="1" t="str">
        <f t="shared" ref="BC80:BC107" si="28">$B$77</f>
        <v>Profile</v>
      </c>
    </row>
    <row r="81" spans="5:55" x14ac:dyDescent="0.35">
      <c r="E81" s="2">
        <v>38442</v>
      </c>
      <c r="G81" t="s">
        <v>109</v>
      </c>
      <c r="H81" s="77"/>
      <c r="I81" s="27">
        <v>1035</v>
      </c>
      <c r="J81" t="s">
        <v>13</v>
      </c>
      <c r="X81" s="46">
        <f t="shared" ref="X81:AY81" si="29">X48/$I81</f>
        <v>0</v>
      </c>
      <c r="Y81" s="46">
        <f t="shared" si="29"/>
        <v>0</v>
      </c>
      <c r="Z81" s="46">
        <f t="shared" si="29"/>
        <v>4.3478260869565216E-2</v>
      </c>
      <c r="AA81" s="46">
        <f t="shared" si="29"/>
        <v>4.2512077294685993E-2</v>
      </c>
      <c r="AB81" s="46">
        <f t="shared" si="29"/>
        <v>4.1545893719806763E-2</v>
      </c>
      <c r="AC81" s="46">
        <f t="shared" si="29"/>
        <v>4.0579710144927533E-2</v>
      </c>
      <c r="AD81" s="46">
        <f t="shared" si="29"/>
        <v>3.961352657004831E-2</v>
      </c>
      <c r="AE81" s="46">
        <f t="shared" si="29"/>
        <v>3.864734299516908E-2</v>
      </c>
      <c r="AF81" s="46">
        <f t="shared" si="29"/>
        <v>3.7681159420289857E-2</v>
      </c>
      <c r="AG81" s="46">
        <f t="shared" si="29"/>
        <v>3.6714975845410627E-2</v>
      </c>
      <c r="AH81" s="46">
        <f t="shared" si="29"/>
        <v>3.5748792270531404E-2</v>
      </c>
      <c r="AI81" s="46">
        <f t="shared" si="29"/>
        <v>3.4782608695652174E-2</v>
      </c>
      <c r="AJ81" s="46">
        <f t="shared" si="29"/>
        <v>3.3816425120772944E-2</v>
      </c>
      <c r="AK81" s="46">
        <f t="shared" si="29"/>
        <v>3.2850241545893721E-2</v>
      </c>
      <c r="AL81" s="46">
        <f t="shared" si="29"/>
        <v>3.1884057971014491E-2</v>
      </c>
      <c r="AM81" s="46">
        <f t="shared" si="29"/>
        <v>3.0917874396135265E-2</v>
      </c>
      <c r="AN81" s="46">
        <f t="shared" si="29"/>
        <v>2.9951690821256038E-2</v>
      </c>
      <c r="AO81" s="46">
        <f t="shared" si="29"/>
        <v>2.8985507246376812E-2</v>
      </c>
      <c r="AP81" s="46">
        <f t="shared" si="29"/>
        <v>2.8019323671497585E-2</v>
      </c>
      <c r="AQ81" s="46">
        <f t="shared" si="29"/>
        <v>2.7053140096618359E-2</v>
      </c>
      <c r="AR81" s="46">
        <f t="shared" si="29"/>
        <v>2.6086956521739129E-2</v>
      </c>
      <c r="AS81" s="46">
        <f t="shared" si="29"/>
        <v>2.5120772946859903E-2</v>
      </c>
      <c r="AT81" s="172">
        <f t="shared" si="29"/>
        <v>2.4154589371980676E-2</v>
      </c>
      <c r="AU81" s="153">
        <f t="shared" si="29"/>
        <v>2.318840579710145E-2</v>
      </c>
      <c r="AV81" s="46">
        <f t="shared" si="29"/>
        <v>2.2222222222222223E-2</v>
      </c>
      <c r="AW81" s="46">
        <f t="shared" si="29"/>
        <v>2.1256038647342997E-2</v>
      </c>
      <c r="AX81" s="46">
        <f t="shared" si="29"/>
        <v>2.0289855072463767E-2</v>
      </c>
      <c r="AY81" s="46">
        <f t="shared" si="29"/>
        <v>1.932367149758454E-2</v>
      </c>
      <c r="BA81" s="88" t="str">
        <f t="shared" ca="1" si="25"/>
        <v>Depreciation</v>
      </c>
      <c r="BB81" s="1" t="str">
        <f t="shared" si="27"/>
        <v>Sum of digits</v>
      </c>
      <c r="BC81" s="1" t="str">
        <f t="shared" si="28"/>
        <v>Profile</v>
      </c>
    </row>
    <row r="82" spans="5:55" x14ac:dyDescent="0.35">
      <c r="E82" s="2">
        <v>38807</v>
      </c>
      <c r="G82" t="s">
        <v>109</v>
      </c>
      <c r="H82" s="77"/>
      <c r="I82" s="27">
        <v>1035</v>
      </c>
      <c r="J82" t="s">
        <v>13</v>
      </c>
      <c r="X82" s="46">
        <f t="shared" ref="X82:AY82" si="30">X49/$I82</f>
        <v>0</v>
      </c>
      <c r="Y82" s="46">
        <f t="shared" si="30"/>
        <v>0</v>
      </c>
      <c r="Z82" s="46">
        <f t="shared" si="30"/>
        <v>0</v>
      </c>
      <c r="AA82" s="46">
        <f t="shared" si="30"/>
        <v>4.3478260869565216E-2</v>
      </c>
      <c r="AB82" s="46">
        <f t="shared" si="30"/>
        <v>4.2512077294685993E-2</v>
      </c>
      <c r="AC82" s="46">
        <f t="shared" si="30"/>
        <v>4.1545893719806763E-2</v>
      </c>
      <c r="AD82" s="46">
        <f t="shared" si="30"/>
        <v>4.0579710144927533E-2</v>
      </c>
      <c r="AE82" s="46">
        <f t="shared" si="30"/>
        <v>3.961352657004831E-2</v>
      </c>
      <c r="AF82" s="46">
        <f t="shared" si="30"/>
        <v>3.864734299516908E-2</v>
      </c>
      <c r="AG82" s="46">
        <f t="shared" si="30"/>
        <v>3.7681159420289857E-2</v>
      </c>
      <c r="AH82" s="46">
        <f t="shared" si="30"/>
        <v>3.6714975845410627E-2</v>
      </c>
      <c r="AI82" s="46">
        <f t="shared" si="30"/>
        <v>3.5748792270531404E-2</v>
      </c>
      <c r="AJ82" s="46">
        <f t="shared" si="30"/>
        <v>3.4782608695652174E-2</v>
      </c>
      <c r="AK82" s="46">
        <f t="shared" si="30"/>
        <v>3.3816425120772944E-2</v>
      </c>
      <c r="AL82" s="46">
        <f t="shared" si="30"/>
        <v>3.2850241545893721E-2</v>
      </c>
      <c r="AM82" s="46">
        <f t="shared" si="30"/>
        <v>3.1884057971014491E-2</v>
      </c>
      <c r="AN82" s="46">
        <f t="shared" si="30"/>
        <v>3.0917874396135265E-2</v>
      </c>
      <c r="AO82" s="46">
        <f t="shared" si="30"/>
        <v>2.9951690821256038E-2</v>
      </c>
      <c r="AP82" s="46">
        <f t="shared" si="30"/>
        <v>2.8985507246376812E-2</v>
      </c>
      <c r="AQ82" s="46">
        <f t="shared" si="30"/>
        <v>2.8019323671497585E-2</v>
      </c>
      <c r="AR82" s="46">
        <f t="shared" si="30"/>
        <v>2.7053140096618359E-2</v>
      </c>
      <c r="AS82" s="46">
        <f t="shared" si="30"/>
        <v>2.6086956521739129E-2</v>
      </c>
      <c r="AT82" s="172">
        <f t="shared" si="30"/>
        <v>2.5120772946859903E-2</v>
      </c>
      <c r="AU82" s="153">
        <f t="shared" si="30"/>
        <v>2.4154589371980676E-2</v>
      </c>
      <c r="AV82" s="46">
        <f t="shared" si="30"/>
        <v>2.318840579710145E-2</v>
      </c>
      <c r="AW82" s="46">
        <f t="shared" si="30"/>
        <v>2.2222222222222223E-2</v>
      </c>
      <c r="AX82" s="46">
        <f t="shared" si="30"/>
        <v>2.1256038647342997E-2</v>
      </c>
      <c r="AY82" s="46">
        <f t="shared" si="30"/>
        <v>2.0289855072463767E-2</v>
      </c>
      <c r="BA82" s="88" t="str">
        <f t="shared" ca="1" si="25"/>
        <v>Depreciation</v>
      </c>
      <c r="BB82" s="1" t="str">
        <f t="shared" si="27"/>
        <v>Sum of digits</v>
      </c>
      <c r="BC82" s="1" t="str">
        <f t="shared" si="28"/>
        <v>Profile</v>
      </c>
    </row>
    <row r="83" spans="5:55" x14ac:dyDescent="0.35">
      <c r="E83" s="2">
        <v>39172</v>
      </c>
      <c r="G83" t="s">
        <v>109</v>
      </c>
      <c r="H83" s="77"/>
      <c r="I83" s="27">
        <v>1035</v>
      </c>
      <c r="J83" t="s">
        <v>13</v>
      </c>
      <c r="X83" s="46">
        <f t="shared" ref="X83:AY83" si="31">X50/$I83</f>
        <v>0</v>
      </c>
      <c r="Y83" s="46">
        <f t="shared" si="31"/>
        <v>0</v>
      </c>
      <c r="Z83" s="46">
        <f t="shared" si="31"/>
        <v>0</v>
      </c>
      <c r="AA83" s="46">
        <f t="shared" si="31"/>
        <v>0</v>
      </c>
      <c r="AB83" s="46">
        <f t="shared" si="31"/>
        <v>4.3478260869565216E-2</v>
      </c>
      <c r="AC83" s="46">
        <f t="shared" si="31"/>
        <v>4.2512077294685993E-2</v>
      </c>
      <c r="AD83" s="46">
        <f t="shared" si="31"/>
        <v>4.1545893719806763E-2</v>
      </c>
      <c r="AE83" s="46">
        <f t="shared" si="31"/>
        <v>4.0579710144927533E-2</v>
      </c>
      <c r="AF83" s="46">
        <f t="shared" si="31"/>
        <v>3.961352657004831E-2</v>
      </c>
      <c r="AG83" s="46">
        <f t="shared" si="31"/>
        <v>3.864734299516908E-2</v>
      </c>
      <c r="AH83" s="46">
        <f t="shared" si="31"/>
        <v>3.7681159420289857E-2</v>
      </c>
      <c r="AI83" s="46">
        <f t="shared" si="31"/>
        <v>3.6714975845410627E-2</v>
      </c>
      <c r="AJ83" s="46">
        <f t="shared" si="31"/>
        <v>3.5748792270531404E-2</v>
      </c>
      <c r="AK83" s="46">
        <f t="shared" si="31"/>
        <v>3.4782608695652174E-2</v>
      </c>
      <c r="AL83" s="46">
        <f t="shared" si="31"/>
        <v>3.3816425120772944E-2</v>
      </c>
      <c r="AM83" s="46">
        <f t="shared" si="31"/>
        <v>3.2850241545893721E-2</v>
      </c>
      <c r="AN83" s="46">
        <f t="shared" si="31"/>
        <v>3.1884057971014491E-2</v>
      </c>
      <c r="AO83" s="46">
        <f t="shared" si="31"/>
        <v>3.0917874396135265E-2</v>
      </c>
      <c r="AP83" s="46">
        <f t="shared" si="31"/>
        <v>2.9951690821256038E-2</v>
      </c>
      <c r="AQ83" s="46">
        <f t="shared" si="31"/>
        <v>2.8985507246376812E-2</v>
      </c>
      <c r="AR83" s="46">
        <f t="shared" si="31"/>
        <v>2.8019323671497585E-2</v>
      </c>
      <c r="AS83" s="46">
        <f t="shared" si="31"/>
        <v>2.7053140096618359E-2</v>
      </c>
      <c r="AT83" s="172">
        <f t="shared" si="31"/>
        <v>2.6086956521739129E-2</v>
      </c>
      <c r="AU83" s="153">
        <f t="shared" si="31"/>
        <v>2.5120772946859903E-2</v>
      </c>
      <c r="AV83" s="46">
        <f t="shared" si="31"/>
        <v>2.4154589371980676E-2</v>
      </c>
      <c r="AW83" s="46">
        <f t="shared" si="31"/>
        <v>2.318840579710145E-2</v>
      </c>
      <c r="AX83" s="46">
        <f t="shared" si="31"/>
        <v>2.2222222222222223E-2</v>
      </c>
      <c r="AY83" s="46">
        <f t="shared" si="31"/>
        <v>2.1256038647342997E-2</v>
      </c>
      <c r="BA83" s="88" t="str">
        <f t="shared" ca="1" si="25"/>
        <v>Depreciation</v>
      </c>
      <c r="BB83" s="1" t="str">
        <f t="shared" si="27"/>
        <v>Sum of digits</v>
      </c>
      <c r="BC83" s="1" t="str">
        <f t="shared" si="28"/>
        <v>Profile</v>
      </c>
    </row>
    <row r="84" spans="5:55" x14ac:dyDescent="0.35">
      <c r="E84" s="2">
        <v>39538</v>
      </c>
      <c r="G84" t="s">
        <v>109</v>
      </c>
      <c r="H84" s="77"/>
      <c r="I84" s="27">
        <v>1035</v>
      </c>
      <c r="J84" t="s">
        <v>13</v>
      </c>
      <c r="X84" s="46">
        <f t="shared" ref="X84:AY84" si="32">X51/$I84</f>
        <v>0</v>
      </c>
      <c r="Y84" s="46">
        <f t="shared" si="32"/>
        <v>0</v>
      </c>
      <c r="Z84" s="46">
        <f t="shared" si="32"/>
        <v>0</v>
      </c>
      <c r="AA84" s="46">
        <f t="shared" si="32"/>
        <v>0</v>
      </c>
      <c r="AB84" s="46">
        <f t="shared" si="32"/>
        <v>0</v>
      </c>
      <c r="AC84" s="46">
        <f t="shared" si="32"/>
        <v>4.3478260869565216E-2</v>
      </c>
      <c r="AD84" s="46">
        <f t="shared" si="32"/>
        <v>4.2512077294685993E-2</v>
      </c>
      <c r="AE84" s="46">
        <f t="shared" si="32"/>
        <v>4.1545893719806763E-2</v>
      </c>
      <c r="AF84" s="46">
        <f t="shared" si="32"/>
        <v>4.0579710144927533E-2</v>
      </c>
      <c r="AG84" s="46">
        <f t="shared" si="32"/>
        <v>3.961352657004831E-2</v>
      </c>
      <c r="AH84" s="46">
        <f t="shared" si="32"/>
        <v>3.864734299516908E-2</v>
      </c>
      <c r="AI84" s="46">
        <f t="shared" si="32"/>
        <v>3.7681159420289857E-2</v>
      </c>
      <c r="AJ84" s="46">
        <f t="shared" si="32"/>
        <v>3.6714975845410627E-2</v>
      </c>
      <c r="AK84" s="46">
        <f t="shared" si="32"/>
        <v>3.5748792270531404E-2</v>
      </c>
      <c r="AL84" s="46">
        <f t="shared" si="32"/>
        <v>3.4782608695652174E-2</v>
      </c>
      <c r="AM84" s="46">
        <f t="shared" si="32"/>
        <v>3.3816425120772944E-2</v>
      </c>
      <c r="AN84" s="46">
        <f t="shared" si="32"/>
        <v>3.2850241545893721E-2</v>
      </c>
      <c r="AO84" s="46">
        <f t="shared" si="32"/>
        <v>3.1884057971014491E-2</v>
      </c>
      <c r="AP84" s="46">
        <f t="shared" si="32"/>
        <v>3.0917874396135265E-2</v>
      </c>
      <c r="AQ84" s="46">
        <f t="shared" si="32"/>
        <v>2.9951690821256038E-2</v>
      </c>
      <c r="AR84" s="46">
        <f t="shared" si="32"/>
        <v>2.8985507246376812E-2</v>
      </c>
      <c r="AS84" s="46">
        <f t="shared" si="32"/>
        <v>2.8019323671497585E-2</v>
      </c>
      <c r="AT84" s="172">
        <f t="shared" si="32"/>
        <v>2.7053140096618359E-2</v>
      </c>
      <c r="AU84" s="153">
        <f t="shared" si="32"/>
        <v>2.6086956521739129E-2</v>
      </c>
      <c r="AV84" s="46">
        <f t="shared" si="32"/>
        <v>2.5120772946859903E-2</v>
      </c>
      <c r="AW84" s="46">
        <f t="shared" si="32"/>
        <v>2.4154589371980676E-2</v>
      </c>
      <c r="AX84" s="46">
        <f t="shared" si="32"/>
        <v>2.318840579710145E-2</v>
      </c>
      <c r="AY84" s="46">
        <f t="shared" si="32"/>
        <v>2.2222222222222223E-2</v>
      </c>
      <c r="BA84" s="88" t="str">
        <f t="shared" ca="1" si="25"/>
        <v>Depreciation</v>
      </c>
      <c r="BB84" s="1" t="str">
        <f t="shared" si="27"/>
        <v>Sum of digits</v>
      </c>
      <c r="BC84" s="1" t="str">
        <f t="shared" si="28"/>
        <v>Profile</v>
      </c>
    </row>
    <row r="85" spans="5:55" x14ac:dyDescent="0.35">
      <c r="E85" s="2">
        <v>39903</v>
      </c>
      <c r="G85" t="s">
        <v>109</v>
      </c>
      <c r="H85" s="77"/>
      <c r="I85" s="27">
        <v>1035</v>
      </c>
      <c r="J85" t="s">
        <v>13</v>
      </c>
      <c r="X85" s="46">
        <f t="shared" ref="X85:AY85" si="33">X52/$I85</f>
        <v>0</v>
      </c>
      <c r="Y85" s="46">
        <f t="shared" si="33"/>
        <v>0</v>
      </c>
      <c r="Z85" s="46">
        <f t="shared" si="33"/>
        <v>0</v>
      </c>
      <c r="AA85" s="46">
        <f t="shared" si="33"/>
        <v>0</v>
      </c>
      <c r="AB85" s="46">
        <f t="shared" si="33"/>
        <v>0</v>
      </c>
      <c r="AC85" s="46">
        <f t="shared" si="33"/>
        <v>0</v>
      </c>
      <c r="AD85" s="46">
        <f t="shared" si="33"/>
        <v>4.3478260869565216E-2</v>
      </c>
      <c r="AE85" s="46">
        <f t="shared" si="33"/>
        <v>4.2512077294685993E-2</v>
      </c>
      <c r="AF85" s="46">
        <f t="shared" si="33"/>
        <v>4.1545893719806763E-2</v>
      </c>
      <c r="AG85" s="46">
        <f t="shared" si="33"/>
        <v>4.0579710144927533E-2</v>
      </c>
      <c r="AH85" s="46">
        <f t="shared" si="33"/>
        <v>3.961352657004831E-2</v>
      </c>
      <c r="AI85" s="46">
        <f t="shared" si="33"/>
        <v>3.864734299516908E-2</v>
      </c>
      <c r="AJ85" s="46">
        <f t="shared" si="33"/>
        <v>3.7681159420289857E-2</v>
      </c>
      <c r="AK85" s="46">
        <f t="shared" si="33"/>
        <v>3.6714975845410627E-2</v>
      </c>
      <c r="AL85" s="46">
        <f t="shared" si="33"/>
        <v>3.5748792270531404E-2</v>
      </c>
      <c r="AM85" s="46">
        <f t="shared" si="33"/>
        <v>3.4782608695652174E-2</v>
      </c>
      <c r="AN85" s="46">
        <f t="shared" si="33"/>
        <v>3.3816425120772944E-2</v>
      </c>
      <c r="AO85" s="46">
        <f t="shared" si="33"/>
        <v>3.2850241545893721E-2</v>
      </c>
      <c r="AP85" s="46">
        <f t="shared" si="33"/>
        <v>3.1884057971014491E-2</v>
      </c>
      <c r="AQ85" s="46">
        <f t="shared" si="33"/>
        <v>3.0917874396135265E-2</v>
      </c>
      <c r="AR85" s="46">
        <f t="shared" si="33"/>
        <v>2.9951690821256038E-2</v>
      </c>
      <c r="AS85" s="46">
        <f t="shared" si="33"/>
        <v>2.8985507246376812E-2</v>
      </c>
      <c r="AT85" s="172">
        <f t="shared" si="33"/>
        <v>2.8019323671497585E-2</v>
      </c>
      <c r="AU85" s="153">
        <f t="shared" si="33"/>
        <v>2.7053140096618359E-2</v>
      </c>
      <c r="AV85" s="46">
        <f t="shared" si="33"/>
        <v>2.6086956521739129E-2</v>
      </c>
      <c r="AW85" s="46">
        <f t="shared" si="33"/>
        <v>2.5120772946859903E-2</v>
      </c>
      <c r="AX85" s="46">
        <f t="shared" si="33"/>
        <v>2.4154589371980676E-2</v>
      </c>
      <c r="AY85" s="46">
        <f t="shared" si="33"/>
        <v>2.318840579710145E-2</v>
      </c>
      <c r="BA85" s="88" t="str">
        <f t="shared" ca="1" si="25"/>
        <v>Depreciation</v>
      </c>
      <c r="BB85" s="1" t="str">
        <f t="shared" si="27"/>
        <v>Sum of digits</v>
      </c>
      <c r="BC85" s="1" t="str">
        <f t="shared" si="28"/>
        <v>Profile</v>
      </c>
    </row>
    <row r="86" spans="5:55" x14ac:dyDescent="0.35">
      <c r="E86" s="2">
        <v>40268</v>
      </c>
      <c r="G86" t="s">
        <v>109</v>
      </c>
      <c r="H86" s="77"/>
      <c r="I86" s="27">
        <v>1035</v>
      </c>
      <c r="J86" t="s">
        <v>13</v>
      </c>
      <c r="X86" s="46">
        <f t="shared" ref="X86:AY86" si="34">X53/$I86</f>
        <v>0</v>
      </c>
      <c r="Y86" s="46">
        <f t="shared" si="34"/>
        <v>0</v>
      </c>
      <c r="Z86" s="46">
        <f t="shared" si="34"/>
        <v>0</v>
      </c>
      <c r="AA86" s="46">
        <f t="shared" si="34"/>
        <v>0</v>
      </c>
      <c r="AB86" s="46">
        <f t="shared" si="34"/>
        <v>0</v>
      </c>
      <c r="AC86" s="46">
        <f t="shared" si="34"/>
        <v>0</v>
      </c>
      <c r="AD86" s="46">
        <f t="shared" si="34"/>
        <v>0</v>
      </c>
      <c r="AE86" s="46">
        <f t="shared" si="34"/>
        <v>4.3478260869565216E-2</v>
      </c>
      <c r="AF86" s="46">
        <f t="shared" si="34"/>
        <v>4.2512077294685993E-2</v>
      </c>
      <c r="AG86" s="46">
        <f t="shared" si="34"/>
        <v>4.1545893719806763E-2</v>
      </c>
      <c r="AH86" s="46">
        <f t="shared" si="34"/>
        <v>4.0579710144927533E-2</v>
      </c>
      <c r="AI86" s="46">
        <f t="shared" si="34"/>
        <v>3.961352657004831E-2</v>
      </c>
      <c r="AJ86" s="46">
        <f t="shared" si="34"/>
        <v>3.864734299516908E-2</v>
      </c>
      <c r="AK86" s="46">
        <f t="shared" si="34"/>
        <v>3.7681159420289857E-2</v>
      </c>
      <c r="AL86" s="46">
        <f t="shared" si="34"/>
        <v>3.6714975845410627E-2</v>
      </c>
      <c r="AM86" s="46">
        <f t="shared" si="34"/>
        <v>3.5748792270531404E-2</v>
      </c>
      <c r="AN86" s="46">
        <f t="shared" si="34"/>
        <v>3.4782608695652174E-2</v>
      </c>
      <c r="AO86" s="46">
        <f t="shared" si="34"/>
        <v>3.3816425120772944E-2</v>
      </c>
      <c r="AP86" s="46">
        <f t="shared" si="34"/>
        <v>3.2850241545893721E-2</v>
      </c>
      <c r="AQ86" s="46">
        <f t="shared" si="34"/>
        <v>3.1884057971014491E-2</v>
      </c>
      <c r="AR86" s="46">
        <f t="shared" si="34"/>
        <v>3.0917874396135265E-2</v>
      </c>
      <c r="AS86" s="46">
        <f t="shared" si="34"/>
        <v>2.9951690821256038E-2</v>
      </c>
      <c r="AT86" s="172">
        <f t="shared" si="34"/>
        <v>2.8985507246376812E-2</v>
      </c>
      <c r="AU86" s="153">
        <f t="shared" si="34"/>
        <v>2.8019323671497585E-2</v>
      </c>
      <c r="AV86" s="46">
        <f t="shared" si="34"/>
        <v>2.7053140096618359E-2</v>
      </c>
      <c r="AW86" s="46">
        <f t="shared" si="34"/>
        <v>2.6086956521739129E-2</v>
      </c>
      <c r="AX86" s="46">
        <f t="shared" si="34"/>
        <v>2.5120772946859903E-2</v>
      </c>
      <c r="AY86" s="46">
        <f t="shared" si="34"/>
        <v>2.4154589371980676E-2</v>
      </c>
      <c r="BA86" s="88" t="str">
        <f t="shared" ca="1" si="25"/>
        <v>Depreciation</v>
      </c>
      <c r="BB86" s="1" t="str">
        <f t="shared" si="27"/>
        <v>Sum of digits</v>
      </c>
      <c r="BC86" s="1" t="str">
        <f t="shared" si="28"/>
        <v>Profile</v>
      </c>
    </row>
    <row r="87" spans="5:55" x14ac:dyDescent="0.35">
      <c r="E87" s="2">
        <v>40633</v>
      </c>
      <c r="G87" t="s">
        <v>109</v>
      </c>
      <c r="H87" s="77"/>
      <c r="I87" s="27">
        <v>1035</v>
      </c>
      <c r="J87" t="s">
        <v>13</v>
      </c>
      <c r="X87" s="46">
        <f t="shared" ref="X87:AY87" si="35">X54/$I87</f>
        <v>0</v>
      </c>
      <c r="Y87" s="46">
        <f t="shared" si="35"/>
        <v>0</v>
      </c>
      <c r="Z87" s="46">
        <f t="shared" si="35"/>
        <v>0</v>
      </c>
      <c r="AA87" s="46">
        <f t="shared" si="35"/>
        <v>0</v>
      </c>
      <c r="AB87" s="46">
        <f t="shared" si="35"/>
        <v>0</v>
      </c>
      <c r="AC87" s="46">
        <f t="shared" si="35"/>
        <v>0</v>
      </c>
      <c r="AD87" s="46">
        <f t="shared" si="35"/>
        <v>0</v>
      </c>
      <c r="AE87" s="46">
        <f t="shared" si="35"/>
        <v>0</v>
      </c>
      <c r="AF87" s="46">
        <f t="shared" si="35"/>
        <v>4.3478260869565216E-2</v>
      </c>
      <c r="AG87" s="46">
        <f t="shared" si="35"/>
        <v>4.2512077294685993E-2</v>
      </c>
      <c r="AH87" s="46">
        <f t="shared" si="35"/>
        <v>4.1545893719806763E-2</v>
      </c>
      <c r="AI87" s="46">
        <f t="shared" si="35"/>
        <v>4.0579710144927533E-2</v>
      </c>
      <c r="AJ87" s="46">
        <f t="shared" si="35"/>
        <v>3.961352657004831E-2</v>
      </c>
      <c r="AK87" s="46">
        <f t="shared" si="35"/>
        <v>3.864734299516908E-2</v>
      </c>
      <c r="AL87" s="46">
        <f t="shared" si="35"/>
        <v>3.7681159420289857E-2</v>
      </c>
      <c r="AM87" s="46">
        <f t="shared" si="35"/>
        <v>3.6714975845410627E-2</v>
      </c>
      <c r="AN87" s="46">
        <f t="shared" si="35"/>
        <v>3.5748792270531404E-2</v>
      </c>
      <c r="AO87" s="46">
        <f t="shared" si="35"/>
        <v>3.4782608695652174E-2</v>
      </c>
      <c r="AP87" s="46">
        <f t="shared" si="35"/>
        <v>3.3816425120772944E-2</v>
      </c>
      <c r="AQ87" s="46">
        <f t="shared" si="35"/>
        <v>3.2850241545893721E-2</v>
      </c>
      <c r="AR87" s="46">
        <f t="shared" si="35"/>
        <v>3.1884057971014491E-2</v>
      </c>
      <c r="AS87" s="46">
        <f t="shared" si="35"/>
        <v>3.0917874396135265E-2</v>
      </c>
      <c r="AT87" s="172">
        <f t="shared" si="35"/>
        <v>2.9951690821256038E-2</v>
      </c>
      <c r="AU87" s="153">
        <f t="shared" si="35"/>
        <v>2.8985507246376812E-2</v>
      </c>
      <c r="AV87" s="46">
        <f t="shared" si="35"/>
        <v>2.8019323671497585E-2</v>
      </c>
      <c r="AW87" s="46">
        <f t="shared" si="35"/>
        <v>2.7053140096618359E-2</v>
      </c>
      <c r="AX87" s="46">
        <f t="shared" si="35"/>
        <v>2.6086956521739129E-2</v>
      </c>
      <c r="AY87" s="46">
        <f t="shared" si="35"/>
        <v>2.5120772946859903E-2</v>
      </c>
      <c r="BA87" s="88" t="str">
        <f t="shared" ca="1" si="25"/>
        <v>Depreciation</v>
      </c>
      <c r="BB87" s="1" t="str">
        <f t="shared" si="27"/>
        <v>Sum of digits</v>
      </c>
      <c r="BC87" s="1" t="str">
        <f t="shared" si="28"/>
        <v>Profile</v>
      </c>
    </row>
    <row r="88" spans="5:55" x14ac:dyDescent="0.35">
      <c r="E88" s="2">
        <v>40999</v>
      </c>
      <c r="G88" t="s">
        <v>109</v>
      </c>
      <c r="H88" s="77"/>
      <c r="I88" s="27">
        <v>1035</v>
      </c>
      <c r="J88" t="s">
        <v>13</v>
      </c>
      <c r="X88" s="46">
        <f t="shared" ref="X88:AY88" si="36">X55/$I88</f>
        <v>0</v>
      </c>
      <c r="Y88" s="46">
        <f t="shared" si="36"/>
        <v>0</v>
      </c>
      <c r="Z88" s="46">
        <f t="shared" si="36"/>
        <v>0</v>
      </c>
      <c r="AA88" s="46">
        <f t="shared" si="36"/>
        <v>0</v>
      </c>
      <c r="AB88" s="46">
        <f t="shared" si="36"/>
        <v>0</v>
      </c>
      <c r="AC88" s="46">
        <f t="shared" si="36"/>
        <v>0</v>
      </c>
      <c r="AD88" s="46">
        <f t="shared" si="36"/>
        <v>0</v>
      </c>
      <c r="AE88" s="46">
        <f t="shared" si="36"/>
        <v>0</v>
      </c>
      <c r="AF88" s="46">
        <f t="shared" si="36"/>
        <v>0</v>
      </c>
      <c r="AG88" s="46">
        <f t="shared" si="36"/>
        <v>4.3478260869565216E-2</v>
      </c>
      <c r="AH88" s="46">
        <f t="shared" si="36"/>
        <v>4.2512077294685993E-2</v>
      </c>
      <c r="AI88" s="46">
        <f t="shared" si="36"/>
        <v>4.1545893719806763E-2</v>
      </c>
      <c r="AJ88" s="46">
        <f t="shared" si="36"/>
        <v>4.0579710144927533E-2</v>
      </c>
      <c r="AK88" s="46">
        <f t="shared" si="36"/>
        <v>3.961352657004831E-2</v>
      </c>
      <c r="AL88" s="46">
        <f t="shared" si="36"/>
        <v>3.864734299516908E-2</v>
      </c>
      <c r="AM88" s="46">
        <f t="shared" si="36"/>
        <v>3.7681159420289857E-2</v>
      </c>
      <c r="AN88" s="46">
        <f t="shared" si="36"/>
        <v>3.6714975845410627E-2</v>
      </c>
      <c r="AO88" s="46">
        <f t="shared" si="36"/>
        <v>3.5748792270531404E-2</v>
      </c>
      <c r="AP88" s="46">
        <f t="shared" si="36"/>
        <v>3.4782608695652174E-2</v>
      </c>
      <c r="AQ88" s="46">
        <f t="shared" si="36"/>
        <v>3.3816425120772944E-2</v>
      </c>
      <c r="AR88" s="46">
        <f t="shared" si="36"/>
        <v>3.2850241545893721E-2</v>
      </c>
      <c r="AS88" s="46">
        <f t="shared" si="36"/>
        <v>3.1884057971014491E-2</v>
      </c>
      <c r="AT88" s="172">
        <f t="shared" si="36"/>
        <v>3.0917874396135265E-2</v>
      </c>
      <c r="AU88" s="153">
        <f t="shared" si="36"/>
        <v>2.9951690821256038E-2</v>
      </c>
      <c r="AV88" s="46">
        <f t="shared" si="36"/>
        <v>2.8985507246376812E-2</v>
      </c>
      <c r="AW88" s="46">
        <f t="shared" si="36"/>
        <v>2.8019323671497585E-2</v>
      </c>
      <c r="AX88" s="46">
        <f t="shared" si="36"/>
        <v>2.7053140096618359E-2</v>
      </c>
      <c r="AY88" s="46">
        <f t="shared" si="36"/>
        <v>2.6086956521739129E-2</v>
      </c>
      <c r="BA88" s="88" t="str">
        <f t="shared" ca="1" si="25"/>
        <v>Depreciation</v>
      </c>
      <c r="BB88" s="1" t="str">
        <f t="shared" si="27"/>
        <v>Sum of digits</v>
      </c>
      <c r="BC88" s="1" t="str">
        <f t="shared" si="28"/>
        <v>Profile</v>
      </c>
    </row>
    <row r="89" spans="5:55" x14ac:dyDescent="0.35">
      <c r="E89" s="2">
        <v>41364</v>
      </c>
      <c r="G89" t="s">
        <v>109</v>
      </c>
      <c r="H89" s="77"/>
      <c r="I89" s="27">
        <v>1035</v>
      </c>
      <c r="J89" t="s">
        <v>13</v>
      </c>
      <c r="X89" s="46">
        <f t="shared" ref="X89:AY89" si="37">X56/$I89</f>
        <v>0</v>
      </c>
      <c r="Y89" s="46">
        <f t="shared" si="37"/>
        <v>0</v>
      </c>
      <c r="Z89" s="46">
        <f t="shared" si="37"/>
        <v>0</v>
      </c>
      <c r="AA89" s="46">
        <f t="shared" si="37"/>
        <v>0</v>
      </c>
      <c r="AB89" s="46">
        <f t="shared" si="37"/>
        <v>0</v>
      </c>
      <c r="AC89" s="46">
        <f t="shared" si="37"/>
        <v>0</v>
      </c>
      <c r="AD89" s="46">
        <f t="shared" si="37"/>
        <v>0</v>
      </c>
      <c r="AE89" s="46">
        <f t="shared" si="37"/>
        <v>0</v>
      </c>
      <c r="AF89" s="46">
        <f t="shared" si="37"/>
        <v>0</v>
      </c>
      <c r="AG89" s="46">
        <f t="shared" si="37"/>
        <v>0</v>
      </c>
      <c r="AH89" s="46">
        <f t="shared" si="37"/>
        <v>4.3478260869565216E-2</v>
      </c>
      <c r="AI89" s="46">
        <f t="shared" si="37"/>
        <v>4.2512077294685993E-2</v>
      </c>
      <c r="AJ89" s="46">
        <f t="shared" si="37"/>
        <v>4.1545893719806763E-2</v>
      </c>
      <c r="AK89" s="46">
        <f t="shared" si="37"/>
        <v>4.0579710144927533E-2</v>
      </c>
      <c r="AL89" s="46">
        <f t="shared" si="37"/>
        <v>3.961352657004831E-2</v>
      </c>
      <c r="AM89" s="46">
        <f t="shared" si="37"/>
        <v>3.864734299516908E-2</v>
      </c>
      <c r="AN89" s="46">
        <f t="shared" si="37"/>
        <v>3.7681159420289857E-2</v>
      </c>
      <c r="AO89" s="46">
        <f t="shared" si="37"/>
        <v>3.6714975845410627E-2</v>
      </c>
      <c r="AP89" s="46">
        <f t="shared" si="37"/>
        <v>3.5748792270531404E-2</v>
      </c>
      <c r="AQ89" s="46">
        <f t="shared" si="37"/>
        <v>3.4782608695652174E-2</v>
      </c>
      <c r="AR89" s="46">
        <f t="shared" si="37"/>
        <v>3.3816425120772944E-2</v>
      </c>
      <c r="AS89" s="46">
        <f t="shared" si="37"/>
        <v>3.2850241545893721E-2</v>
      </c>
      <c r="AT89" s="172">
        <f t="shared" si="37"/>
        <v>3.1884057971014491E-2</v>
      </c>
      <c r="AU89" s="153">
        <f t="shared" si="37"/>
        <v>3.0917874396135265E-2</v>
      </c>
      <c r="AV89" s="46">
        <f t="shared" si="37"/>
        <v>2.9951690821256038E-2</v>
      </c>
      <c r="AW89" s="46">
        <f t="shared" si="37"/>
        <v>2.8985507246376812E-2</v>
      </c>
      <c r="AX89" s="46">
        <f t="shared" si="37"/>
        <v>2.8019323671497585E-2</v>
      </c>
      <c r="AY89" s="46">
        <f t="shared" si="37"/>
        <v>2.7053140096618359E-2</v>
      </c>
      <c r="BA89" s="88" t="str">
        <f t="shared" ca="1" si="25"/>
        <v>Depreciation</v>
      </c>
      <c r="BB89" s="1" t="str">
        <f t="shared" si="27"/>
        <v>Sum of digits</v>
      </c>
      <c r="BC89" s="1" t="str">
        <f t="shared" si="28"/>
        <v>Profile</v>
      </c>
    </row>
    <row r="90" spans="5:55" x14ac:dyDescent="0.35">
      <c r="E90" s="2">
        <v>41729</v>
      </c>
      <c r="G90" t="s">
        <v>109</v>
      </c>
      <c r="H90" s="77"/>
      <c r="I90" s="27">
        <v>1035</v>
      </c>
      <c r="J90" t="s">
        <v>13</v>
      </c>
      <c r="X90" s="46">
        <f t="shared" ref="X90:AY90" si="38">X57/$I90</f>
        <v>0</v>
      </c>
      <c r="Y90" s="46">
        <f t="shared" si="38"/>
        <v>0</v>
      </c>
      <c r="Z90" s="46">
        <f t="shared" si="38"/>
        <v>0</v>
      </c>
      <c r="AA90" s="46">
        <f t="shared" si="38"/>
        <v>0</v>
      </c>
      <c r="AB90" s="46">
        <f t="shared" si="38"/>
        <v>0</v>
      </c>
      <c r="AC90" s="46">
        <f t="shared" si="38"/>
        <v>0</v>
      </c>
      <c r="AD90" s="46">
        <f t="shared" si="38"/>
        <v>0</v>
      </c>
      <c r="AE90" s="46">
        <f t="shared" si="38"/>
        <v>0</v>
      </c>
      <c r="AF90" s="46">
        <f t="shared" si="38"/>
        <v>0</v>
      </c>
      <c r="AG90" s="46">
        <f t="shared" si="38"/>
        <v>0</v>
      </c>
      <c r="AH90" s="46">
        <f t="shared" si="38"/>
        <v>0</v>
      </c>
      <c r="AI90" s="46">
        <f t="shared" si="38"/>
        <v>4.3478260869565216E-2</v>
      </c>
      <c r="AJ90" s="46">
        <f t="shared" si="38"/>
        <v>4.2512077294685993E-2</v>
      </c>
      <c r="AK90" s="46">
        <f t="shared" si="38"/>
        <v>4.1545893719806763E-2</v>
      </c>
      <c r="AL90" s="46">
        <f t="shared" si="38"/>
        <v>4.0579710144927533E-2</v>
      </c>
      <c r="AM90" s="46">
        <f t="shared" si="38"/>
        <v>3.961352657004831E-2</v>
      </c>
      <c r="AN90" s="46">
        <f t="shared" si="38"/>
        <v>3.864734299516908E-2</v>
      </c>
      <c r="AO90" s="46">
        <f t="shared" si="38"/>
        <v>3.7681159420289857E-2</v>
      </c>
      <c r="AP90" s="46">
        <f t="shared" si="38"/>
        <v>3.6714975845410627E-2</v>
      </c>
      <c r="AQ90" s="46">
        <f t="shared" si="38"/>
        <v>3.5748792270531404E-2</v>
      </c>
      <c r="AR90" s="46">
        <f t="shared" si="38"/>
        <v>3.4782608695652174E-2</v>
      </c>
      <c r="AS90" s="46">
        <f t="shared" si="38"/>
        <v>3.3816425120772944E-2</v>
      </c>
      <c r="AT90" s="172">
        <f t="shared" si="38"/>
        <v>3.2850241545893721E-2</v>
      </c>
      <c r="AU90" s="153">
        <f t="shared" si="38"/>
        <v>3.1884057971014491E-2</v>
      </c>
      <c r="AV90" s="46">
        <f t="shared" si="38"/>
        <v>3.0917874396135265E-2</v>
      </c>
      <c r="AW90" s="46">
        <f t="shared" si="38"/>
        <v>2.9951690821256038E-2</v>
      </c>
      <c r="AX90" s="46">
        <f t="shared" si="38"/>
        <v>2.8985507246376812E-2</v>
      </c>
      <c r="AY90" s="46">
        <f t="shared" si="38"/>
        <v>2.8019323671497585E-2</v>
      </c>
      <c r="BA90" s="88" t="str">
        <f t="shared" ca="1" si="25"/>
        <v>Depreciation</v>
      </c>
      <c r="BB90" s="1" t="str">
        <f t="shared" si="27"/>
        <v>Sum of digits</v>
      </c>
      <c r="BC90" s="1" t="str">
        <f t="shared" si="28"/>
        <v>Profile</v>
      </c>
    </row>
    <row r="91" spans="5:55" x14ac:dyDescent="0.35">
      <c r="E91" s="2">
        <v>42094</v>
      </c>
      <c r="G91" t="s">
        <v>109</v>
      </c>
      <c r="H91" s="77"/>
      <c r="I91" s="27">
        <v>1035</v>
      </c>
      <c r="J91" t="s">
        <v>13</v>
      </c>
      <c r="X91" s="46">
        <f t="shared" ref="X91:AY91" si="39">X58/$I91</f>
        <v>0</v>
      </c>
      <c r="Y91" s="46">
        <f t="shared" si="39"/>
        <v>0</v>
      </c>
      <c r="Z91" s="46">
        <f t="shared" si="39"/>
        <v>0</v>
      </c>
      <c r="AA91" s="46">
        <f t="shared" si="39"/>
        <v>0</v>
      </c>
      <c r="AB91" s="46">
        <f t="shared" si="39"/>
        <v>0</v>
      </c>
      <c r="AC91" s="46">
        <f t="shared" si="39"/>
        <v>0</v>
      </c>
      <c r="AD91" s="46">
        <f t="shared" si="39"/>
        <v>0</v>
      </c>
      <c r="AE91" s="46">
        <f t="shared" si="39"/>
        <v>0</v>
      </c>
      <c r="AF91" s="46">
        <f t="shared" si="39"/>
        <v>0</v>
      </c>
      <c r="AG91" s="46">
        <f t="shared" si="39"/>
        <v>0</v>
      </c>
      <c r="AH91" s="46">
        <f t="shared" si="39"/>
        <v>0</v>
      </c>
      <c r="AI91" s="46">
        <f t="shared" si="39"/>
        <v>0</v>
      </c>
      <c r="AJ91" s="46">
        <f t="shared" si="39"/>
        <v>4.3478260869565216E-2</v>
      </c>
      <c r="AK91" s="46">
        <f t="shared" si="39"/>
        <v>4.2512077294685993E-2</v>
      </c>
      <c r="AL91" s="46">
        <f t="shared" si="39"/>
        <v>4.1545893719806763E-2</v>
      </c>
      <c r="AM91" s="46">
        <f t="shared" si="39"/>
        <v>4.0579710144927533E-2</v>
      </c>
      <c r="AN91" s="46">
        <f t="shared" si="39"/>
        <v>3.961352657004831E-2</v>
      </c>
      <c r="AO91" s="46">
        <f t="shared" si="39"/>
        <v>3.864734299516908E-2</v>
      </c>
      <c r="AP91" s="46">
        <f t="shared" si="39"/>
        <v>3.7681159420289857E-2</v>
      </c>
      <c r="AQ91" s="46">
        <f t="shared" si="39"/>
        <v>3.6714975845410627E-2</v>
      </c>
      <c r="AR91" s="46">
        <f t="shared" si="39"/>
        <v>3.5748792270531404E-2</v>
      </c>
      <c r="AS91" s="46">
        <f t="shared" si="39"/>
        <v>3.4782608695652174E-2</v>
      </c>
      <c r="AT91" s="172">
        <f t="shared" si="39"/>
        <v>3.3816425120772944E-2</v>
      </c>
      <c r="AU91" s="153">
        <f t="shared" si="39"/>
        <v>3.2850241545893721E-2</v>
      </c>
      <c r="AV91" s="46">
        <f t="shared" si="39"/>
        <v>3.1884057971014491E-2</v>
      </c>
      <c r="AW91" s="46">
        <f t="shared" si="39"/>
        <v>3.0917874396135265E-2</v>
      </c>
      <c r="AX91" s="46">
        <f t="shared" si="39"/>
        <v>2.9951690821256038E-2</v>
      </c>
      <c r="AY91" s="46">
        <f t="shared" si="39"/>
        <v>2.8985507246376812E-2</v>
      </c>
      <c r="BA91" s="88" t="str">
        <f t="shared" ca="1" si="25"/>
        <v>Depreciation</v>
      </c>
      <c r="BB91" s="1" t="str">
        <f t="shared" si="27"/>
        <v>Sum of digits</v>
      </c>
      <c r="BC91" s="1" t="str">
        <f t="shared" si="28"/>
        <v>Profile</v>
      </c>
    </row>
    <row r="92" spans="5:55" x14ac:dyDescent="0.35">
      <c r="E92" s="2">
        <v>42460</v>
      </c>
      <c r="G92" t="s">
        <v>109</v>
      </c>
      <c r="H92" s="77"/>
      <c r="I92" s="27">
        <v>1035</v>
      </c>
      <c r="J92" t="s">
        <v>13</v>
      </c>
      <c r="X92" s="46">
        <f t="shared" ref="X92:AY92" si="40">X59/$I92</f>
        <v>0</v>
      </c>
      <c r="Y92" s="46">
        <f t="shared" si="40"/>
        <v>0</v>
      </c>
      <c r="Z92" s="46">
        <f t="shared" si="40"/>
        <v>0</v>
      </c>
      <c r="AA92" s="46">
        <f t="shared" si="40"/>
        <v>0</v>
      </c>
      <c r="AB92" s="46">
        <f t="shared" si="40"/>
        <v>0</v>
      </c>
      <c r="AC92" s="46">
        <f t="shared" si="40"/>
        <v>0</v>
      </c>
      <c r="AD92" s="46">
        <f t="shared" si="40"/>
        <v>0</v>
      </c>
      <c r="AE92" s="46">
        <f t="shared" si="40"/>
        <v>0</v>
      </c>
      <c r="AF92" s="46">
        <f t="shared" si="40"/>
        <v>0</v>
      </c>
      <c r="AG92" s="46">
        <f t="shared" si="40"/>
        <v>0</v>
      </c>
      <c r="AH92" s="46">
        <f t="shared" si="40"/>
        <v>0</v>
      </c>
      <c r="AI92" s="46">
        <f t="shared" si="40"/>
        <v>0</v>
      </c>
      <c r="AJ92" s="46">
        <f t="shared" si="40"/>
        <v>0</v>
      </c>
      <c r="AK92" s="46">
        <f t="shared" si="40"/>
        <v>4.3478260869565216E-2</v>
      </c>
      <c r="AL92" s="46">
        <f t="shared" si="40"/>
        <v>4.2512077294685993E-2</v>
      </c>
      <c r="AM92" s="46">
        <f t="shared" si="40"/>
        <v>4.1545893719806763E-2</v>
      </c>
      <c r="AN92" s="46">
        <f t="shared" si="40"/>
        <v>4.0579710144927533E-2</v>
      </c>
      <c r="AO92" s="46">
        <f t="shared" si="40"/>
        <v>3.961352657004831E-2</v>
      </c>
      <c r="AP92" s="46">
        <f t="shared" si="40"/>
        <v>3.864734299516908E-2</v>
      </c>
      <c r="AQ92" s="46">
        <f t="shared" si="40"/>
        <v>3.7681159420289857E-2</v>
      </c>
      <c r="AR92" s="46">
        <f t="shared" si="40"/>
        <v>3.6714975845410627E-2</v>
      </c>
      <c r="AS92" s="46">
        <f t="shared" si="40"/>
        <v>3.5748792270531404E-2</v>
      </c>
      <c r="AT92" s="172">
        <f t="shared" si="40"/>
        <v>3.4782608695652174E-2</v>
      </c>
      <c r="AU92" s="153">
        <f t="shared" si="40"/>
        <v>3.3816425120772944E-2</v>
      </c>
      <c r="AV92" s="46">
        <f t="shared" si="40"/>
        <v>3.2850241545893721E-2</v>
      </c>
      <c r="AW92" s="46">
        <f t="shared" si="40"/>
        <v>3.1884057971014491E-2</v>
      </c>
      <c r="AX92" s="46">
        <f t="shared" si="40"/>
        <v>3.0917874396135265E-2</v>
      </c>
      <c r="AY92" s="46">
        <f t="shared" si="40"/>
        <v>2.9951690821256038E-2</v>
      </c>
      <c r="BA92" s="88" t="str">
        <f t="shared" ca="1" si="25"/>
        <v>Depreciation</v>
      </c>
      <c r="BB92" s="1" t="str">
        <f t="shared" si="27"/>
        <v>Sum of digits</v>
      </c>
      <c r="BC92" s="1" t="str">
        <f t="shared" si="28"/>
        <v>Profile</v>
      </c>
    </row>
    <row r="93" spans="5:55" x14ac:dyDescent="0.35">
      <c r="E93" s="2">
        <v>42825</v>
      </c>
      <c r="G93" t="s">
        <v>109</v>
      </c>
      <c r="H93" s="77"/>
      <c r="I93" s="27">
        <v>1035</v>
      </c>
      <c r="J93" t="s">
        <v>13</v>
      </c>
      <c r="X93" s="46">
        <f t="shared" ref="X93:AY93" si="41">X60/$I93</f>
        <v>0</v>
      </c>
      <c r="Y93" s="46">
        <f t="shared" si="41"/>
        <v>0</v>
      </c>
      <c r="Z93" s="46">
        <f t="shared" si="41"/>
        <v>0</v>
      </c>
      <c r="AA93" s="46">
        <f t="shared" si="41"/>
        <v>0</v>
      </c>
      <c r="AB93" s="46">
        <f t="shared" si="41"/>
        <v>0</v>
      </c>
      <c r="AC93" s="46">
        <f t="shared" si="41"/>
        <v>0</v>
      </c>
      <c r="AD93" s="46">
        <f t="shared" si="41"/>
        <v>0</v>
      </c>
      <c r="AE93" s="46">
        <f t="shared" si="41"/>
        <v>0</v>
      </c>
      <c r="AF93" s="46">
        <f t="shared" si="41"/>
        <v>0</v>
      </c>
      <c r="AG93" s="46">
        <f t="shared" si="41"/>
        <v>0</v>
      </c>
      <c r="AH93" s="46">
        <f t="shared" si="41"/>
        <v>0</v>
      </c>
      <c r="AI93" s="46">
        <f t="shared" si="41"/>
        <v>0</v>
      </c>
      <c r="AJ93" s="46">
        <f t="shared" si="41"/>
        <v>0</v>
      </c>
      <c r="AK93" s="46">
        <f t="shared" si="41"/>
        <v>0</v>
      </c>
      <c r="AL93" s="46">
        <f t="shared" si="41"/>
        <v>4.3478260869565216E-2</v>
      </c>
      <c r="AM93" s="46">
        <f t="shared" si="41"/>
        <v>4.2512077294685993E-2</v>
      </c>
      <c r="AN93" s="46">
        <f t="shared" si="41"/>
        <v>4.1545893719806763E-2</v>
      </c>
      <c r="AO93" s="46">
        <f t="shared" si="41"/>
        <v>4.0579710144927533E-2</v>
      </c>
      <c r="AP93" s="46">
        <f t="shared" si="41"/>
        <v>3.961352657004831E-2</v>
      </c>
      <c r="AQ93" s="46">
        <f t="shared" si="41"/>
        <v>3.864734299516908E-2</v>
      </c>
      <c r="AR93" s="46">
        <f t="shared" si="41"/>
        <v>3.7681159420289857E-2</v>
      </c>
      <c r="AS93" s="46">
        <f t="shared" si="41"/>
        <v>3.6714975845410627E-2</v>
      </c>
      <c r="AT93" s="172">
        <f t="shared" si="41"/>
        <v>3.5748792270531404E-2</v>
      </c>
      <c r="AU93" s="153">
        <f t="shared" si="41"/>
        <v>3.4782608695652174E-2</v>
      </c>
      <c r="AV93" s="46">
        <f t="shared" si="41"/>
        <v>3.3816425120772944E-2</v>
      </c>
      <c r="AW93" s="46">
        <f t="shared" si="41"/>
        <v>3.2850241545893721E-2</v>
      </c>
      <c r="AX93" s="46">
        <f t="shared" si="41"/>
        <v>3.1884057971014491E-2</v>
      </c>
      <c r="AY93" s="46">
        <f t="shared" si="41"/>
        <v>3.0917874396135265E-2</v>
      </c>
      <c r="BA93" s="88" t="str">
        <f t="shared" ca="1" si="25"/>
        <v>Depreciation</v>
      </c>
      <c r="BB93" s="1" t="str">
        <f t="shared" si="27"/>
        <v>Sum of digits</v>
      </c>
      <c r="BC93" s="1" t="str">
        <f t="shared" si="28"/>
        <v>Profile</v>
      </c>
    </row>
    <row r="94" spans="5:55" x14ac:dyDescent="0.35">
      <c r="E94" s="2">
        <v>43190</v>
      </c>
      <c r="G94" t="s">
        <v>109</v>
      </c>
      <c r="H94" s="77"/>
      <c r="I94" s="27">
        <v>1035</v>
      </c>
      <c r="J94" t="s">
        <v>13</v>
      </c>
      <c r="X94" s="46">
        <f t="shared" ref="X94:AY94" si="42">X61/$I94</f>
        <v>0</v>
      </c>
      <c r="Y94" s="46">
        <f t="shared" si="42"/>
        <v>0</v>
      </c>
      <c r="Z94" s="46">
        <f t="shared" si="42"/>
        <v>0</v>
      </c>
      <c r="AA94" s="46">
        <f t="shared" si="42"/>
        <v>0</v>
      </c>
      <c r="AB94" s="46">
        <f t="shared" si="42"/>
        <v>0</v>
      </c>
      <c r="AC94" s="46">
        <f t="shared" si="42"/>
        <v>0</v>
      </c>
      <c r="AD94" s="46">
        <f t="shared" si="42"/>
        <v>0</v>
      </c>
      <c r="AE94" s="46">
        <f t="shared" si="42"/>
        <v>0</v>
      </c>
      <c r="AF94" s="46">
        <f t="shared" si="42"/>
        <v>0</v>
      </c>
      <c r="AG94" s="46">
        <f t="shared" si="42"/>
        <v>0</v>
      </c>
      <c r="AH94" s="46">
        <f t="shared" si="42"/>
        <v>0</v>
      </c>
      <c r="AI94" s="46">
        <f t="shared" si="42"/>
        <v>0</v>
      </c>
      <c r="AJ94" s="46">
        <f t="shared" si="42"/>
        <v>0</v>
      </c>
      <c r="AK94" s="46">
        <f t="shared" si="42"/>
        <v>0</v>
      </c>
      <c r="AL94" s="46">
        <f t="shared" si="42"/>
        <v>0</v>
      </c>
      <c r="AM94" s="46">
        <f t="shared" si="42"/>
        <v>4.3478260869565216E-2</v>
      </c>
      <c r="AN94" s="46">
        <f t="shared" si="42"/>
        <v>4.2512077294685993E-2</v>
      </c>
      <c r="AO94" s="46">
        <f t="shared" si="42"/>
        <v>4.1545893719806763E-2</v>
      </c>
      <c r="AP94" s="46">
        <f t="shared" si="42"/>
        <v>4.0579710144927533E-2</v>
      </c>
      <c r="AQ94" s="46">
        <f t="shared" si="42"/>
        <v>3.961352657004831E-2</v>
      </c>
      <c r="AR94" s="46">
        <f t="shared" si="42"/>
        <v>3.864734299516908E-2</v>
      </c>
      <c r="AS94" s="46">
        <f t="shared" si="42"/>
        <v>3.7681159420289857E-2</v>
      </c>
      <c r="AT94" s="172">
        <f t="shared" si="42"/>
        <v>3.6714975845410627E-2</v>
      </c>
      <c r="AU94" s="153">
        <f t="shared" si="42"/>
        <v>3.5748792270531404E-2</v>
      </c>
      <c r="AV94" s="46">
        <f t="shared" si="42"/>
        <v>3.4782608695652174E-2</v>
      </c>
      <c r="AW94" s="46">
        <f t="shared" si="42"/>
        <v>3.3816425120772944E-2</v>
      </c>
      <c r="AX94" s="46">
        <f t="shared" si="42"/>
        <v>3.2850241545893721E-2</v>
      </c>
      <c r="AY94" s="46">
        <f t="shared" si="42"/>
        <v>3.1884057971014491E-2</v>
      </c>
      <c r="BA94" s="88" t="str">
        <f t="shared" ca="1" si="25"/>
        <v>Depreciation</v>
      </c>
      <c r="BB94" s="1" t="str">
        <f t="shared" si="27"/>
        <v>Sum of digits</v>
      </c>
      <c r="BC94" s="1" t="str">
        <f t="shared" si="28"/>
        <v>Profile</v>
      </c>
    </row>
    <row r="95" spans="5:55" x14ac:dyDescent="0.35">
      <c r="E95" s="2">
        <v>43555</v>
      </c>
      <c r="G95" t="s">
        <v>109</v>
      </c>
      <c r="H95" s="77"/>
      <c r="I95" s="27">
        <v>1035</v>
      </c>
      <c r="J95" t="s">
        <v>13</v>
      </c>
      <c r="X95" s="46">
        <f t="shared" ref="X95:AY95" si="43">X62/$I95</f>
        <v>0</v>
      </c>
      <c r="Y95" s="46">
        <f t="shared" si="43"/>
        <v>0</v>
      </c>
      <c r="Z95" s="46">
        <f t="shared" si="43"/>
        <v>0</v>
      </c>
      <c r="AA95" s="46">
        <f t="shared" si="43"/>
        <v>0</v>
      </c>
      <c r="AB95" s="46">
        <f t="shared" si="43"/>
        <v>0</v>
      </c>
      <c r="AC95" s="46">
        <f t="shared" si="43"/>
        <v>0</v>
      </c>
      <c r="AD95" s="46">
        <f t="shared" si="43"/>
        <v>0</v>
      </c>
      <c r="AE95" s="46">
        <f t="shared" si="43"/>
        <v>0</v>
      </c>
      <c r="AF95" s="46">
        <f t="shared" si="43"/>
        <v>0</v>
      </c>
      <c r="AG95" s="46">
        <f t="shared" si="43"/>
        <v>0</v>
      </c>
      <c r="AH95" s="46">
        <f t="shared" si="43"/>
        <v>0</v>
      </c>
      <c r="AI95" s="46">
        <f t="shared" si="43"/>
        <v>0</v>
      </c>
      <c r="AJ95" s="46">
        <f t="shared" si="43"/>
        <v>0</v>
      </c>
      <c r="AK95" s="46">
        <f t="shared" si="43"/>
        <v>0</v>
      </c>
      <c r="AL95" s="46">
        <f t="shared" si="43"/>
        <v>0</v>
      </c>
      <c r="AM95" s="46">
        <f t="shared" si="43"/>
        <v>0</v>
      </c>
      <c r="AN95" s="46">
        <f t="shared" si="43"/>
        <v>4.3478260869565216E-2</v>
      </c>
      <c r="AO95" s="46">
        <f t="shared" si="43"/>
        <v>4.2512077294685993E-2</v>
      </c>
      <c r="AP95" s="46">
        <f t="shared" si="43"/>
        <v>4.1545893719806763E-2</v>
      </c>
      <c r="AQ95" s="46">
        <f t="shared" si="43"/>
        <v>4.0579710144927533E-2</v>
      </c>
      <c r="AR95" s="46">
        <f t="shared" si="43"/>
        <v>3.961352657004831E-2</v>
      </c>
      <c r="AS95" s="46">
        <f t="shared" si="43"/>
        <v>3.864734299516908E-2</v>
      </c>
      <c r="AT95" s="172">
        <f t="shared" si="43"/>
        <v>3.7681159420289857E-2</v>
      </c>
      <c r="AU95" s="153">
        <f t="shared" si="43"/>
        <v>3.6714975845410627E-2</v>
      </c>
      <c r="AV95" s="46">
        <f t="shared" si="43"/>
        <v>3.5748792270531404E-2</v>
      </c>
      <c r="AW95" s="46">
        <f t="shared" si="43"/>
        <v>3.4782608695652174E-2</v>
      </c>
      <c r="AX95" s="46">
        <f t="shared" si="43"/>
        <v>3.3816425120772944E-2</v>
      </c>
      <c r="AY95" s="46">
        <f t="shared" si="43"/>
        <v>3.2850241545893721E-2</v>
      </c>
      <c r="BA95" s="88" t="str">
        <f t="shared" ca="1" si="25"/>
        <v>Depreciation</v>
      </c>
      <c r="BB95" s="1" t="str">
        <f t="shared" si="27"/>
        <v>Sum of digits</v>
      </c>
      <c r="BC95" s="1" t="str">
        <f t="shared" si="28"/>
        <v>Profile</v>
      </c>
    </row>
    <row r="96" spans="5:55" x14ac:dyDescent="0.35">
      <c r="E96" s="2">
        <v>43921</v>
      </c>
      <c r="G96" t="s">
        <v>109</v>
      </c>
      <c r="H96" s="77"/>
      <c r="I96" s="27">
        <v>1035</v>
      </c>
      <c r="J96" t="s">
        <v>13</v>
      </c>
      <c r="X96" s="46">
        <f t="shared" ref="X96:AY96" si="44">X63/$I96</f>
        <v>0</v>
      </c>
      <c r="Y96" s="46">
        <f t="shared" si="44"/>
        <v>0</v>
      </c>
      <c r="Z96" s="46">
        <f t="shared" si="44"/>
        <v>0</v>
      </c>
      <c r="AA96" s="46">
        <f t="shared" si="44"/>
        <v>0</v>
      </c>
      <c r="AB96" s="46">
        <f t="shared" si="44"/>
        <v>0</v>
      </c>
      <c r="AC96" s="46">
        <f t="shared" si="44"/>
        <v>0</v>
      </c>
      <c r="AD96" s="46">
        <f t="shared" si="44"/>
        <v>0</v>
      </c>
      <c r="AE96" s="46">
        <f t="shared" si="44"/>
        <v>0</v>
      </c>
      <c r="AF96" s="46">
        <f t="shared" si="44"/>
        <v>0</v>
      </c>
      <c r="AG96" s="46">
        <f t="shared" si="44"/>
        <v>0</v>
      </c>
      <c r="AH96" s="46">
        <f t="shared" si="44"/>
        <v>0</v>
      </c>
      <c r="AI96" s="46">
        <f t="shared" si="44"/>
        <v>0</v>
      </c>
      <c r="AJ96" s="46">
        <f t="shared" si="44"/>
        <v>0</v>
      </c>
      <c r="AK96" s="46">
        <f t="shared" si="44"/>
        <v>0</v>
      </c>
      <c r="AL96" s="46">
        <f t="shared" si="44"/>
        <v>0</v>
      </c>
      <c r="AM96" s="46">
        <f t="shared" si="44"/>
        <v>0</v>
      </c>
      <c r="AN96" s="46">
        <f t="shared" si="44"/>
        <v>0</v>
      </c>
      <c r="AO96" s="46">
        <f t="shared" si="44"/>
        <v>4.3478260869565216E-2</v>
      </c>
      <c r="AP96" s="46">
        <f t="shared" si="44"/>
        <v>4.2512077294685993E-2</v>
      </c>
      <c r="AQ96" s="46">
        <f t="shared" si="44"/>
        <v>4.1545893719806763E-2</v>
      </c>
      <c r="AR96" s="46">
        <f t="shared" si="44"/>
        <v>4.0579710144927533E-2</v>
      </c>
      <c r="AS96" s="46">
        <f t="shared" si="44"/>
        <v>3.961352657004831E-2</v>
      </c>
      <c r="AT96" s="172">
        <f t="shared" si="44"/>
        <v>3.864734299516908E-2</v>
      </c>
      <c r="AU96" s="153">
        <f t="shared" si="44"/>
        <v>3.7681159420289857E-2</v>
      </c>
      <c r="AV96" s="46">
        <f t="shared" si="44"/>
        <v>3.6714975845410627E-2</v>
      </c>
      <c r="AW96" s="46">
        <f t="shared" si="44"/>
        <v>3.5748792270531404E-2</v>
      </c>
      <c r="AX96" s="46">
        <f t="shared" si="44"/>
        <v>3.4782608695652174E-2</v>
      </c>
      <c r="AY96" s="46">
        <f t="shared" si="44"/>
        <v>3.3816425120772944E-2</v>
      </c>
      <c r="BA96" s="88" t="str">
        <f t="shared" ca="1" si="25"/>
        <v>Depreciation</v>
      </c>
      <c r="BB96" s="1" t="str">
        <f t="shared" si="27"/>
        <v>Sum of digits</v>
      </c>
      <c r="BC96" s="1" t="str">
        <f t="shared" si="28"/>
        <v>Profile</v>
      </c>
    </row>
    <row r="97" spans="2:55" x14ac:dyDescent="0.35">
      <c r="E97" s="2">
        <v>44286</v>
      </c>
      <c r="G97" t="s">
        <v>109</v>
      </c>
      <c r="H97" s="77"/>
      <c r="I97" s="27">
        <v>1035</v>
      </c>
      <c r="J97" t="s">
        <v>13</v>
      </c>
      <c r="X97" s="46">
        <f t="shared" ref="X97:AY97" si="45">X64/$I97</f>
        <v>0</v>
      </c>
      <c r="Y97" s="46">
        <f t="shared" si="45"/>
        <v>0</v>
      </c>
      <c r="Z97" s="46">
        <f t="shared" si="45"/>
        <v>0</v>
      </c>
      <c r="AA97" s="46">
        <f t="shared" si="45"/>
        <v>0</v>
      </c>
      <c r="AB97" s="46">
        <f t="shared" si="45"/>
        <v>0</v>
      </c>
      <c r="AC97" s="46">
        <f t="shared" si="45"/>
        <v>0</v>
      </c>
      <c r="AD97" s="46">
        <f t="shared" si="45"/>
        <v>0</v>
      </c>
      <c r="AE97" s="46">
        <f t="shared" si="45"/>
        <v>0</v>
      </c>
      <c r="AF97" s="46">
        <f t="shared" si="45"/>
        <v>0</v>
      </c>
      <c r="AG97" s="46">
        <f t="shared" si="45"/>
        <v>0</v>
      </c>
      <c r="AH97" s="46">
        <f t="shared" si="45"/>
        <v>0</v>
      </c>
      <c r="AI97" s="46">
        <f t="shared" si="45"/>
        <v>0</v>
      </c>
      <c r="AJ97" s="46">
        <f t="shared" si="45"/>
        <v>0</v>
      </c>
      <c r="AK97" s="46">
        <f t="shared" si="45"/>
        <v>0</v>
      </c>
      <c r="AL97" s="46">
        <f t="shared" si="45"/>
        <v>0</v>
      </c>
      <c r="AM97" s="46">
        <f t="shared" si="45"/>
        <v>0</v>
      </c>
      <c r="AN97" s="46">
        <f t="shared" si="45"/>
        <v>0</v>
      </c>
      <c r="AO97" s="46">
        <f t="shared" si="45"/>
        <v>0</v>
      </c>
      <c r="AP97" s="46">
        <f t="shared" si="45"/>
        <v>4.3478260869565216E-2</v>
      </c>
      <c r="AQ97" s="46">
        <f t="shared" si="45"/>
        <v>4.2512077294685993E-2</v>
      </c>
      <c r="AR97" s="46">
        <f t="shared" si="45"/>
        <v>4.1545893719806763E-2</v>
      </c>
      <c r="AS97" s="46">
        <f t="shared" si="45"/>
        <v>4.0579710144927533E-2</v>
      </c>
      <c r="AT97" s="172">
        <f t="shared" si="45"/>
        <v>3.961352657004831E-2</v>
      </c>
      <c r="AU97" s="153">
        <f t="shared" si="45"/>
        <v>3.864734299516908E-2</v>
      </c>
      <c r="AV97" s="46">
        <f t="shared" si="45"/>
        <v>3.7681159420289857E-2</v>
      </c>
      <c r="AW97" s="46">
        <f t="shared" si="45"/>
        <v>3.6714975845410627E-2</v>
      </c>
      <c r="AX97" s="46">
        <f t="shared" si="45"/>
        <v>3.5748792270531404E-2</v>
      </c>
      <c r="AY97" s="46">
        <f t="shared" si="45"/>
        <v>3.4782608695652174E-2</v>
      </c>
      <c r="BA97" s="88" t="str">
        <f t="shared" ca="1" si="25"/>
        <v>Depreciation</v>
      </c>
      <c r="BB97" s="1" t="str">
        <f t="shared" si="27"/>
        <v>Sum of digits</v>
      </c>
      <c r="BC97" s="1" t="str">
        <f t="shared" si="28"/>
        <v>Profile</v>
      </c>
    </row>
    <row r="98" spans="2:55" x14ac:dyDescent="0.35">
      <c r="E98" s="2">
        <v>44651</v>
      </c>
      <c r="G98" t="s">
        <v>109</v>
      </c>
      <c r="H98" s="77"/>
      <c r="I98" s="27">
        <v>1035</v>
      </c>
      <c r="J98" t="s">
        <v>13</v>
      </c>
      <c r="X98" s="46">
        <f t="shared" ref="X98:AY98" si="46">X65/$I98</f>
        <v>0</v>
      </c>
      <c r="Y98" s="46">
        <f t="shared" si="46"/>
        <v>0</v>
      </c>
      <c r="Z98" s="46">
        <f t="shared" si="46"/>
        <v>0</v>
      </c>
      <c r="AA98" s="46">
        <f t="shared" si="46"/>
        <v>0</v>
      </c>
      <c r="AB98" s="46">
        <f t="shared" si="46"/>
        <v>0</v>
      </c>
      <c r="AC98" s="46">
        <f t="shared" si="46"/>
        <v>0</v>
      </c>
      <c r="AD98" s="46">
        <f t="shared" si="46"/>
        <v>0</v>
      </c>
      <c r="AE98" s="46">
        <f t="shared" si="46"/>
        <v>0</v>
      </c>
      <c r="AF98" s="46">
        <f t="shared" si="46"/>
        <v>0</v>
      </c>
      <c r="AG98" s="46">
        <f t="shared" si="46"/>
        <v>0</v>
      </c>
      <c r="AH98" s="46">
        <f t="shared" si="46"/>
        <v>0</v>
      </c>
      <c r="AI98" s="46">
        <f t="shared" si="46"/>
        <v>0</v>
      </c>
      <c r="AJ98" s="46">
        <f t="shared" si="46"/>
        <v>0</v>
      </c>
      <c r="AK98" s="46">
        <f t="shared" si="46"/>
        <v>0</v>
      </c>
      <c r="AL98" s="46">
        <f t="shared" si="46"/>
        <v>0</v>
      </c>
      <c r="AM98" s="46">
        <f t="shared" si="46"/>
        <v>0</v>
      </c>
      <c r="AN98" s="46">
        <f t="shared" si="46"/>
        <v>0</v>
      </c>
      <c r="AO98" s="46">
        <f t="shared" si="46"/>
        <v>0</v>
      </c>
      <c r="AP98" s="46">
        <f t="shared" si="46"/>
        <v>0</v>
      </c>
      <c r="AQ98" s="46">
        <f t="shared" si="46"/>
        <v>4.3478260869565216E-2</v>
      </c>
      <c r="AR98" s="46">
        <f t="shared" si="46"/>
        <v>4.2512077294685993E-2</v>
      </c>
      <c r="AS98" s="46">
        <f t="shared" si="46"/>
        <v>4.1545893719806763E-2</v>
      </c>
      <c r="AT98" s="172">
        <f t="shared" si="46"/>
        <v>4.0579710144927533E-2</v>
      </c>
      <c r="AU98" s="153">
        <f t="shared" si="46"/>
        <v>3.961352657004831E-2</v>
      </c>
      <c r="AV98" s="46">
        <f t="shared" si="46"/>
        <v>3.864734299516908E-2</v>
      </c>
      <c r="AW98" s="46">
        <f t="shared" si="46"/>
        <v>3.7681159420289857E-2</v>
      </c>
      <c r="AX98" s="46">
        <f t="shared" si="46"/>
        <v>3.6714975845410627E-2</v>
      </c>
      <c r="AY98" s="46">
        <f t="shared" si="46"/>
        <v>3.5748792270531404E-2</v>
      </c>
      <c r="BA98" s="88" t="str">
        <f t="shared" ca="1" si="25"/>
        <v>Depreciation</v>
      </c>
      <c r="BB98" s="1" t="str">
        <f t="shared" si="27"/>
        <v>Sum of digits</v>
      </c>
      <c r="BC98" s="1" t="str">
        <f t="shared" si="28"/>
        <v>Profile</v>
      </c>
    </row>
    <row r="99" spans="2:55" x14ac:dyDescent="0.35">
      <c r="E99" s="2">
        <v>45016</v>
      </c>
      <c r="G99" t="s">
        <v>109</v>
      </c>
      <c r="H99" s="77"/>
      <c r="I99" s="27">
        <v>1035</v>
      </c>
      <c r="J99" t="s">
        <v>13</v>
      </c>
      <c r="X99" s="46">
        <f t="shared" ref="X99:AY99" si="47">X66/$I99</f>
        <v>0</v>
      </c>
      <c r="Y99" s="46">
        <f t="shared" si="47"/>
        <v>0</v>
      </c>
      <c r="Z99" s="46">
        <f t="shared" si="47"/>
        <v>0</v>
      </c>
      <c r="AA99" s="46">
        <f t="shared" si="47"/>
        <v>0</v>
      </c>
      <c r="AB99" s="46">
        <f t="shared" si="47"/>
        <v>0</v>
      </c>
      <c r="AC99" s="46">
        <f t="shared" si="47"/>
        <v>0</v>
      </c>
      <c r="AD99" s="46">
        <f t="shared" si="47"/>
        <v>0</v>
      </c>
      <c r="AE99" s="46">
        <f t="shared" si="47"/>
        <v>0</v>
      </c>
      <c r="AF99" s="46">
        <f t="shared" si="47"/>
        <v>0</v>
      </c>
      <c r="AG99" s="46">
        <f t="shared" si="47"/>
        <v>0</v>
      </c>
      <c r="AH99" s="46">
        <f t="shared" si="47"/>
        <v>0</v>
      </c>
      <c r="AI99" s="46">
        <f t="shared" si="47"/>
        <v>0</v>
      </c>
      <c r="AJ99" s="46">
        <f t="shared" si="47"/>
        <v>0</v>
      </c>
      <c r="AK99" s="46">
        <f t="shared" si="47"/>
        <v>0</v>
      </c>
      <c r="AL99" s="46">
        <f t="shared" si="47"/>
        <v>0</v>
      </c>
      <c r="AM99" s="46">
        <f t="shared" si="47"/>
        <v>0</v>
      </c>
      <c r="AN99" s="46">
        <f t="shared" si="47"/>
        <v>0</v>
      </c>
      <c r="AO99" s="46">
        <f t="shared" si="47"/>
        <v>0</v>
      </c>
      <c r="AP99" s="46">
        <f t="shared" si="47"/>
        <v>0</v>
      </c>
      <c r="AQ99" s="46">
        <f t="shared" si="47"/>
        <v>0</v>
      </c>
      <c r="AR99" s="46">
        <f t="shared" si="47"/>
        <v>4.3478260869565216E-2</v>
      </c>
      <c r="AS99" s="46">
        <f t="shared" si="47"/>
        <v>4.2512077294685993E-2</v>
      </c>
      <c r="AT99" s="172">
        <f t="shared" si="47"/>
        <v>4.1545893719806763E-2</v>
      </c>
      <c r="AU99" s="153">
        <f t="shared" si="47"/>
        <v>4.0579710144927533E-2</v>
      </c>
      <c r="AV99" s="46">
        <f t="shared" si="47"/>
        <v>3.961352657004831E-2</v>
      </c>
      <c r="AW99" s="46">
        <f t="shared" si="47"/>
        <v>3.864734299516908E-2</v>
      </c>
      <c r="AX99" s="46">
        <f t="shared" si="47"/>
        <v>3.7681159420289857E-2</v>
      </c>
      <c r="AY99" s="46">
        <f t="shared" si="47"/>
        <v>3.6714975845410627E-2</v>
      </c>
      <c r="BA99" s="88" t="str">
        <f t="shared" ca="1" si="25"/>
        <v>Depreciation</v>
      </c>
      <c r="BB99" s="1" t="str">
        <f t="shared" si="27"/>
        <v>Sum of digits</v>
      </c>
      <c r="BC99" s="1" t="str">
        <f t="shared" si="28"/>
        <v>Profile</v>
      </c>
    </row>
    <row r="100" spans="2:55" x14ac:dyDescent="0.35">
      <c r="E100" s="2">
        <v>45382</v>
      </c>
      <c r="G100" t="s">
        <v>109</v>
      </c>
      <c r="H100" s="77"/>
      <c r="I100" s="27">
        <v>1035</v>
      </c>
      <c r="J100" t="s">
        <v>13</v>
      </c>
      <c r="X100" s="46">
        <f t="shared" ref="X100:AY100" si="48">X67/$I100</f>
        <v>0</v>
      </c>
      <c r="Y100" s="46">
        <f t="shared" si="48"/>
        <v>0</v>
      </c>
      <c r="Z100" s="46">
        <f t="shared" si="48"/>
        <v>0</v>
      </c>
      <c r="AA100" s="46">
        <f t="shared" si="48"/>
        <v>0</v>
      </c>
      <c r="AB100" s="46">
        <f t="shared" si="48"/>
        <v>0</v>
      </c>
      <c r="AC100" s="46">
        <f t="shared" si="48"/>
        <v>0</v>
      </c>
      <c r="AD100" s="46">
        <f t="shared" si="48"/>
        <v>0</v>
      </c>
      <c r="AE100" s="46">
        <f t="shared" si="48"/>
        <v>0</v>
      </c>
      <c r="AF100" s="46">
        <f t="shared" si="48"/>
        <v>0</v>
      </c>
      <c r="AG100" s="46">
        <f t="shared" si="48"/>
        <v>0</v>
      </c>
      <c r="AH100" s="46">
        <f t="shared" si="48"/>
        <v>0</v>
      </c>
      <c r="AI100" s="46">
        <f t="shared" si="48"/>
        <v>0</v>
      </c>
      <c r="AJ100" s="46">
        <f t="shared" si="48"/>
        <v>0</v>
      </c>
      <c r="AK100" s="46">
        <f t="shared" si="48"/>
        <v>0</v>
      </c>
      <c r="AL100" s="46">
        <f t="shared" si="48"/>
        <v>0</v>
      </c>
      <c r="AM100" s="46">
        <f t="shared" si="48"/>
        <v>0</v>
      </c>
      <c r="AN100" s="46">
        <f t="shared" si="48"/>
        <v>0</v>
      </c>
      <c r="AO100" s="46">
        <f t="shared" si="48"/>
        <v>0</v>
      </c>
      <c r="AP100" s="46">
        <f t="shared" si="48"/>
        <v>0</v>
      </c>
      <c r="AQ100" s="46">
        <f t="shared" si="48"/>
        <v>0</v>
      </c>
      <c r="AR100" s="46">
        <f t="shared" si="48"/>
        <v>0</v>
      </c>
      <c r="AS100" s="46">
        <f>AS67/$I100</f>
        <v>4.3478260869565216E-2</v>
      </c>
      <c r="AT100" s="172">
        <f t="shared" si="48"/>
        <v>4.2512077294685993E-2</v>
      </c>
      <c r="AU100" s="153">
        <f t="shared" si="48"/>
        <v>4.1545893719806763E-2</v>
      </c>
      <c r="AV100" s="46">
        <f t="shared" si="48"/>
        <v>4.0579710144927533E-2</v>
      </c>
      <c r="AW100" s="46">
        <f t="shared" si="48"/>
        <v>3.961352657004831E-2</v>
      </c>
      <c r="AX100" s="46">
        <f t="shared" si="48"/>
        <v>3.864734299516908E-2</v>
      </c>
      <c r="AY100" s="46">
        <f t="shared" si="48"/>
        <v>3.7681159420289857E-2</v>
      </c>
      <c r="BA100" s="88" t="str">
        <f t="shared" ca="1" si="25"/>
        <v>Depreciation</v>
      </c>
      <c r="BB100" s="1" t="str">
        <f t="shared" si="27"/>
        <v>Sum of digits</v>
      </c>
      <c r="BC100" s="1" t="str">
        <f t="shared" si="28"/>
        <v>Profile</v>
      </c>
    </row>
    <row r="101" spans="2:55" x14ac:dyDescent="0.35">
      <c r="E101" s="2">
        <v>45747</v>
      </c>
      <c r="G101" t="s">
        <v>109</v>
      </c>
      <c r="H101" s="77"/>
      <c r="I101" s="27">
        <v>1035</v>
      </c>
      <c r="J101" t="s">
        <v>13</v>
      </c>
      <c r="X101" s="46">
        <f t="shared" ref="X101:AY101" si="49">X68/$I101</f>
        <v>0</v>
      </c>
      <c r="Y101" s="46">
        <f t="shared" si="49"/>
        <v>0</v>
      </c>
      <c r="Z101" s="46">
        <f t="shared" si="49"/>
        <v>0</v>
      </c>
      <c r="AA101" s="46">
        <f t="shared" si="49"/>
        <v>0</v>
      </c>
      <c r="AB101" s="46">
        <f t="shared" si="49"/>
        <v>0</v>
      </c>
      <c r="AC101" s="46">
        <f t="shared" si="49"/>
        <v>0</v>
      </c>
      <c r="AD101" s="46">
        <f t="shared" si="49"/>
        <v>0</v>
      </c>
      <c r="AE101" s="46">
        <f t="shared" si="49"/>
        <v>0</v>
      </c>
      <c r="AF101" s="46">
        <f t="shared" si="49"/>
        <v>0</v>
      </c>
      <c r="AG101" s="46">
        <f t="shared" si="49"/>
        <v>0</v>
      </c>
      <c r="AH101" s="46">
        <f t="shared" si="49"/>
        <v>0</v>
      </c>
      <c r="AI101" s="46">
        <f t="shared" si="49"/>
        <v>0</v>
      </c>
      <c r="AJ101" s="46">
        <f t="shared" si="49"/>
        <v>0</v>
      </c>
      <c r="AK101" s="46">
        <f t="shared" si="49"/>
        <v>0</v>
      </c>
      <c r="AL101" s="46">
        <f t="shared" si="49"/>
        <v>0</v>
      </c>
      <c r="AM101" s="46">
        <f t="shared" si="49"/>
        <v>0</v>
      </c>
      <c r="AN101" s="46">
        <f t="shared" si="49"/>
        <v>0</v>
      </c>
      <c r="AO101" s="46">
        <f t="shared" si="49"/>
        <v>0</v>
      </c>
      <c r="AP101" s="46">
        <f t="shared" si="49"/>
        <v>0</v>
      </c>
      <c r="AQ101" s="46">
        <f t="shared" si="49"/>
        <v>0</v>
      </c>
      <c r="AR101" s="46">
        <f t="shared" si="49"/>
        <v>0</v>
      </c>
      <c r="AS101" s="46">
        <f t="shared" si="49"/>
        <v>0</v>
      </c>
      <c r="AT101" s="172">
        <f t="shared" si="49"/>
        <v>4.3478260869565216E-2</v>
      </c>
      <c r="AU101" s="153">
        <f t="shared" si="49"/>
        <v>4.2512077294685993E-2</v>
      </c>
      <c r="AV101" s="46">
        <f t="shared" si="49"/>
        <v>4.1545893719806763E-2</v>
      </c>
      <c r="AW101" s="46">
        <f t="shared" si="49"/>
        <v>4.0579710144927533E-2</v>
      </c>
      <c r="AX101" s="46">
        <f t="shared" si="49"/>
        <v>3.961352657004831E-2</v>
      </c>
      <c r="AY101" s="46">
        <f t="shared" si="49"/>
        <v>3.864734299516908E-2</v>
      </c>
      <c r="BA101" s="88" t="str">
        <f t="shared" ca="1" si="25"/>
        <v>Depreciation</v>
      </c>
      <c r="BB101" s="1" t="str">
        <f t="shared" si="27"/>
        <v>Sum of digits</v>
      </c>
      <c r="BC101" s="1" t="str">
        <f t="shared" si="28"/>
        <v>Profile</v>
      </c>
    </row>
    <row r="102" spans="2:55" x14ac:dyDescent="0.35">
      <c r="E102" s="2">
        <v>46112</v>
      </c>
      <c r="G102" t="s">
        <v>109</v>
      </c>
      <c r="H102" s="77"/>
      <c r="I102" s="27">
        <v>1035</v>
      </c>
      <c r="J102" t="s">
        <v>13</v>
      </c>
      <c r="X102" s="46">
        <f t="shared" ref="X102:AY102" si="50">X69/$I102</f>
        <v>0</v>
      </c>
      <c r="Y102" s="46">
        <f t="shared" si="50"/>
        <v>0</v>
      </c>
      <c r="Z102" s="46">
        <f t="shared" si="50"/>
        <v>0</v>
      </c>
      <c r="AA102" s="46">
        <f t="shared" si="50"/>
        <v>0</v>
      </c>
      <c r="AB102" s="46">
        <f t="shared" si="50"/>
        <v>0</v>
      </c>
      <c r="AC102" s="46">
        <f t="shared" si="50"/>
        <v>0</v>
      </c>
      <c r="AD102" s="46">
        <f t="shared" si="50"/>
        <v>0</v>
      </c>
      <c r="AE102" s="46">
        <f t="shared" si="50"/>
        <v>0</v>
      </c>
      <c r="AF102" s="46">
        <f t="shared" si="50"/>
        <v>0</v>
      </c>
      <c r="AG102" s="46">
        <f t="shared" si="50"/>
        <v>0</v>
      </c>
      <c r="AH102" s="46">
        <f t="shared" si="50"/>
        <v>0</v>
      </c>
      <c r="AI102" s="46">
        <f t="shared" si="50"/>
        <v>0</v>
      </c>
      <c r="AJ102" s="46">
        <f t="shared" si="50"/>
        <v>0</v>
      </c>
      <c r="AK102" s="46">
        <f t="shared" si="50"/>
        <v>0</v>
      </c>
      <c r="AL102" s="46">
        <f t="shared" si="50"/>
        <v>0</v>
      </c>
      <c r="AM102" s="46">
        <f t="shared" si="50"/>
        <v>0</v>
      </c>
      <c r="AN102" s="46">
        <f t="shared" si="50"/>
        <v>0</v>
      </c>
      <c r="AO102" s="46">
        <f t="shared" si="50"/>
        <v>0</v>
      </c>
      <c r="AP102" s="46">
        <f t="shared" si="50"/>
        <v>0</v>
      </c>
      <c r="AQ102" s="46">
        <f t="shared" si="50"/>
        <v>0</v>
      </c>
      <c r="AR102" s="46">
        <f t="shared" si="50"/>
        <v>0</v>
      </c>
      <c r="AS102" s="46">
        <f t="shared" si="50"/>
        <v>0</v>
      </c>
      <c r="AT102" s="172">
        <f t="shared" si="50"/>
        <v>0</v>
      </c>
      <c r="AU102" s="153">
        <f t="shared" si="50"/>
        <v>4.3478260869565216E-2</v>
      </c>
      <c r="AV102" s="46">
        <f t="shared" si="50"/>
        <v>4.2512077294685993E-2</v>
      </c>
      <c r="AW102" s="46">
        <f t="shared" si="50"/>
        <v>4.1545893719806763E-2</v>
      </c>
      <c r="AX102" s="46">
        <f t="shared" si="50"/>
        <v>4.0579710144927533E-2</v>
      </c>
      <c r="AY102" s="46">
        <f t="shared" si="50"/>
        <v>3.961352657004831E-2</v>
      </c>
      <c r="BA102" s="88" t="str">
        <f t="shared" ca="1" si="25"/>
        <v>Depreciation</v>
      </c>
      <c r="BB102" s="1" t="str">
        <f t="shared" si="27"/>
        <v>Sum of digits</v>
      </c>
      <c r="BC102" s="1" t="str">
        <f t="shared" si="28"/>
        <v>Profile</v>
      </c>
    </row>
    <row r="103" spans="2:55" x14ac:dyDescent="0.35">
      <c r="E103" s="2">
        <v>46477</v>
      </c>
      <c r="G103" t="s">
        <v>109</v>
      </c>
      <c r="H103" s="77"/>
      <c r="I103" s="27">
        <v>276</v>
      </c>
      <c r="J103" t="s">
        <v>13</v>
      </c>
      <c r="X103" s="46">
        <f t="shared" ref="X103:AY103" si="51">X70/$I103</f>
        <v>0</v>
      </c>
      <c r="Y103" s="46">
        <f t="shared" si="51"/>
        <v>0</v>
      </c>
      <c r="Z103" s="46">
        <f t="shared" si="51"/>
        <v>0</v>
      </c>
      <c r="AA103" s="46">
        <f t="shared" si="51"/>
        <v>0</v>
      </c>
      <c r="AB103" s="46">
        <f t="shared" si="51"/>
        <v>0</v>
      </c>
      <c r="AC103" s="46">
        <f t="shared" si="51"/>
        <v>0</v>
      </c>
      <c r="AD103" s="46">
        <f t="shared" si="51"/>
        <v>0</v>
      </c>
      <c r="AE103" s="46">
        <f t="shared" si="51"/>
        <v>0</v>
      </c>
      <c r="AF103" s="46">
        <f t="shared" si="51"/>
        <v>0</v>
      </c>
      <c r="AG103" s="46">
        <f t="shared" si="51"/>
        <v>0</v>
      </c>
      <c r="AH103" s="46">
        <f t="shared" si="51"/>
        <v>0</v>
      </c>
      <c r="AI103" s="46">
        <f t="shared" si="51"/>
        <v>0</v>
      </c>
      <c r="AJ103" s="46">
        <f t="shared" si="51"/>
        <v>0</v>
      </c>
      <c r="AK103" s="46">
        <f t="shared" si="51"/>
        <v>0</v>
      </c>
      <c r="AL103" s="46">
        <f t="shared" si="51"/>
        <v>0</v>
      </c>
      <c r="AM103" s="46">
        <f t="shared" si="51"/>
        <v>0</v>
      </c>
      <c r="AN103" s="46">
        <f t="shared" si="51"/>
        <v>0</v>
      </c>
      <c r="AO103" s="46">
        <f t="shared" si="51"/>
        <v>0</v>
      </c>
      <c r="AP103" s="46">
        <f t="shared" si="51"/>
        <v>0</v>
      </c>
      <c r="AQ103" s="46">
        <f t="shared" si="51"/>
        <v>0</v>
      </c>
      <c r="AR103" s="46">
        <f t="shared" si="51"/>
        <v>0</v>
      </c>
      <c r="AS103" s="46">
        <f t="shared" si="51"/>
        <v>0</v>
      </c>
      <c r="AT103" s="172">
        <f t="shared" si="51"/>
        <v>0</v>
      </c>
      <c r="AU103" s="153">
        <f t="shared" si="51"/>
        <v>0</v>
      </c>
      <c r="AV103" s="46">
        <f t="shared" si="51"/>
        <v>8.3333333333333329E-2</v>
      </c>
      <c r="AW103" s="46">
        <f t="shared" si="51"/>
        <v>7.9710144927536225E-2</v>
      </c>
      <c r="AX103" s="46">
        <f t="shared" si="51"/>
        <v>7.6086956521739135E-2</v>
      </c>
      <c r="AY103" s="46">
        <f t="shared" si="51"/>
        <v>7.2463768115942032E-2</v>
      </c>
      <c r="AZ103" s="78"/>
      <c r="BA103" s="88" t="str">
        <f t="shared" ca="1" si="25"/>
        <v>Depreciation</v>
      </c>
      <c r="BB103" s="1" t="str">
        <f t="shared" si="27"/>
        <v>Sum of digits</v>
      </c>
      <c r="BC103" s="1" t="str">
        <f t="shared" si="28"/>
        <v>Profile</v>
      </c>
    </row>
    <row r="104" spans="2:55" x14ac:dyDescent="0.35">
      <c r="E104" s="2">
        <v>46843</v>
      </c>
      <c r="G104" t="s">
        <v>109</v>
      </c>
      <c r="H104" s="77"/>
      <c r="I104" s="27">
        <v>253</v>
      </c>
      <c r="J104" t="s">
        <v>13</v>
      </c>
      <c r="X104" s="46">
        <f t="shared" ref="X104:AY104" si="52">X71/$I104</f>
        <v>0</v>
      </c>
      <c r="Y104" s="46">
        <f t="shared" si="52"/>
        <v>0</v>
      </c>
      <c r="Z104" s="46">
        <f t="shared" si="52"/>
        <v>0</v>
      </c>
      <c r="AA104" s="46">
        <f t="shared" si="52"/>
        <v>0</v>
      </c>
      <c r="AB104" s="46">
        <f t="shared" si="52"/>
        <v>0</v>
      </c>
      <c r="AC104" s="46">
        <f t="shared" si="52"/>
        <v>0</v>
      </c>
      <c r="AD104" s="46">
        <f t="shared" si="52"/>
        <v>0</v>
      </c>
      <c r="AE104" s="46">
        <f t="shared" si="52"/>
        <v>0</v>
      </c>
      <c r="AF104" s="46">
        <f t="shared" si="52"/>
        <v>0</v>
      </c>
      <c r="AG104" s="46">
        <f t="shared" si="52"/>
        <v>0</v>
      </c>
      <c r="AH104" s="46">
        <f t="shared" si="52"/>
        <v>0</v>
      </c>
      <c r="AI104" s="46">
        <f t="shared" si="52"/>
        <v>0</v>
      </c>
      <c r="AJ104" s="46">
        <f t="shared" si="52"/>
        <v>0</v>
      </c>
      <c r="AK104" s="46">
        <f t="shared" si="52"/>
        <v>0</v>
      </c>
      <c r="AL104" s="46">
        <f t="shared" si="52"/>
        <v>0</v>
      </c>
      <c r="AM104" s="46">
        <f t="shared" si="52"/>
        <v>0</v>
      </c>
      <c r="AN104" s="46">
        <f t="shared" si="52"/>
        <v>0</v>
      </c>
      <c r="AO104" s="46">
        <f t="shared" si="52"/>
        <v>0</v>
      </c>
      <c r="AP104" s="46">
        <f t="shared" si="52"/>
        <v>0</v>
      </c>
      <c r="AQ104" s="46">
        <f t="shared" si="52"/>
        <v>0</v>
      </c>
      <c r="AR104" s="46">
        <f t="shared" si="52"/>
        <v>0</v>
      </c>
      <c r="AS104" s="46">
        <f t="shared" si="52"/>
        <v>0</v>
      </c>
      <c r="AT104" s="172">
        <f t="shared" si="52"/>
        <v>0</v>
      </c>
      <c r="AU104" s="153">
        <f t="shared" si="52"/>
        <v>0</v>
      </c>
      <c r="AV104" s="46">
        <f t="shared" si="52"/>
        <v>0</v>
      </c>
      <c r="AW104" s="46">
        <f t="shared" si="52"/>
        <v>8.6956521739130432E-2</v>
      </c>
      <c r="AX104" s="46">
        <f t="shared" si="52"/>
        <v>8.3003952569169967E-2</v>
      </c>
      <c r="AY104" s="46">
        <f t="shared" si="52"/>
        <v>7.9051383399209488E-2</v>
      </c>
      <c r="BA104" s="88" t="str">
        <f t="shared" ca="1" si="25"/>
        <v>Depreciation</v>
      </c>
      <c r="BB104" s="1" t="str">
        <f t="shared" si="27"/>
        <v>Sum of digits</v>
      </c>
      <c r="BC104" s="1" t="str">
        <f t="shared" si="28"/>
        <v>Profile</v>
      </c>
    </row>
    <row r="105" spans="2:55" x14ac:dyDescent="0.35">
      <c r="E105" s="2">
        <v>47208</v>
      </c>
      <c r="G105" t="s">
        <v>109</v>
      </c>
      <c r="H105" s="77"/>
      <c r="I105" s="27">
        <v>231</v>
      </c>
      <c r="J105" t="s">
        <v>13</v>
      </c>
      <c r="X105" s="46">
        <f t="shared" ref="X105:AY105" si="53">X72/$I105</f>
        <v>0</v>
      </c>
      <c r="Y105" s="46">
        <f t="shared" si="53"/>
        <v>0</v>
      </c>
      <c r="Z105" s="46">
        <f t="shared" si="53"/>
        <v>0</v>
      </c>
      <c r="AA105" s="46">
        <f t="shared" si="53"/>
        <v>0</v>
      </c>
      <c r="AB105" s="46">
        <f t="shared" si="53"/>
        <v>0</v>
      </c>
      <c r="AC105" s="46">
        <f t="shared" si="53"/>
        <v>0</v>
      </c>
      <c r="AD105" s="46">
        <f t="shared" si="53"/>
        <v>0</v>
      </c>
      <c r="AE105" s="46">
        <f t="shared" si="53"/>
        <v>0</v>
      </c>
      <c r="AF105" s="46">
        <f t="shared" si="53"/>
        <v>0</v>
      </c>
      <c r="AG105" s="46">
        <f t="shared" si="53"/>
        <v>0</v>
      </c>
      <c r="AH105" s="46">
        <f t="shared" si="53"/>
        <v>0</v>
      </c>
      <c r="AI105" s="46">
        <f t="shared" si="53"/>
        <v>0</v>
      </c>
      <c r="AJ105" s="46">
        <f t="shared" si="53"/>
        <v>0</v>
      </c>
      <c r="AK105" s="46">
        <f t="shared" si="53"/>
        <v>0</v>
      </c>
      <c r="AL105" s="46">
        <f t="shared" si="53"/>
        <v>0</v>
      </c>
      <c r="AM105" s="46">
        <f t="shared" si="53"/>
        <v>0</v>
      </c>
      <c r="AN105" s="46">
        <f t="shared" si="53"/>
        <v>0</v>
      </c>
      <c r="AO105" s="46">
        <f t="shared" si="53"/>
        <v>0</v>
      </c>
      <c r="AP105" s="46">
        <f t="shared" si="53"/>
        <v>0</v>
      </c>
      <c r="AQ105" s="46">
        <f t="shared" si="53"/>
        <v>0</v>
      </c>
      <c r="AR105" s="46">
        <f t="shared" si="53"/>
        <v>0</v>
      </c>
      <c r="AS105" s="46">
        <f t="shared" si="53"/>
        <v>0</v>
      </c>
      <c r="AT105" s="172">
        <f t="shared" si="53"/>
        <v>0</v>
      </c>
      <c r="AU105" s="153">
        <f t="shared" si="53"/>
        <v>0</v>
      </c>
      <c r="AV105" s="46">
        <f t="shared" si="53"/>
        <v>0</v>
      </c>
      <c r="AW105" s="46">
        <f t="shared" si="53"/>
        <v>0</v>
      </c>
      <c r="AX105" s="46">
        <f t="shared" si="53"/>
        <v>9.0909090909090912E-2</v>
      </c>
      <c r="AY105" s="46">
        <f t="shared" si="53"/>
        <v>8.6580086580086577E-2</v>
      </c>
      <c r="BA105" s="88" t="str">
        <f t="shared" ca="1" si="25"/>
        <v>Depreciation</v>
      </c>
      <c r="BB105" s="1" t="str">
        <f t="shared" si="27"/>
        <v>Sum of digits</v>
      </c>
      <c r="BC105" s="1" t="str">
        <f t="shared" si="28"/>
        <v>Profile</v>
      </c>
    </row>
    <row r="106" spans="2:55" x14ac:dyDescent="0.35">
      <c r="E106" s="2">
        <v>47573</v>
      </c>
      <c r="G106" t="s">
        <v>109</v>
      </c>
      <c r="H106" s="77"/>
      <c r="I106" s="27">
        <v>210</v>
      </c>
      <c r="J106" t="s">
        <v>13</v>
      </c>
      <c r="X106" s="46">
        <f t="shared" ref="X106:AY106" si="54">X73/$I106</f>
        <v>0</v>
      </c>
      <c r="Y106" s="46">
        <f t="shared" si="54"/>
        <v>0</v>
      </c>
      <c r="Z106" s="46">
        <f t="shared" si="54"/>
        <v>0</v>
      </c>
      <c r="AA106" s="46">
        <f t="shared" si="54"/>
        <v>0</v>
      </c>
      <c r="AB106" s="46">
        <f t="shared" si="54"/>
        <v>0</v>
      </c>
      <c r="AC106" s="46">
        <f t="shared" si="54"/>
        <v>0</v>
      </c>
      <c r="AD106" s="46">
        <f t="shared" si="54"/>
        <v>0</v>
      </c>
      <c r="AE106" s="46">
        <f t="shared" si="54"/>
        <v>0</v>
      </c>
      <c r="AF106" s="46">
        <f t="shared" si="54"/>
        <v>0</v>
      </c>
      <c r="AG106" s="46">
        <f t="shared" si="54"/>
        <v>0</v>
      </c>
      <c r="AH106" s="46">
        <f t="shared" si="54"/>
        <v>0</v>
      </c>
      <c r="AI106" s="46">
        <f t="shared" si="54"/>
        <v>0</v>
      </c>
      <c r="AJ106" s="46">
        <f t="shared" si="54"/>
        <v>0</v>
      </c>
      <c r="AK106" s="46">
        <f t="shared" si="54"/>
        <v>0</v>
      </c>
      <c r="AL106" s="46">
        <f t="shared" si="54"/>
        <v>0</v>
      </c>
      <c r="AM106" s="46">
        <f t="shared" si="54"/>
        <v>0</v>
      </c>
      <c r="AN106" s="46">
        <f t="shared" si="54"/>
        <v>0</v>
      </c>
      <c r="AO106" s="46">
        <f t="shared" si="54"/>
        <v>0</v>
      </c>
      <c r="AP106" s="46">
        <f t="shared" si="54"/>
        <v>0</v>
      </c>
      <c r="AQ106" s="46">
        <f t="shared" si="54"/>
        <v>0</v>
      </c>
      <c r="AR106" s="46">
        <f t="shared" si="54"/>
        <v>0</v>
      </c>
      <c r="AS106" s="46">
        <f t="shared" si="54"/>
        <v>0</v>
      </c>
      <c r="AT106" s="172">
        <f t="shared" si="54"/>
        <v>0</v>
      </c>
      <c r="AU106" s="153">
        <f t="shared" si="54"/>
        <v>0</v>
      </c>
      <c r="AV106" s="46">
        <f t="shared" si="54"/>
        <v>0</v>
      </c>
      <c r="AW106" s="46">
        <f t="shared" si="54"/>
        <v>0</v>
      </c>
      <c r="AX106" s="46">
        <f t="shared" si="54"/>
        <v>0</v>
      </c>
      <c r="AY106" s="46">
        <f t="shared" si="54"/>
        <v>9.5238095238095233E-2</v>
      </c>
      <c r="BA106" s="88" t="str">
        <f t="shared" ca="1" si="25"/>
        <v>Depreciation</v>
      </c>
      <c r="BB106" s="1" t="str">
        <f t="shared" si="27"/>
        <v>Sum of digits</v>
      </c>
      <c r="BC106" s="1" t="str">
        <f t="shared" si="28"/>
        <v>Profile</v>
      </c>
    </row>
    <row r="107" spans="2:55" x14ac:dyDescent="0.35">
      <c r="E107" s="2">
        <v>47938</v>
      </c>
      <c r="G107" t="s">
        <v>109</v>
      </c>
      <c r="H107" s="77"/>
      <c r="I107" s="27">
        <v>190</v>
      </c>
      <c r="J107" t="s">
        <v>13</v>
      </c>
      <c r="X107" s="46">
        <f t="shared" ref="X107:AY107" si="55">X74/$I107</f>
        <v>0</v>
      </c>
      <c r="Y107" s="46">
        <f t="shared" si="55"/>
        <v>0</v>
      </c>
      <c r="Z107" s="46">
        <f t="shared" si="55"/>
        <v>0</v>
      </c>
      <c r="AA107" s="46">
        <f t="shared" si="55"/>
        <v>0</v>
      </c>
      <c r="AB107" s="46">
        <f t="shared" si="55"/>
        <v>0</v>
      </c>
      <c r="AC107" s="46">
        <f t="shared" si="55"/>
        <v>0</v>
      </c>
      <c r="AD107" s="46">
        <f t="shared" si="55"/>
        <v>0</v>
      </c>
      <c r="AE107" s="46">
        <f t="shared" si="55"/>
        <v>0</v>
      </c>
      <c r="AF107" s="46">
        <f t="shared" si="55"/>
        <v>0</v>
      </c>
      <c r="AG107" s="46">
        <f t="shared" si="55"/>
        <v>0</v>
      </c>
      <c r="AH107" s="46">
        <f t="shared" si="55"/>
        <v>0</v>
      </c>
      <c r="AI107" s="46">
        <f t="shared" si="55"/>
        <v>0</v>
      </c>
      <c r="AJ107" s="46">
        <f t="shared" si="55"/>
        <v>0</v>
      </c>
      <c r="AK107" s="46">
        <f t="shared" si="55"/>
        <v>0</v>
      </c>
      <c r="AL107" s="46">
        <f t="shared" si="55"/>
        <v>0</v>
      </c>
      <c r="AM107" s="46">
        <f t="shared" si="55"/>
        <v>0</v>
      </c>
      <c r="AN107" s="46">
        <f t="shared" si="55"/>
        <v>0</v>
      </c>
      <c r="AO107" s="46">
        <f t="shared" si="55"/>
        <v>0</v>
      </c>
      <c r="AP107" s="46">
        <f t="shared" si="55"/>
        <v>0</v>
      </c>
      <c r="AQ107" s="46">
        <f t="shared" si="55"/>
        <v>0</v>
      </c>
      <c r="AR107" s="46">
        <f t="shared" si="55"/>
        <v>0</v>
      </c>
      <c r="AS107" s="46">
        <f t="shared" si="55"/>
        <v>0</v>
      </c>
      <c r="AT107" s="172">
        <f t="shared" si="55"/>
        <v>0</v>
      </c>
      <c r="AU107" s="153">
        <f t="shared" si="55"/>
        <v>0</v>
      </c>
      <c r="AV107" s="46">
        <f t="shared" si="55"/>
        <v>0</v>
      </c>
      <c r="AW107" s="46">
        <f t="shared" si="55"/>
        <v>0</v>
      </c>
      <c r="AX107" s="46">
        <f t="shared" si="55"/>
        <v>0</v>
      </c>
      <c r="AY107" s="46">
        <f t="shared" si="55"/>
        <v>0</v>
      </c>
      <c r="BA107" s="88" t="str">
        <f t="shared" ca="1" si="25"/>
        <v>Depreciation</v>
      </c>
      <c r="BB107" s="1" t="str">
        <f t="shared" si="27"/>
        <v>Sum of digits</v>
      </c>
      <c r="BC107" s="1" t="str">
        <f t="shared" si="28"/>
        <v>Profile</v>
      </c>
    </row>
    <row r="108" spans="2:55" x14ac:dyDescent="0.35"/>
    <row r="109" spans="2:55" x14ac:dyDescent="0.35"/>
    <row r="110" spans="2:55" ht="17.5" thickBot="1" x14ac:dyDescent="0.45">
      <c r="B110" s="15" t="s">
        <v>555</v>
      </c>
    </row>
    <row r="111" spans="2:55" ht="15" thickTop="1" x14ac:dyDescent="0.35">
      <c r="E111" s="2">
        <v>37711</v>
      </c>
      <c r="G111" t="s">
        <v>109</v>
      </c>
      <c r="I111" s="46">
        <f t="shared" ref="I111:I139" si="56">1-SUMIFS(X79:AY79,$X$18:$AY$18,0)</f>
        <v>0.14782608695652166</v>
      </c>
      <c r="J111" t="s">
        <v>13</v>
      </c>
      <c r="X111" s="46">
        <f>IF(YEAR(X$4)&gt;YEAR($E111),IF(X$18,2/(X46+1)*($I111-SUM($W111:W111))*IF(X46&gt;1,X$19,1),0),0)</f>
        <v>0</v>
      </c>
      <c r="Y111" s="46">
        <f>IF(YEAR(Y$4)&gt;YEAR($E111),IF(Y$18,2/(Y46+1)*($I111-SUM($W111:X111))*IF(Y46&gt;1,Y$19,1),0),0)</f>
        <v>0</v>
      </c>
      <c r="Z111" s="46">
        <f>IF(YEAR(Z$4)&gt;YEAR($E111),IF(Z$18,2/(Z46+1)*($I111-SUM($W111:Y111))*IF(Z46&gt;1,Z$19,1),0),0)</f>
        <v>0</v>
      </c>
      <c r="AA111" s="46">
        <f>IF(YEAR(AA$4)&gt;YEAR($E111),IF(AA$18,2/(AA46+1)*($I111-SUM($W111:Z111))*IF(AA46&gt;1,AA$19,1),0),0)</f>
        <v>0</v>
      </c>
      <c r="AB111" s="46">
        <f>IF(YEAR(AB$4)&gt;YEAR($E111),IF(AB$18,2/(AB46+1)*($I111-SUM($W111:AA111))*IF(AB46&gt;1,AB$19,1),0),0)</f>
        <v>0</v>
      </c>
      <c r="AC111" s="46">
        <f>IF(YEAR(AC$4)&gt;YEAR($E111),IF(AC$18,2/(AC46+1)*($I111-SUM($W111:AB111))*IF(AC46&gt;1,AC$19,1),0),0)</f>
        <v>0</v>
      </c>
      <c r="AD111" s="46">
        <f>IF(YEAR(AD$4)&gt;YEAR($E111),IF(AD$18,2/(AD46+1)*($I111-SUM($W111:AC111))*IF(AD46&gt;1,AD$19,1),0),0)</f>
        <v>0</v>
      </c>
      <c r="AE111" s="46">
        <f>IF(YEAR(AE$4)&gt;YEAR($E111),IF(AE$18,2/(AE46+1)*($I111-SUM($W111:AD111))*IF(AE46&gt;1,AE$19,1),0),0)</f>
        <v>0</v>
      </c>
      <c r="AF111" s="46">
        <f>IF(YEAR(AF$4)&gt;YEAR($E111),IF(AF$18,2/(AF46+1)*($I111-SUM($W111:AE111))*IF(AF46&gt;1,AF$19,1),0),0)</f>
        <v>0</v>
      </c>
      <c r="AG111" s="46">
        <f>IF(YEAR(AG$4)&gt;YEAR($E111),IF(AG$18,2/(AG46+1)*($I111-SUM($W111:AF111))*IF(AG46&gt;1,AG$19,1),0),0)</f>
        <v>0</v>
      </c>
      <c r="AH111" s="46">
        <f>IF(YEAR(AH$4)&gt;YEAR($E111),IF(AH$18,2/(AH46+1)*($I111-SUM($W111:AG111))*IF(AH46&gt;1,AH$19,1),0),0)</f>
        <v>0</v>
      </c>
      <c r="AI111" s="46">
        <f>IF(YEAR(AI$4)&gt;YEAR($E111),IF(AI$18,2/(AI46+1)*($I111-SUM($W111:AH111))*IF(AI46&gt;1,AI$19,1),0),0)</f>
        <v>0</v>
      </c>
      <c r="AJ111" s="46">
        <f>IF(YEAR(AJ$4)&gt;YEAR($E111),IF(AJ$18,2/(AJ46+1)*($I111-SUM($W111:AI111))*IF(AJ46&gt;1,AJ$19,1),0),0)</f>
        <v>0</v>
      </c>
      <c r="AK111" s="46">
        <f>IF(YEAR(AK$4)&gt;YEAR($E111),IF(AK$18,2/(AK46+1)*($I111-SUM($W111:AJ111))*IF(AK46&gt;1,AK$19,1),0),0)</f>
        <v>0</v>
      </c>
      <c r="AL111" s="46">
        <f>IF(YEAR(AL$4)&gt;YEAR($E111),IF(AL$18,2/(AL46+1)*($I111-SUM($W111:AK111))*IF(AL46&gt;1,AL$19,1),0),0)</f>
        <v>0</v>
      </c>
      <c r="AM111" s="46">
        <f>IF(YEAR(AM$4)&gt;YEAR($E111),IF(AM$18,2/(AM46+1)*($I111-SUM($W111:AL111))*IF(AM46&gt;1,AM$19,1),0),0)</f>
        <v>0</v>
      </c>
      <c r="AN111" s="46">
        <f>IF(YEAR(AN$4)&gt;YEAR($E111),IF(AN$18,2/(AN46+1)*($I111-SUM($W111:AM111))*IF(AN46&gt;1,AN$19,1),0),0)</f>
        <v>0</v>
      </c>
      <c r="AO111" s="46">
        <f>IF(YEAR(AO$4)&gt;YEAR($E111),IF(AO$18,2/(AO46+1)*($I111-SUM($W111:AN111))*IF(AO46&gt;1,AO$19,1),0),0)</f>
        <v>0</v>
      </c>
      <c r="AP111" s="46">
        <f>IF(YEAR(AP$4)&gt;YEAR($E111),IF(AP$18,2/(AP46+1)*($I111-SUM($W111:AO111))*IF(AP46&gt;1,AP$19,1),0),0)</f>
        <v>0</v>
      </c>
      <c r="AQ111" s="46">
        <f>IF(YEAR(AQ$4)&gt;YEAR($E111),IF(AQ$18,2/(AQ46+1)*($I111-SUM($W111:AP111))*IF(AQ46&gt;1,AQ$19,1),0),0)</f>
        <v>0</v>
      </c>
      <c r="AR111" s="46">
        <f>IF(YEAR(AR$4)&gt;YEAR($E111),IF(AR$18,2/(AR46+1)*($I111-SUM($W111:AQ111))*IF(AR46&gt;1,AR$19,1),0),0)</f>
        <v>0</v>
      </c>
      <c r="AS111" s="46">
        <f>IF(YEAR(AS$4)&gt;YEAR($E111),IF(AS$18,2/(AS46+1)*($I111-SUM($W111:AR111))*IF(AS46&gt;1,AS$19,1),0),0)</f>
        <v>0</v>
      </c>
      <c r="AT111" s="172">
        <f>IF(YEAR(AT$4)&gt;YEAR($E111),IF(AT$18,2/(AT46+1)*($I111-SUM($W111:AS111))*IF(AT46&gt;1,AT$19,1),0),0)</f>
        <v>0</v>
      </c>
      <c r="AU111" s="153">
        <f>IF(YEAR(AU$4)&gt;YEAR($E111),IF(AU$18,2/(AU46+1)*($I111-SUM($W111:AT111))*IF(AU46&gt;1,AU$19,1),0),0)</f>
        <v>0</v>
      </c>
      <c r="AV111" s="46">
        <f>IF(YEAR(AV$4)&gt;YEAR($E111),IF(AV$18,2/(AV46+1)*($I111-SUM($W111:AU111))*IF(AV46&gt;1,AV$19,1),0),0)</f>
        <v>0</v>
      </c>
      <c r="AW111" s="46">
        <f>IF(YEAR(AW$4)&gt;YEAR($E111),IF(AW$18,2/(AW46+1)*($I111-SUM($W111:AV111))*IF(AW46&gt;1,AW$19,1),0),0)</f>
        <v>0</v>
      </c>
      <c r="AX111" s="46">
        <f>IF(YEAR(AX$4)&gt;YEAR($E111),IF(AX$18,2/(AX46+1)*($I111-SUM($W111:AW111))*IF(AX46&gt;1,AX$19,1),0),0)</f>
        <v>0</v>
      </c>
      <c r="AY111" s="46">
        <f>IF(YEAR(AY$4)&gt;YEAR($E111),IF(AY$18,2/(AY46+1)*($I111-SUM($W111:AX111))*IF(AY46&gt;1,AY$19,1),0),0)</f>
        <v>0</v>
      </c>
      <c r="BA111" s="88" t="str">
        <f t="shared" ref="BA111:BA139" ca="1" si="57">$A$1</f>
        <v>Depreciation</v>
      </c>
      <c r="BB111" s="1" t="str">
        <f t="shared" ref="BB111:BB139" si="58">$A$76</f>
        <v>Sum of digits</v>
      </c>
      <c r="BC111" s="1" t="str">
        <f>$B$110</f>
        <v>Accelerated profile</v>
      </c>
    </row>
    <row r="112" spans="2:55" x14ac:dyDescent="0.35">
      <c r="E112" s="2">
        <v>38077</v>
      </c>
      <c r="G112" t="s">
        <v>109</v>
      </c>
      <c r="I112" s="46">
        <f t="shared" si="56"/>
        <v>0.16521739130434776</v>
      </c>
      <c r="J112" t="s">
        <v>13</v>
      </c>
      <c r="X112" s="46">
        <f>IF(YEAR(X$4)&gt;YEAR($E112),IF(X$18,2/(X47+1)*($I112-SUM($W112:W112))*IF(X47&gt;1,X$19,1),0),0)</f>
        <v>0</v>
      </c>
      <c r="Y112" s="46">
        <f>IF(YEAR(Y$4)&gt;YEAR($E112),IF(Y$18,2/(Y47+1)*($I112-SUM($W112:X112))*IF(Y47&gt;1,Y$19,1),0),0)</f>
        <v>0</v>
      </c>
      <c r="Z112" s="46">
        <f>IF(YEAR(Z$4)&gt;YEAR($E112),IF(Z$18,2/(Z47+1)*($I112-SUM($W112:Y112))*IF(Z47&gt;1,Z$19,1),0),0)</f>
        <v>0</v>
      </c>
      <c r="AA112" s="46">
        <f>IF(YEAR(AA$4)&gt;YEAR($E112),IF(AA$18,2/(AA47+1)*($I112-SUM($W112:Z112))*IF(AA47&gt;1,AA$19,1),0),0)</f>
        <v>0</v>
      </c>
      <c r="AB112" s="46">
        <f>IF(YEAR(AB$4)&gt;YEAR($E112),IF(AB$18,2/(AB47+1)*($I112-SUM($W112:AA112))*IF(AB47&gt;1,AB$19,1),0),0)</f>
        <v>0</v>
      </c>
      <c r="AC112" s="46">
        <f>IF(YEAR(AC$4)&gt;YEAR($E112),IF(AC$18,2/(AC47+1)*($I112-SUM($W112:AB112))*IF(AC47&gt;1,AC$19,1),0),0)</f>
        <v>0</v>
      </c>
      <c r="AD112" s="46">
        <f>IF(YEAR(AD$4)&gt;YEAR($E112),IF(AD$18,2/(AD47+1)*($I112-SUM($W112:AC112))*IF(AD47&gt;1,AD$19,1),0),0)</f>
        <v>0</v>
      </c>
      <c r="AE112" s="46">
        <f>IF(YEAR(AE$4)&gt;YEAR($E112),IF(AE$18,2/(AE47+1)*($I112-SUM($W112:AD112))*IF(AE47&gt;1,AE$19,1),0),0)</f>
        <v>0</v>
      </c>
      <c r="AF112" s="46">
        <f>IF(YEAR(AF$4)&gt;YEAR($E112),IF(AF$18,2/(AF47+1)*($I112-SUM($W112:AE112))*IF(AF47&gt;1,AF$19,1),0),0)</f>
        <v>0</v>
      </c>
      <c r="AG112" s="46">
        <f>IF(YEAR(AG$4)&gt;YEAR($E112),IF(AG$18,2/(AG47+1)*($I112-SUM($W112:AF112))*IF(AG47&gt;1,AG$19,1),0),0)</f>
        <v>0</v>
      </c>
      <c r="AH112" s="46">
        <f>IF(YEAR(AH$4)&gt;YEAR($E112),IF(AH$18,2/(AH47+1)*($I112-SUM($W112:AG112))*IF(AH47&gt;1,AH$19,1),0),0)</f>
        <v>0</v>
      </c>
      <c r="AI112" s="46">
        <f>IF(YEAR(AI$4)&gt;YEAR($E112),IF(AI$18,2/(AI47+1)*($I112-SUM($W112:AH112))*IF(AI47&gt;1,AI$19,1),0),0)</f>
        <v>0</v>
      </c>
      <c r="AJ112" s="46">
        <f>IF(YEAR(AJ$4)&gt;YEAR($E112),IF(AJ$18,2/(AJ47+1)*($I112-SUM($W112:AI112))*IF(AJ47&gt;1,AJ$19,1),0),0)</f>
        <v>0</v>
      </c>
      <c r="AK112" s="46">
        <f>IF(YEAR(AK$4)&gt;YEAR($E112),IF(AK$18,2/(AK47+1)*($I112-SUM($W112:AJ112))*IF(AK47&gt;1,AK$19,1),0),0)</f>
        <v>0</v>
      </c>
      <c r="AL112" s="46">
        <f>IF(YEAR(AL$4)&gt;YEAR($E112),IF(AL$18,2/(AL47+1)*($I112-SUM($W112:AK112))*IF(AL47&gt;1,AL$19,1),0),0)</f>
        <v>0</v>
      </c>
      <c r="AM112" s="46">
        <f>IF(YEAR(AM$4)&gt;YEAR($E112),IF(AM$18,2/(AM47+1)*($I112-SUM($W112:AL112))*IF(AM47&gt;1,AM$19,1),0),0)</f>
        <v>0</v>
      </c>
      <c r="AN112" s="46">
        <f>IF(YEAR(AN$4)&gt;YEAR($E112),IF(AN$18,2/(AN47+1)*($I112-SUM($W112:AM112))*IF(AN47&gt;1,AN$19,1),0),0)</f>
        <v>0</v>
      </c>
      <c r="AO112" s="46">
        <f>IF(YEAR(AO$4)&gt;YEAR($E112),IF(AO$18,2/(AO47+1)*($I112-SUM($W112:AN112))*IF(AO47&gt;1,AO$19,1),0),0)</f>
        <v>0</v>
      </c>
      <c r="AP112" s="46">
        <f>IF(YEAR(AP$4)&gt;YEAR($E112),IF(AP$18,2/(AP47+1)*($I112-SUM($W112:AO112))*IF(AP47&gt;1,AP$19,1),0),0)</f>
        <v>0</v>
      </c>
      <c r="AQ112" s="46">
        <f>IF(YEAR(AQ$4)&gt;YEAR($E112),IF(AQ$18,2/(AQ47+1)*($I112-SUM($W112:AP112))*IF(AQ47&gt;1,AQ$19,1),0),0)</f>
        <v>0</v>
      </c>
      <c r="AR112" s="46">
        <f>IF(YEAR(AR$4)&gt;YEAR($E112),IF(AR$18,2/(AR47+1)*($I112-SUM($W112:AQ112))*IF(AR47&gt;1,AR$19,1),0),0)</f>
        <v>0</v>
      </c>
      <c r="AS112" s="46">
        <f>IF(YEAR(AS$4)&gt;YEAR($E112),IF(AS$18,2/(AS47+1)*($I112-SUM($W112:AR112))*IF(AS47&gt;1,AS$19,1),0),0)</f>
        <v>0</v>
      </c>
      <c r="AT112" s="172">
        <f>IF(YEAR(AT$4)&gt;YEAR($E112),IF(AT$18,2/(AT47+1)*($I112-SUM($W112:AS112))*IF(AT47&gt;1,AT$19,1),0),0)</f>
        <v>0</v>
      </c>
      <c r="AU112" s="153">
        <f>IF(YEAR(AU$4)&gt;YEAR($E112),IF(AU$18,2/(AU47+1)*($I112-SUM($W112:AT112))*IF(AU47&gt;1,AU$19,1),0),0)</f>
        <v>0</v>
      </c>
      <c r="AV112" s="46">
        <f>IF(YEAR(AV$4)&gt;YEAR($E112),IF(AV$18,2/(AV47+1)*($I112-SUM($W112:AU112))*IF(AV47&gt;1,AV$19,1),0),0)</f>
        <v>0</v>
      </c>
      <c r="AW112" s="46">
        <f>IF(YEAR(AW$4)&gt;YEAR($E112),IF(AW$18,2/(AW47+1)*($I112-SUM($W112:AV112))*IF(AW47&gt;1,AW$19,1),0),0)</f>
        <v>0</v>
      </c>
      <c r="AX112" s="46">
        <f>IF(YEAR(AX$4)&gt;YEAR($E112),IF(AX$18,2/(AX47+1)*($I112-SUM($W112:AW112))*IF(AX47&gt;1,AX$19,1),0),0)</f>
        <v>0</v>
      </c>
      <c r="AY112" s="46">
        <f>IF(YEAR(AY$4)&gt;YEAR($E112),IF(AY$18,2/(AY47+1)*($I112-SUM($W112:AX112))*IF(AY47&gt;1,AY$19,1),0),0)</f>
        <v>0</v>
      </c>
      <c r="BA112" s="88" t="str">
        <f t="shared" ca="1" si="57"/>
        <v>Depreciation</v>
      </c>
      <c r="BB112" s="1" t="str">
        <f t="shared" si="58"/>
        <v>Sum of digits</v>
      </c>
      <c r="BC112" s="1" t="str">
        <f t="shared" ref="BC112:BC139" si="59">$B$110</f>
        <v>Accelerated profile</v>
      </c>
    </row>
    <row r="113" spans="5:55" x14ac:dyDescent="0.35">
      <c r="E113" s="2">
        <v>38442</v>
      </c>
      <c r="G113" t="s">
        <v>109</v>
      </c>
      <c r="I113" s="46">
        <f t="shared" si="56"/>
        <v>0.18357487922705307</v>
      </c>
      <c r="J113" t="s">
        <v>13</v>
      </c>
      <c r="X113" s="46">
        <f>IF(YEAR(X$4)&gt;YEAR($E113),IF(X$18,2/(X48+1)*($I113-SUM($W113:W113))*IF(X48&gt;1,X$19,1),0),0)</f>
        <v>0</v>
      </c>
      <c r="Y113" s="46">
        <f>IF(YEAR(Y$4)&gt;YEAR($E113),IF(Y$18,2/(Y48+1)*($I113-SUM($W113:X113))*IF(Y48&gt;1,Y$19,1),0),0)</f>
        <v>0</v>
      </c>
      <c r="Z113" s="46">
        <f>IF(YEAR(Z$4)&gt;YEAR($E113),IF(Z$18,2/(Z48+1)*($I113-SUM($W113:Y113))*IF(Z48&gt;1,Z$19,1),0),0)</f>
        <v>0</v>
      </c>
      <c r="AA113" s="46">
        <f>IF(YEAR(AA$4)&gt;YEAR($E113),IF(AA$18,2/(AA48+1)*($I113-SUM($W113:Z113))*IF(AA48&gt;1,AA$19,1),0),0)</f>
        <v>0</v>
      </c>
      <c r="AB113" s="46">
        <f>IF(YEAR(AB$4)&gt;YEAR($E113),IF(AB$18,2/(AB48+1)*($I113-SUM($W113:AA113))*IF(AB48&gt;1,AB$19,1),0),0)</f>
        <v>0</v>
      </c>
      <c r="AC113" s="46">
        <f>IF(YEAR(AC$4)&gt;YEAR($E113),IF(AC$18,2/(AC48+1)*($I113-SUM($W113:AB113))*IF(AC48&gt;1,AC$19,1),0),0)</f>
        <v>0</v>
      </c>
      <c r="AD113" s="46">
        <f>IF(YEAR(AD$4)&gt;YEAR($E113),IF(AD$18,2/(AD48+1)*($I113-SUM($W113:AC113))*IF(AD48&gt;1,AD$19,1),0),0)</f>
        <v>0</v>
      </c>
      <c r="AE113" s="46">
        <f>IF(YEAR(AE$4)&gt;YEAR($E113),IF(AE$18,2/(AE48+1)*($I113-SUM($W113:AD113))*IF(AE48&gt;1,AE$19,1),0),0)</f>
        <v>0</v>
      </c>
      <c r="AF113" s="46">
        <f>IF(YEAR(AF$4)&gt;YEAR($E113),IF(AF$18,2/(AF48+1)*($I113-SUM($W113:AE113))*IF(AF48&gt;1,AF$19,1),0),0)</f>
        <v>0</v>
      </c>
      <c r="AG113" s="46">
        <f>IF(YEAR(AG$4)&gt;YEAR($E113),IF(AG$18,2/(AG48+1)*($I113-SUM($W113:AF113))*IF(AG48&gt;1,AG$19,1),0),0)</f>
        <v>0</v>
      </c>
      <c r="AH113" s="46">
        <f>IF(YEAR(AH$4)&gt;YEAR($E113),IF(AH$18,2/(AH48+1)*($I113-SUM($W113:AG113))*IF(AH48&gt;1,AH$19,1),0),0)</f>
        <v>0</v>
      </c>
      <c r="AI113" s="46">
        <f>IF(YEAR(AI$4)&gt;YEAR($E113),IF(AI$18,2/(AI48+1)*($I113-SUM($W113:AH113))*IF(AI48&gt;1,AI$19,1),0),0)</f>
        <v>0</v>
      </c>
      <c r="AJ113" s="46">
        <f>IF(YEAR(AJ$4)&gt;YEAR($E113),IF(AJ$18,2/(AJ48+1)*($I113-SUM($W113:AI113))*IF(AJ48&gt;1,AJ$19,1),0),0)</f>
        <v>0</v>
      </c>
      <c r="AK113" s="46">
        <f>IF(YEAR(AK$4)&gt;YEAR($E113),IF(AK$18,2/(AK48+1)*($I113-SUM($W113:AJ113))*IF(AK48&gt;1,AK$19,1),0),0)</f>
        <v>0</v>
      </c>
      <c r="AL113" s="46">
        <f>IF(YEAR(AL$4)&gt;YEAR($E113),IF(AL$18,2/(AL48+1)*($I113-SUM($W113:AK113))*IF(AL48&gt;1,AL$19,1),0),0)</f>
        <v>0</v>
      </c>
      <c r="AM113" s="46">
        <f>IF(YEAR(AM$4)&gt;YEAR($E113),IF(AM$18,2/(AM48+1)*($I113-SUM($W113:AL113))*IF(AM48&gt;1,AM$19,1),0),0)</f>
        <v>0</v>
      </c>
      <c r="AN113" s="46">
        <f>IF(YEAR(AN$4)&gt;YEAR($E113),IF(AN$18,2/(AN48+1)*($I113-SUM($W113:AM113))*IF(AN48&gt;1,AN$19,1),0),0)</f>
        <v>0</v>
      </c>
      <c r="AO113" s="46">
        <f>IF(YEAR(AO$4)&gt;YEAR($E113),IF(AO$18,2/(AO48+1)*($I113-SUM($W113:AN113))*IF(AO48&gt;1,AO$19,1),0),0)</f>
        <v>0</v>
      </c>
      <c r="AP113" s="46">
        <f>IF(YEAR(AP$4)&gt;YEAR($E113),IF(AP$18,2/(AP48+1)*($I113-SUM($W113:AO113))*IF(AP48&gt;1,AP$19,1),0),0)</f>
        <v>0</v>
      </c>
      <c r="AQ113" s="46">
        <f>IF(YEAR(AQ$4)&gt;YEAR($E113),IF(AQ$18,2/(AQ48+1)*($I113-SUM($W113:AP113))*IF(AQ48&gt;1,AQ$19,1),0),0)</f>
        <v>0</v>
      </c>
      <c r="AR113" s="46">
        <f>IF(YEAR(AR$4)&gt;YEAR($E113),IF(AR$18,2/(AR48+1)*($I113-SUM($W113:AQ113))*IF(AR48&gt;1,AR$19,1),0),0)</f>
        <v>0</v>
      </c>
      <c r="AS113" s="46">
        <f>IF(YEAR(AS$4)&gt;YEAR($E113),IF(AS$18,2/(AS48+1)*($I113-SUM($W113:AR113))*IF(AS48&gt;1,AS$19,1),0),0)</f>
        <v>0</v>
      </c>
      <c r="AT113" s="172">
        <f>IF(YEAR(AT$4)&gt;YEAR($E113),IF(AT$18,2/(AT48+1)*($I113-SUM($W113:AS113))*IF(AT48&gt;1,AT$19,1),0),0)</f>
        <v>0</v>
      </c>
      <c r="AU113" s="153">
        <f>IF(YEAR(AU$4)&gt;YEAR($E113),IF(AU$18,2/(AU48+1)*($I113-SUM($W113:AT113))*IF(AU48&gt;1,AU$19,1),0),0)</f>
        <v>0</v>
      </c>
      <c r="AV113" s="46">
        <f>IF(YEAR(AV$4)&gt;YEAR($E113),IF(AV$18,2/(AV48+1)*($I113-SUM($W113:AU113))*IF(AV48&gt;1,AV$19,1),0),0)</f>
        <v>0</v>
      </c>
      <c r="AW113" s="46">
        <f>IF(YEAR(AW$4)&gt;YEAR($E113),IF(AW$18,2/(AW48+1)*($I113-SUM($W113:AV113))*IF(AW48&gt;1,AW$19,1),0),0)</f>
        <v>0</v>
      </c>
      <c r="AX113" s="46">
        <f>IF(YEAR(AX$4)&gt;YEAR($E113),IF(AX$18,2/(AX48+1)*($I113-SUM($W113:AW113))*IF(AX48&gt;1,AX$19,1),0),0)</f>
        <v>0</v>
      </c>
      <c r="AY113" s="46">
        <f>IF(YEAR(AY$4)&gt;YEAR($E113),IF(AY$18,2/(AY48+1)*($I113-SUM($W113:AX113))*IF(AY48&gt;1,AY$19,1),0),0)</f>
        <v>0</v>
      </c>
      <c r="BA113" s="88" t="str">
        <f t="shared" ca="1" si="57"/>
        <v>Depreciation</v>
      </c>
      <c r="BB113" s="1" t="str">
        <f t="shared" si="58"/>
        <v>Sum of digits</v>
      </c>
      <c r="BC113" s="1" t="str">
        <f t="shared" si="59"/>
        <v>Accelerated profile</v>
      </c>
    </row>
    <row r="114" spans="5:55" x14ac:dyDescent="0.35">
      <c r="E114" s="2">
        <v>38807</v>
      </c>
      <c r="G114" t="s">
        <v>109</v>
      </c>
      <c r="I114" s="46">
        <f t="shared" si="56"/>
        <v>0.20289855072463758</v>
      </c>
      <c r="J114" t="s">
        <v>13</v>
      </c>
      <c r="X114" s="46">
        <f>IF(YEAR(X$4)&gt;YEAR($E114),IF(X$18,2/(X49+1)*($I114-SUM($W114:W114))*IF(X49&gt;1,X$19,1),0),0)</f>
        <v>0</v>
      </c>
      <c r="Y114" s="46">
        <f>IF(YEAR(Y$4)&gt;YEAR($E114),IF(Y$18,2/(Y49+1)*($I114-SUM($W114:X114))*IF(Y49&gt;1,Y$19,1),0),0)</f>
        <v>0</v>
      </c>
      <c r="Z114" s="46">
        <f>IF(YEAR(Z$4)&gt;YEAR($E114),IF(Z$18,2/(Z49+1)*($I114-SUM($W114:Y114))*IF(Z49&gt;1,Z$19,1),0),0)</f>
        <v>0</v>
      </c>
      <c r="AA114" s="46">
        <f>IF(YEAR(AA$4)&gt;YEAR($E114),IF(AA$18,2/(AA49+1)*($I114-SUM($W114:Z114))*IF(AA49&gt;1,AA$19,1),0),0)</f>
        <v>0</v>
      </c>
      <c r="AB114" s="46">
        <f>IF(YEAR(AB$4)&gt;YEAR($E114),IF(AB$18,2/(AB49+1)*($I114-SUM($W114:AA114))*IF(AB49&gt;1,AB$19,1),0),0)</f>
        <v>0</v>
      </c>
      <c r="AC114" s="46">
        <f>IF(YEAR(AC$4)&gt;YEAR($E114),IF(AC$18,2/(AC49+1)*($I114-SUM($W114:AB114))*IF(AC49&gt;1,AC$19,1),0),0)</f>
        <v>0</v>
      </c>
      <c r="AD114" s="46">
        <f>IF(YEAR(AD$4)&gt;YEAR($E114),IF(AD$18,2/(AD49+1)*($I114-SUM($W114:AC114))*IF(AD49&gt;1,AD$19,1),0),0)</f>
        <v>0</v>
      </c>
      <c r="AE114" s="46">
        <f>IF(YEAR(AE$4)&gt;YEAR($E114),IF(AE$18,2/(AE49+1)*($I114-SUM($W114:AD114))*IF(AE49&gt;1,AE$19,1),0),0)</f>
        <v>0</v>
      </c>
      <c r="AF114" s="46">
        <f>IF(YEAR(AF$4)&gt;YEAR($E114),IF(AF$18,2/(AF49+1)*($I114-SUM($W114:AE114))*IF(AF49&gt;1,AF$19,1),0),0)</f>
        <v>0</v>
      </c>
      <c r="AG114" s="46">
        <f>IF(YEAR(AG$4)&gt;YEAR($E114),IF(AG$18,2/(AG49+1)*($I114-SUM($W114:AF114))*IF(AG49&gt;1,AG$19,1),0),0)</f>
        <v>0</v>
      </c>
      <c r="AH114" s="46">
        <f>IF(YEAR(AH$4)&gt;YEAR($E114),IF(AH$18,2/(AH49+1)*($I114-SUM($W114:AG114))*IF(AH49&gt;1,AH$19,1),0),0)</f>
        <v>0</v>
      </c>
      <c r="AI114" s="46">
        <f>IF(YEAR(AI$4)&gt;YEAR($E114),IF(AI$18,2/(AI49+1)*($I114-SUM($W114:AH114))*IF(AI49&gt;1,AI$19,1),0),0)</f>
        <v>0</v>
      </c>
      <c r="AJ114" s="46">
        <f>IF(YEAR(AJ$4)&gt;YEAR($E114),IF(AJ$18,2/(AJ49+1)*($I114-SUM($W114:AI114))*IF(AJ49&gt;1,AJ$19,1),0),0)</f>
        <v>0</v>
      </c>
      <c r="AK114" s="46">
        <f>IF(YEAR(AK$4)&gt;YEAR($E114),IF(AK$18,2/(AK49+1)*($I114-SUM($W114:AJ114))*IF(AK49&gt;1,AK$19,1),0),0)</f>
        <v>0</v>
      </c>
      <c r="AL114" s="46">
        <f>IF(YEAR(AL$4)&gt;YEAR($E114),IF(AL$18,2/(AL49+1)*($I114-SUM($W114:AK114))*IF(AL49&gt;1,AL$19,1),0),0)</f>
        <v>0</v>
      </c>
      <c r="AM114" s="46">
        <f>IF(YEAR(AM$4)&gt;YEAR($E114),IF(AM$18,2/(AM49+1)*($I114-SUM($W114:AL114))*IF(AM49&gt;1,AM$19,1),0),0)</f>
        <v>0</v>
      </c>
      <c r="AN114" s="46">
        <f>IF(YEAR(AN$4)&gt;YEAR($E114),IF(AN$18,2/(AN49+1)*($I114-SUM($W114:AM114))*IF(AN49&gt;1,AN$19,1),0),0)</f>
        <v>0</v>
      </c>
      <c r="AO114" s="46">
        <f>IF(YEAR(AO$4)&gt;YEAR($E114),IF(AO$18,2/(AO49+1)*($I114-SUM($W114:AN114))*IF(AO49&gt;1,AO$19,1),0),0)</f>
        <v>0</v>
      </c>
      <c r="AP114" s="46">
        <f>IF(YEAR(AP$4)&gt;YEAR($E114),IF(AP$18,2/(AP49+1)*($I114-SUM($W114:AO114))*IF(AP49&gt;1,AP$19,1),0),0)</f>
        <v>0</v>
      </c>
      <c r="AQ114" s="46">
        <f>IF(YEAR(AQ$4)&gt;YEAR($E114),IF(AQ$18,2/(AQ49+1)*($I114-SUM($W114:AP114))*IF(AQ49&gt;1,AQ$19,1),0),0)</f>
        <v>0</v>
      </c>
      <c r="AR114" s="46">
        <f>IF(YEAR(AR$4)&gt;YEAR($E114),IF(AR$18,2/(AR49+1)*($I114-SUM($W114:AQ114))*IF(AR49&gt;1,AR$19,1),0),0)</f>
        <v>0</v>
      </c>
      <c r="AS114" s="46">
        <f>IF(YEAR(AS$4)&gt;YEAR($E114),IF(AS$18,2/(AS49+1)*($I114-SUM($W114:AR114))*IF(AS49&gt;1,AS$19,1),0),0)</f>
        <v>0</v>
      </c>
      <c r="AT114" s="172">
        <f>IF(YEAR(AT$4)&gt;YEAR($E114),IF(AT$18,2/(AT49+1)*($I114-SUM($W114:AS114))*IF(AT49&gt;1,AT$19,1),0),0)</f>
        <v>0</v>
      </c>
      <c r="AU114" s="153">
        <f>IF(YEAR(AU$4)&gt;YEAR($E114),IF(AU$18,2/(AU49+1)*($I114-SUM($W114:AT114))*IF(AU49&gt;1,AU$19,1),0),0)</f>
        <v>0</v>
      </c>
      <c r="AV114" s="46">
        <f>IF(YEAR(AV$4)&gt;YEAR($E114),IF(AV$18,2/(AV49+1)*($I114-SUM($W114:AU114))*IF(AV49&gt;1,AV$19,1),0),0)</f>
        <v>0</v>
      </c>
      <c r="AW114" s="46">
        <f>IF(YEAR(AW$4)&gt;YEAR($E114),IF(AW$18,2/(AW49+1)*($I114-SUM($W114:AV114))*IF(AW49&gt;1,AW$19,1),0),0)</f>
        <v>0</v>
      </c>
      <c r="AX114" s="46">
        <f>IF(YEAR(AX$4)&gt;YEAR($E114),IF(AX$18,2/(AX49+1)*($I114-SUM($W114:AW114))*IF(AX49&gt;1,AX$19,1),0),0)</f>
        <v>0</v>
      </c>
      <c r="AY114" s="46">
        <f>IF(YEAR(AY$4)&gt;YEAR($E114),IF(AY$18,2/(AY49+1)*($I114-SUM($W114:AX114))*IF(AY49&gt;1,AY$19,1),0),0)</f>
        <v>0</v>
      </c>
      <c r="BA114" s="88" t="str">
        <f t="shared" ca="1" si="57"/>
        <v>Depreciation</v>
      </c>
      <c r="BB114" s="1" t="str">
        <f t="shared" si="58"/>
        <v>Sum of digits</v>
      </c>
      <c r="BC114" s="1" t="str">
        <f t="shared" si="59"/>
        <v>Accelerated profile</v>
      </c>
    </row>
    <row r="115" spans="5:55" x14ac:dyDescent="0.35">
      <c r="E115" s="2">
        <v>39172</v>
      </c>
      <c r="G115" t="s">
        <v>109</v>
      </c>
      <c r="I115" s="46">
        <f t="shared" si="56"/>
        <v>0.22318840579710131</v>
      </c>
      <c r="J115" t="s">
        <v>13</v>
      </c>
      <c r="X115" s="46">
        <f>IF(YEAR(X$4)&gt;YEAR($E115),IF(X$18,2/(X50+1)*($I115-SUM($W115:W115))*IF(X50&gt;1,X$19,1),0),0)</f>
        <v>0</v>
      </c>
      <c r="Y115" s="46">
        <f>IF(YEAR(Y$4)&gt;YEAR($E115),IF(Y$18,2/(Y50+1)*($I115-SUM($W115:X115))*IF(Y50&gt;1,Y$19,1),0),0)</f>
        <v>0</v>
      </c>
      <c r="Z115" s="46">
        <f>IF(YEAR(Z$4)&gt;YEAR($E115),IF(Z$18,2/(Z50+1)*($I115-SUM($W115:Y115))*IF(Z50&gt;1,Z$19,1),0),0)</f>
        <v>0</v>
      </c>
      <c r="AA115" s="46">
        <f>IF(YEAR(AA$4)&gt;YEAR($E115),IF(AA$18,2/(AA50+1)*($I115-SUM($W115:Z115))*IF(AA50&gt;1,AA$19,1),0),0)</f>
        <v>0</v>
      </c>
      <c r="AB115" s="46">
        <f>IF(YEAR(AB$4)&gt;YEAR($E115),IF(AB$18,2/(AB50+1)*($I115-SUM($W115:AA115))*IF(AB50&gt;1,AB$19,1),0),0)</f>
        <v>0</v>
      </c>
      <c r="AC115" s="46">
        <f>IF(YEAR(AC$4)&gt;YEAR($E115),IF(AC$18,2/(AC50+1)*($I115-SUM($W115:AB115))*IF(AC50&gt;1,AC$19,1),0),0)</f>
        <v>0</v>
      </c>
      <c r="AD115" s="46">
        <f>IF(YEAR(AD$4)&gt;YEAR($E115),IF(AD$18,2/(AD50+1)*($I115-SUM($W115:AC115))*IF(AD50&gt;1,AD$19,1),0),0)</f>
        <v>0</v>
      </c>
      <c r="AE115" s="46">
        <f>IF(YEAR(AE$4)&gt;YEAR($E115),IF(AE$18,2/(AE50+1)*($I115-SUM($W115:AD115))*IF(AE50&gt;1,AE$19,1),0),0)</f>
        <v>0</v>
      </c>
      <c r="AF115" s="46">
        <f>IF(YEAR(AF$4)&gt;YEAR($E115),IF(AF$18,2/(AF50+1)*($I115-SUM($W115:AE115))*IF(AF50&gt;1,AF$19,1),0),0)</f>
        <v>0</v>
      </c>
      <c r="AG115" s="46">
        <f>IF(YEAR(AG$4)&gt;YEAR($E115),IF(AG$18,2/(AG50+1)*($I115-SUM($W115:AF115))*IF(AG50&gt;1,AG$19,1),0),0)</f>
        <v>0</v>
      </c>
      <c r="AH115" s="46">
        <f>IF(YEAR(AH$4)&gt;YEAR($E115),IF(AH$18,2/(AH50+1)*($I115-SUM($W115:AG115))*IF(AH50&gt;1,AH$19,1),0),0)</f>
        <v>0</v>
      </c>
      <c r="AI115" s="46">
        <f>IF(YEAR(AI$4)&gt;YEAR($E115),IF(AI$18,2/(AI50+1)*($I115-SUM($W115:AH115))*IF(AI50&gt;1,AI$19,1),0),0)</f>
        <v>0</v>
      </c>
      <c r="AJ115" s="46">
        <f>IF(YEAR(AJ$4)&gt;YEAR($E115),IF(AJ$18,2/(AJ50+1)*($I115-SUM($W115:AI115))*IF(AJ50&gt;1,AJ$19,1),0),0)</f>
        <v>0</v>
      </c>
      <c r="AK115" s="46">
        <f>IF(YEAR(AK$4)&gt;YEAR($E115),IF(AK$18,2/(AK50+1)*($I115-SUM($W115:AJ115))*IF(AK50&gt;1,AK$19,1),0),0)</f>
        <v>0</v>
      </c>
      <c r="AL115" s="46">
        <f>IF(YEAR(AL$4)&gt;YEAR($E115),IF(AL$18,2/(AL50+1)*($I115-SUM($W115:AK115))*IF(AL50&gt;1,AL$19,1),0),0)</f>
        <v>0</v>
      </c>
      <c r="AM115" s="46">
        <f>IF(YEAR(AM$4)&gt;YEAR($E115),IF(AM$18,2/(AM50+1)*($I115-SUM($W115:AL115))*IF(AM50&gt;1,AM$19,1),0),0)</f>
        <v>0</v>
      </c>
      <c r="AN115" s="46">
        <f>IF(YEAR(AN$4)&gt;YEAR($E115),IF(AN$18,2/(AN50+1)*($I115-SUM($W115:AM115))*IF(AN50&gt;1,AN$19,1),0),0)</f>
        <v>0</v>
      </c>
      <c r="AO115" s="46">
        <f>IF(YEAR(AO$4)&gt;YEAR($E115),IF(AO$18,2/(AO50+1)*($I115-SUM($W115:AN115))*IF(AO50&gt;1,AO$19,1),0),0)</f>
        <v>0</v>
      </c>
      <c r="AP115" s="46">
        <f>IF(YEAR(AP$4)&gt;YEAR($E115),IF(AP$18,2/(AP50+1)*($I115-SUM($W115:AO115))*IF(AP50&gt;1,AP$19,1),0),0)</f>
        <v>0</v>
      </c>
      <c r="AQ115" s="46">
        <f>IF(YEAR(AQ$4)&gt;YEAR($E115),IF(AQ$18,2/(AQ50+1)*($I115-SUM($W115:AP115))*IF(AQ50&gt;1,AQ$19,1),0),0)</f>
        <v>0</v>
      </c>
      <c r="AR115" s="46">
        <f>IF(YEAR(AR$4)&gt;YEAR($E115),IF(AR$18,2/(AR50+1)*($I115-SUM($W115:AQ115))*IF(AR50&gt;1,AR$19,1),0),0)</f>
        <v>0</v>
      </c>
      <c r="AS115" s="46">
        <f>IF(YEAR(AS$4)&gt;YEAR($E115),IF(AS$18,2/(AS50+1)*($I115-SUM($W115:AR115))*IF(AS50&gt;1,AS$19,1),0),0)</f>
        <v>0</v>
      </c>
      <c r="AT115" s="172">
        <f>IF(YEAR(AT$4)&gt;YEAR($E115),IF(AT$18,2/(AT50+1)*($I115-SUM($W115:AS115))*IF(AT50&gt;1,AT$19,1),0),0)</f>
        <v>0</v>
      </c>
      <c r="AU115" s="153">
        <f>IF(YEAR(AU$4)&gt;YEAR($E115),IF(AU$18,2/(AU50+1)*($I115-SUM($W115:AT115))*IF(AU50&gt;1,AU$19,1),0),0)</f>
        <v>0</v>
      </c>
      <c r="AV115" s="46">
        <f>IF(YEAR(AV$4)&gt;YEAR($E115),IF(AV$18,2/(AV50+1)*($I115-SUM($W115:AU115))*IF(AV50&gt;1,AV$19,1),0),0)</f>
        <v>0</v>
      </c>
      <c r="AW115" s="46">
        <f>IF(YEAR(AW$4)&gt;YEAR($E115),IF(AW$18,2/(AW50+1)*($I115-SUM($W115:AV115))*IF(AW50&gt;1,AW$19,1),0),0)</f>
        <v>0</v>
      </c>
      <c r="AX115" s="46">
        <f>IF(YEAR(AX$4)&gt;YEAR($E115),IF(AX$18,2/(AX50+1)*($I115-SUM($W115:AW115))*IF(AX50&gt;1,AX$19,1),0),0)</f>
        <v>0</v>
      </c>
      <c r="AY115" s="46">
        <f>IF(YEAR(AY$4)&gt;YEAR($E115),IF(AY$18,2/(AY50+1)*($I115-SUM($W115:AX115))*IF(AY50&gt;1,AY$19,1),0),0)</f>
        <v>0</v>
      </c>
      <c r="BA115" s="88" t="str">
        <f t="shared" ca="1" si="57"/>
        <v>Depreciation</v>
      </c>
      <c r="BB115" s="1" t="str">
        <f t="shared" si="58"/>
        <v>Sum of digits</v>
      </c>
      <c r="BC115" s="1" t="str">
        <f t="shared" si="59"/>
        <v>Accelerated profile</v>
      </c>
    </row>
    <row r="116" spans="5:55" x14ac:dyDescent="0.35">
      <c r="E116" s="2">
        <v>39538</v>
      </c>
      <c r="G116" t="s">
        <v>109</v>
      </c>
      <c r="I116" s="46">
        <f t="shared" si="56"/>
        <v>0.24444444444444435</v>
      </c>
      <c r="J116" t="s">
        <v>13</v>
      </c>
      <c r="X116" s="46">
        <f>IF(YEAR(X$4)&gt;YEAR($E116),IF(X$18,2/(X51+1)*($I116-SUM($W116:W116))*IF(X51&gt;1,X$19,1),0),0)</f>
        <v>0</v>
      </c>
      <c r="Y116" s="46">
        <f>IF(YEAR(Y$4)&gt;YEAR($E116),IF(Y$18,2/(Y51+1)*($I116-SUM($W116:X116))*IF(Y51&gt;1,Y$19,1),0),0)</f>
        <v>0</v>
      </c>
      <c r="Z116" s="46">
        <f>IF(YEAR(Z$4)&gt;YEAR($E116),IF(Z$18,2/(Z51+1)*($I116-SUM($W116:Y116))*IF(Z51&gt;1,Z$19,1),0),0)</f>
        <v>0</v>
      </c>
      <c r="AA116" s="46">
        <f>IF(YEAR(AA$4)&gt;YEAR($E116),IF(AA$18,2/(AA51+1)*($I116-SUM($W116:Z116))*IF(AA51&gt;1,AA$19,1),0),0)</f>
        <v>0</v>
      </c>
      <c r="AB116" s="46">
        <f>IF(YEAR(AB$4)&gt;YEAR($E116),IF(AB$18,2/(AB51+1)*($I116-SUM($W116:AA116))*IF(AB51&gt;1,AB$19,1),0),0)</f>
        <v>0</v>
      </c>
      <c r="AC116" s="46">
        <f>IF(YEAR(AC$4)&gt;YEAR($E116),IF(AC$18,2/(AC51+1)*($I116-SUM($W116:AB116))*IF(AC51&gt;1,AC$19,1),0),0)</f>
        <v>0</v>
      </c>
      <c r="AD116" s="46">
        <f>IF(YEAR(AD$4)&gt;YEAR($E116),IF(AD$18,2/(AD51+1)*($I116-SUM($W116:AC116))*IF(AD51&gt;1,AD$19,1),0),0)</f>
        <v>0</v>
      </c>
      <c r="AE116" s="46">
        <f>IF(YEAR(AE$4)&gt;YEAR($E116),IF(AE$18,2/(AE51+1)*($I116-SUM($W116:AD116))*IF(AE51&gt;1,AE$19,1),0),0)</f>
        <v>0</v>
      </c>
      <c r="AF116" s="46">
        <f>IF(YEAR(AF$4)&gt;YEAR($E116),IF(AF$18,2/(AF51+1)*($I116-SUM($W116:AE116))*IF(AF51&gt;1,AF$19,1),0),0)</f>
        <v>0</v>
      </c>
      <c r="AG116" s="46">
        <f>IF(YEAR(AG$4)&gt;YEAR($E116),IF(AG$18,2/(AG51+1)*($I116-SUM($W116:AF116))*IF(AG51&gt;1,AG$19,1),0),0)</f>
        <v>0</v>
      </c>
      <c r="AH116" s="46">
        <f>IF(YEAR(AH$4)&gt;YEAR($E116),IF(AH$18,2/(AH51+1)*($I116-SUM($W116:AG116))*IF(AH51&gt;1,AH$19,1),0),0)</f>
        <v>0</v>
      </c>
      <c r="AI116" s="46">
        <f>IF(YEAR(AI$4)&gt;YEAR($E116),IF(AI$18,2/(AI51+1)*($I116-SUM($W116:AH116))*IF(AI51&gt;1,AI$19,1),0),0)</f>
        <v>0</v>
      </c>
      <c r="AJ116" s="46">
        <f>IF(YEAR(AJ$4)&gt;YEAR($E116),IF(AJ$18,2/(AJ51+1)*($I116-SUM($W116:AI116))*IF(AJ51&gt;1,AJ$19,1),0),0)</f>
        <v>0</v>
      </c>
      <c r="AK116" s="46">
        <f>IF(YEAR(AK$4)&gt;YEAR($E116),IF(AK$18,2/(AK51+1)*($I116-SUM($W116:AJ116))*IF(AK51&gt;1,AK$19,1),0),0)</f>
        <v>0</v>
      </c>
      <c r="AL116" s="46">
        <f>IF(YEAR(AL$4)&gt;YEAR($E116),IF(AL$18,2/(AL51+1)*($I116-SUM($W116:AK116))*IF(AL51&gt;1,AL$19,1),0),0)</f>
        <v>0</v>
      </c>
      <c r="AM116" s="46">
        <f>IF(YEAR(AM$4)&gt;YEAR($E116),IF(AM$18,2/(AM51+1)*($I116-SUM($W116:AL116))*IF(AM51&gt;1,AM$19,1),0),0)</f>
        <v>0</v>
      </c>
      <c r="AN116" s="46">
        <f>IF(YEAR(AN$4)&gt;YEAR($E116),IF(AN$18,2/(AN51+1)*($I116-SUM($W116:AM116))*IF(AN51&gt;1,AN$19,1),0),0)</f>
        <v>0</v>
      </c>
      <c r="AO116" s="46">
        <f>IF(YEAR(AO$4)&gt;YEAR($E116),IF(AO$18,2/(AO51+1)*($I116-SUM($W116:AN116))*IF(AO51&gt;1,AO$19,1),0),0)</f>
        <v>0</v>
      </c>
      <c r="AP116" s="46">
        <f>IF(YEAR(AP$4)&gt;YEAR($E116),IF(AP$18,2/(AP51+1)*($I116-SUM($W116:AO116))*IF(AP51&gt;1,AP$19,1),0),0)</f>
        <v>0</v>
      </c>
      <c r="AQ116" s="46">
        <f>IF(YEAR(AQ$4)&gt;YEAR($E116),IF(AQ$18,2/(AQ51+1)*($I116-SUM($W116:AP116))*IF(AQ51&gt;1,AQ$19,1),0),0)</f>
        <v>0</v>
      </c>
      <c r="AR116" s="46">
        <f>IF(YEAR(AR$4)&gt;YEAR($E116),IF(AR$18,2/(AR51+1)*($I116-SUM($W116:AQ116))*IF(AR51&gt;1,AR$19,1),0),0)</f>
        <v>0</v>
      </c>
      <c r="AS116" s="46">
        <f>IF(YEAR(AS$4)&gt;YEAR($E116),IF(AS$18,2/(AS51+1)*($I116-SUM($W116:AR116))*IF(AS51&gt;1,AS$19,1),0),0)</f>
        <v>0</v>
      </c>
      <c r="AT116" s="172">
        <f>IF(YEAR(AT$4)&gt;YEAR($E116),IF(AT$18,2/(AT51+1)*($I116-SUM($W116:AS116))*IF(AT51&gt;1,AT$19,1),0),0)</f>
        <v>0</v>
      </c>
      <c r="AU116" s="153">
        <f>IF(YEAR(AU$4)&gt;YEAR($E116),IF(AU$18,2/(AU51+1)*($I116-SUM($W116:AT116))*IF(AU51&gt;1,AU$19,1),0),0)</f>
        <v>0</v>
      </c>
      <c r="AV116" s="46">
        <f>IF(YEAR(AV$4)&gt;YEAR($E116),IF(AV$18,2/(AV51+1)*($I116-SUM($W116:AU116))*IF(AV51&gt;1,AV$19,1),0),0)</f>
        <v>0</v>
      </c>
      <c r="AW116" s="46">
        <f>IF(YEAR(AW$4)&gt;YEAR($E116),IF(AW$18,2/(AW51+1)*($I116-SUM($W116:AV116))*IF(AW51&gt;1,AW$19,1),0),0)</f>
        <v>0</v>
      </c>
      <c r="AX116" s="46">
        <f>IF(YEAR(AX$4)&gt;YEAR($E116),IF(AX$18,2/(AX51+1)*($I116-SUM($W116:AW116))*IF(AX51&gt;1,AX$19,1),0),0)</f>
        <v>0</v>
      </c>
      <c r="AY116" s="46">
        <f>IF(YEAR(AY$4)&gt;YEAR($E116),IF(AY$18,2/(AY51+1)*($I116-SUM($W116:AX116))*IF(AY51&gt;1,AY$19,1),0),0)</f>
        <v>0</v>
      </c>
      <c r="BA116" s="88" t="str">
        <f t="shared" ca="1" si="57"/>
        <v>Depreciation</v>
      </c>
      <c r="BB116" s="1" t="str">
        <f t="shared" si="58"/>
        <v>Sum of digits</v>
      </c>
      <c r="BC116" s="1" t="str">
        <f t="shared" si="59"/>
        <v>Accelerated profile</v>
      </c>
    </row>
    <row r="117" spans="5:55" x14ac:dyDescent="0.35">
      <c r="E117" s="2">
        <v>39903</v>
      </c>
      <c r="G117" t="s">
        <v>109</v>
      </c>
      <c r="I117" s="46">
        <f t="shared" si="56"/>
        <v>0.26666666666666661</v>
      </c>
      <c r="J117" t="s">
        <v>13</v>
      </c>
      <c r="X117" s="46">
        <f>IF(YEAR(X$4)&gt;YEAR($E117),IF(X$18,2/(X52+1)*($I117-SUM($W117:W117))*IF(X52&gt;1,X$19,1),0),0)</f>
        <v>0</v>
      </c>
      <c r="Y117" s="46">
        <f>IF(YEAR(Y$4)&gt;YEAR($E117),IF(Y$18,2/(Y52+1)*($I117-SUM($W117:X117))*IF(Y52&gt;1,Y$19,1),0),0)</f>
        <v>0</v>
      </c>
      <c r="Z117" s="46">
        <f>IF(YEAR(Z$4)&gt;YEAR($E117),IF(Z$18,2/(Z52+1)*($I117-SUM($W117:Y117))*IF(Z52&gt;1,Z$19,1),0),0)</f>
        <v>0</v>
      </c>
      <c r="AA117" s="46">
        <f>IF(YEAR(AA$4)&gt;YEAR($E117),IF(AA$18,2/(AA52+1)*($I117-SUM($W117:Z117))*IF(AA52&gt;1,AA$19,1),0),0)</f>
        <v>0</v>
      </c>
      <c r="AB117" s="46">
        <f>IF(YEAR(AB$4)&gt;YEAR($E117),IF(AB$18,2/(AB52+1)*($I117-SUM($W117:AA117))*IF(AB52&gt;1,AB$19,1),0),0)</f>
        <v>0</v>
      </c>
      <c r="AC117" s="46">
        <f>IF(YEAR(AC$4)&gt;YEAR($E117),IF(AC$18,2/(AC52+1)*($I117-SUM($W117:AB117))*IF(AC52&gt;1,AC$19,1),0),0)</f>
        <v>0</v>
      </c>
      <c r="AD117" s="46">
        <f>IF(YEAR(AD$4)&gt;YEAR($E117),IF(AD$18,2/(AD52+1)*($I117-SUM($W117:AC117))*IF(AD52&gt;1,AD$19,1),0),0)</f>
        <v>0</v>
      </c>
      <c r="AE117" s="46">
        <f>IF(YEAR(AE$4)&gt;YEAR($E117),IF(AE$18,2/(AE52+1)*($I117-SUM($W117:AD117))*IF(AE52&gt;1,AE$19,1),0),0)</f>
        <v>0</v>
      </c>
      <c r="AF117" s="46">
        <f>IF(YEAR(AF$4)&gt;YEAR($E117),IF(AF$18,2/(AF52+1)*($I117-SUM($W117:AE117))*IF(AF52&gt;1,AF$19,1),0),0)</f>
        <v>0</v>
      </c>
      <c r="AG117" s="46">
        <f>IF(YEAR(AG$4)&gt;YEAR($E117),IF(AG$18,2/(AG52+1)*($I117-SUM($W117:AF117))*IF(AG52&gt;1,AG$19,1),0),0)</f>
        <v>0</v>
      </c>
      <c r="AH117" s="46">
        <f>IF(YEAR(AH$4)&gt;YEAR($E117),IF(AH$18,2/(AH52+1)*($I117-SUM($W117:AG117))*IF(AH52&gt;1,AH$19,1),0),0)</f>
        <v>0</v>
      </c>
      <c r="AI117" s="46">
        <f>IF(YEAR(AI$4)&gt;YEAR($E117),IF(AI$18,2/(AI52+1)*($I117-SUM($W117:AH117))*IF(AI52&gt;1,AI$19,1),0),0)</f>
        <v>0</v>
      </c>
      <c r="AJ117" s="46">
        <f>IF(YEAR(AJ$4)&gt;YEAR($E117),IF(AJ$18,2/(AJ52+1)*($I117-SUM($W117:AI117))*IF(AJ52&gt;1,AJ$19,1),0),0)</f>
        <v>0</v>
      </c>
      <c r="AK117" s="46">
        <f>IF(YEAR(AK$4)&gt;YEAR($E117),IF(AK$18,2/(AK52+1)*($I117-SUM($W117:AJ117))*IF(AK52&gt;1,AK$19,1),0),0)</f>
        <v>0</v>
      </c>
      <c r="AL117" s="46">
        <f>IF(YEAR(AL$4)&gt;YEAR($E117),IF(AL$18,2/(AL52+1)*($I117-SUM($W117:AK117))*IF(AL52&gt;1,AL$19,1),0),0)</f>
        <v>0</v>
      </c>
      <c r="AM117" s="46">
        <f>IF(YEAR(AM$4)&gt;YEAR($E117),IF(AM$18,2/(AM52+1)*($I117-SUM($W117:AL117))*IF(AM52&gt;1,AM$19,1),0),0)</f>
        <v>0</v>
      </c>
      <c r="AN117" s="46">
        <f>IF(YEAR(AN$4)&gt;YEAR($E117),IF(AN$18,2/(AN52+1)*($I117-SUM($W117:AM117))*IF(AN52&gt;1,AN$19,1),0),0)</f>
        <v>0</v>
      </c>
      <c r="AO117" s="46">
        <f>IF(YEAR(AO$4)&gt;YEAR($E117),IF(AO$18,2/(AO52+1)*($I117-SUM($W117:AN117))*IF(AO52&gt;1,AO$19,1),0),0)</f>
        <v>0</v>
      </c>
      <c r="AP117" s="46">
        <f>IF(YEAR(AP$4)&gt;YEAR($E117),IF(AP$18,2/(AP52+1)*($I117-SUM($W117:AO117))*IF(AP52&gt;1,AP$19,1),0),0)</f>
        <v>0</v>
      </c>
      <c r="AQ117" s="46">
        <f>IF(YEAR(AQ$4)&gt;YEAR($E117),IF(AQ$18,2/(AQ52+1)*($I117-SUM($W117:AP117))*IF(AQ52&gt;1,AQ$19,1),0),0)</f>
        <v>0</v>
      </c>
      <c r="AR117" s="46">
        <f>IF(YEAR(AR$4)&gt;YEAR($E117),IF(AR$18,2/(AR52+1)*($I117-SUM($W117:AQ117))*IF(AR52&gt;1,AR$19,1),0),0)</f>
        <v>0</v>
      </c>
      <c r="AS117" s="46">
        <f>IF(YEAR(AS$4)&gt;YEAR($E117),IF(AS$18,2/(AS52+1)*($I117-SUM($W117:AR117))*IF(AS52&gt;1,AS$19,1),0),0)</f>
        <v>0</v>
      </c>
      <c r="AT117" s="172">
        <f>IF(YEAR(AT$4)&gt;YEAR($E117),IF(AT$18,2/(AT52+1)*($I117-SUM($W117:AS117))*IF(AT52&gt;1,AT$19,1),0),0)</f>
        <v>0</v>
      </c>
      <c r="AU117" s="153">
        <f>IF(YEAR(AU$4)&gt;YEAR($E117),IF(AU$18,2/(AU52+1)*($I117-SUM($W117:AT117))*IF(AU52&gt;1,AU$19,1),0),0)</f>
        <v>0</v>
      </c>
      <c r="AV117" s="46">
        <f>IF(YEAR(AV$4)&gt;YEAR($E117),IF(AV$18,2/(AV52+1)*($I117-SUM($W117:AU117))*IF(AV52&gt;1,AV$19,1),0),0)</f>
        <v>0</v>
      </c>
      <c r="AW117" s="46">
        <f>IF(YEAR(AW$4)&gt;YEAR($E117),IF(AW$18,2/(AW52+1)*($I117-SUM($W117:AV117))*IF(AW52&gt;1,AW$19,1),0),0)</f>
        <v>0</v>
      </c>
      <c r="AX117" s="46">
        <f>IF(YEAR(AX$4)&gt;YEAR($E117),IF(AX$18,2/(AX52+1)*($I117-SUM($W117:AW117))*IF(AX52&gt;1,AX$19,1),0),0)</f>
        <v>0</v>
      </c>
      <c r="AY117" s="46">
        <f>IF(YEAR(AY$4)&gt;YEAR($E117),IF(AY$18,2/(AY52+1)*($I117-SUM($W117:AX117))*IF(AY52&gt;1,AY$19,1),0),0)</f>
        <v>0</v>
      </c>
      <c r="BA117" s="88" t="str">
        <f t="shared" ca="1" si="57"/>
        <v>Depreciation</v>
      </c>
      <c r="BB117" s="1" t="str">
        <f t="shared" si="58"/>
        <v>Sum of digits</v>
      </c>
      <c r="BC117" s="1" t="str">
        <f t="shared" si="59"/>
        <v>Accelerated profile</v>
      </c>
    </row>
    <row r="118" spans="5:55" x14ac:dyDescent="0.35">
      <c r="E118" s="2">
        <v>40268</v>
      </c>
      <c r="G118" t="s">
        <v>109</v>
      </c>
      <c r="I118" s="46">
        <f t="shared" si="56"/>
        <v>0.28985507246376807</v>
      </c>
      <c r="J118" t="s">
        <v>13</v>
      </c>
      <c r="X118" s="46">
        <f>IF(YEAR(X$4)&gt;YEAR($E118),IF(X$18,2/(X53+1)*($I118-SUM($W118:W118))*IF(X53&gt;1,X$19,1),0),0)</f>
        <v>0</v>
      </c>
      <c r="Y118" s="46">
        <f>IF(YEAR(Y$4)&gt;YEAR($E118),IF(Y$18,2/(Y53+1)*($I118-SUM($W118:X118))*IF(Y53&gt;1,Y$19,1),0),0)</f>
        <v>0</v>
      </c>
      <c r="Z118" s="46">
        <f>IF(YEAR(Z$4)&gt;YEAR($E118),IF(Z$18,2/(Z53+1)*($I118-SUM($W118:Y118))*IF(Z53&gt;1,Z$19,1),0),0)</f>
        <v>0</v>
      </c>
      <c r="AA118" s="46">
        <f>IF(YEAR(AA$4)&gt;YEAR($E118),IF(AA$18,2/(AA53+1)*($I118-SUM($W118:Z118))*IF(AA53&gt;1,AA$19,1),0),0)</f>
        <v>0</v>
      </c>
      <c r="AB118" s="46">
        <f>IF(YEAR(AB$4)&gt;YEAR($E118),IF(AB$18,2/(AB53+1)*($I118-SUM($W118:AA118))*IF(AB53&gt;1,AB$19,1),0),0)</f>
        <v>0</v>
      </c>
      <c r="AC118" s="46">
        <f>IF(YEAR(AC$4)&gt;YEAR($E118),IF(AC$18,2/(AC53+1)*($I118-SUM($W118:AB118))*IF(AC53&gt;1,AC$19,1),0),0)</f>
        <v>0</v>
      </c>
      <c r="AD118" s="46">
        <f>IF(YEAR(AD$4)&gt;YEAR($E118),IF(AD$18,2/(AD53+1)*($I118-SUM($W118:AC118))*IF(AD53&gt;1,AD$19,1),0),0)</f>
        <v>0</v>
      </c>
      <c r="AE118" s="46">
        <f>IF(YEAR(AE$4)&gt;YEAR($E118),IF(AE$18,2/(AE53+1)*($I118-SUM($W118:AD118))*IF(AE53&gt;1,AE$19,1),0),0)</f>
        <v>0</v>
      </c>
      <c r="AF118" s="46">
        <f>IF(YEAR(AF$4)&gt;YEAR($E118),IF(AF$18,2/(AF53+1)*($I118-SUM($W118:AE118))*IF(AF53&gt;1,AF$19,1),0),0)</f>
        <v>0</v>
      </c>
      <c r="AG118" s="46">
        <f>IF(YEAR(AG$4)&gt;YEAR($E118),IF(AG$18,2/(AG53+1)*($I118-SUM($W118:AF118))*IF(AG53&gt;1,AG$19,1),0),0)</f>
        <v>0</v>
      </c>
      <c r="AH118" s="46">
        <f>IF(YEAR(AH$4)&gt;YEAR($E118),IF(AH$18,2/(AH53+1)*($I118-SUM($W118:AG118))*IF(AH53&gt;1,AH$19,1),0),0)</f>
        <v>0</v>
      </c>
      <c r="AI118" s="46">
        <f>IF(YEAR(AI$4)&gt;YEAR($E118),IF(AI$18,2/(AI53+1)*($I118-SUM($W118:AH118))*IF(AI53&gt;1,AI$19,1),0),0)</f>
        <v>0</v>
      </c>
      <c r="AJ118" s="46">
        <f>IF(YEAR(AJ$4)&gt;YEAR($E118),IF(AJ$18,2/(AJ53+1)*($I118-SUM($W118:AI118))*IF(AJ53&gt;1,AJ$19,1),0),0)</f>
        <v>0</v>
      </c>
      <c r="AK118" s="46">
        <f>IF(YEAR(AK$4)&gt;YEAR($E118),IF(AK$18,2/(AK53+1)*($I118-SUM($W118:AJ118))*IF(AK53&gt;1,AK$19,1),0),0)</f>
        <v>0</v>
      </c>
      <c r="AL118" s="46">
        <f>IF(YEAR(AL$4)&gt;YEAR($E118),IF(AL$18,2/(AL53+1)*($I118-SUM($W118:AK118))*IF(AL53&gt;1,AL$19,1),0),0)</f>
        <v>0</v>
      </c>
      <c r="AM118" s="46">
        <f>IF(YEAR(AM$4)&gt;YEAR($E118),IF(AM$18,2/(AM53+1)*($I118-SUM($W118:AL118))*IF(AM53&gt;1,AM$19,1),0),0)</f>
        <v>0</v>
      </c>
      <c r="AN118" s="46">
        <f>IF(YEAR(AN$4)&gt;YEAR($E118),IF(AN$18,2/(AN53+1)*($I118-SUM($W118:AM118))*IF(AN53&gt;1,AN$19,1),0),0)</f>
        <v>0</v>
      </c>
      <c r="AO118" s="46">
        <f>IF(YEAR(AO$4)&gt;YEAR($E118),IF(AO$18,2/(AO53+1)*($I118-SUM($W118:AN118))*IF(AO53&gt;1,AO$19,1),0),0)</f>
        <v>0</v>
      </c>
      <c r="AP118" s="46">
        <f>IF(YEAR(AP$4)&gt;YEAR($E118),IF(AP$18,2/(AP53+1)*($I118-SUM($W118:AO118))*IF(AP53&gt;1,AP$19,1),0),0)</f>
        <v>0</v>
      </c>
      <c r="AQ118" s="46">
        <f>IF(YEAR(AQ$4)&gt;YEAR($E118),IF(AQ$18,2/(AQ53+1)*($I118-SUM($W118:AP118))*IF(AQ53&gt;1,AQ$19,1),0),0)</f>
        <v>0</v>
      </c>
      <c r="AR118" s="46">
        <f>IF(YEAR(AR$4)&gt;YEAR($E118),IF(AR$18,2/(AR53+1)*($I118-SUM($W118:AQ118))*IF(AR53&gt;1,AR$19,1),0),0)</f>
        <v>0</v>
      </c>
      <c r="AS118" s="46">
        <f>IF(YEAR(AS$4)&gt;YEAR($E118),IF(AS$18,2/(AS53+1)*($I118-SUM($W118:AR118))*IF(AS53&gt;1,AS$19,1),0),0)</f>
        <v>0</v>
      </c>
      <c r="AT118" s="172">
        <f>IF(YEAR(AT$4)&gt;YEAR($E118),IF(AT$18,2/(AT53+1)*($I118-SUM($W118:AS118))*IF(AT53&gt;1,AT$19,1),0),0)</f>
        <v>0</v>
      </c>
      <c r="AU118" s="153">
        <f>IF(YEAR(AU$4)&gt;YEAR($E118),IF(AU$18,2/(AU53+1)*($I118-SUM($W118:AT118))*IF(AU53&gt;1,AU$19,1),0),0)</f>
        <v>0</v>
      </c>
      <c r="AV118" s="46">
        <f>IF(YEAR(AV$4)&gt;YEAR($E118),IF(AV$18,2/(AV53+1)*($I118-SUM($W118:AU118))*IF(AV53&gt;1,AV$19,1),0),0)</f>
        <v>0</v>
      </c>
      <c r="AW118" s="46">
        <f>IF(YEAR(AW$4)&gt;YEAR($E118),IF(AW$18,2/(AW53+1)*($I118-SUM($W118:AV118))*IF(AW53&gt;1,AW$19,1),0),0)</f>
        <v>0</v>
      </c>
      <c r="AX118" s="46">
        <f>IF(YEAR(AX$4)&gt;YEAR($E118),IF(AX$18,2/(AX53+1)*($I118-SUM($W118:AW118))*IF(AX53&gt;1,AX$19,1),0),0)</f>
        <v>0</v>
      </c>
      <c r="AY118" s="46">
        <f>IF(YEAR(AY$4)&gt;YEAR($E118),IF(AY$18,2/(AY53+1)*($I118-SUM($W118:AX118))*IF(AY53&gt;1,AY$19,1),0),0)</f>
        <v>0</v>
      </c>
      <c r="BA118" s="88" t="str">
        <f t="shared" ca="1" si="57"/>
        <v>Depreciation</v>
      </c>
      <c r="BB118" s="1" t="str">
        <f t="shared" si="58"/>
        <v>Sum of digits</v>
      </c>
      <c r="BC118" s="1" t="str">
        <f t="shared" si="59"/>
        <v>Accelerated profile</v>
      </c>
    </row>
    <row r="119" spans="5:55" x14ac:dyDescent="0.35">
      <c r="E119" s="2">
        <v>40633</v>
      </c>
      <c r="G119" t="s">
        <v>109</v>
      </c>
      <c r="I119" s="46">
        <f t="shared" si="56"/>
        <v>0.31400966183574874</v>
      </c>
      <c r="J119" t="s">
        <v>13</v>
      </c>
      <c r="X119" s="46">
        <f>IF(YEAR(X$4)&gt;YEAR($E119),IF(X$18,2/(X54+1)*($I119-SUM($W119:W119))*IF(X54&gt;1,X$19,1),0),0)</f>
        <v>0</v>
      </c>
      <c r="Y119" s="46">
        <f>IF(YEAR(Y$4)&gt;YEAR($E119),IF(Y$18,2/(Y54+1)*($I119-SUM($W119:X119))*IF(Y54&gt;1,Y$19,1),0),0)</f>
        <v>0</v>
      </c>
      <c r="Z119" s="46">
        <f>IF(YEAR(Z$4)&gt;YEAR($E119),IF(Z$18,2/(Z54+1)*($I119-SUM($W119:Y119))*IF(Z54&gt;1,Z$19,1),0),0)</f>
        <v>0</v>
      </c>
      <c r="AA119" s="46">
        <f>IF(YEAR(AA$4)&gt;YEAR($E119),IF(AA$18,2/(AA54+1)*($I119-SUM($W119:Z119))*IF(AA54&gt;1,AA$19,1),0),0)</f>
        <v>0</v>
      </c>
      <c r="AB119" s="46">
        <f>IF(YEAR(AB$4)&gt;YEAR($E119),IF(AB$18,2/(AB54+1)*($I119-SUM($W119:AA119))*IF(AB54&gt;1,AB$19,1),0),0)</f>
        <v>0</v>
      </c>
      <c r="AC119" s="46">
        <f>IF(YEAR(AC$4)&gt;YEAR($E119),IF(AC$18,2/(AC54+1)*($I119-SUM($W119:AB119))*IF(AC54&gt;1,AC$19,1),0),0)</f>
        <v>0</v>
      </c>
      <c r="AD119" s="46">
        <f>IF(YEAR(AD$4)&gt;YEAR($E119),IF(AD$18,2/(AD54+1)*($I119-SUM($W119:AC119))*IF(AD54&gt;1,AD$19,1),0),0)</f>
        <v>0</v>
      </c>
      <c r="AE119" s="46">
        <f>IF(YEAR(AE$4)&gt;YEAR($E119),IF(AE$18,2/(AE54+1)*($I119-SUM($W119:AD119))*IF(AE54&gt;1,AE$19,1),0),0)</f>
        <v>0</v>
      </c>
      <c r="AF119" s="46">
        <f>IF(YEAR(AF$4)&gt;YEAR($E119),IF(AF$18,2/(AF54+1)*($I119-SUM($W119:AE119))*IF(AF54&gt;1,AF$19,1),0),0)</f>
        <v>0</v>
      </c>
      <c r="AG119" s="46">
        <f>IF(YEAR(AG$4)&gt;YEAR($E119),IF(AG$18,2/(AG54+1)*($I119-SUM($W119:AF119))*IF(AG54&gt;1,AG$19,1),0),0)</f>
        <v>0</v>
      </c>
      <c r="AH119" s="46">
        <f>IF(YEAR(AH$4)&gt;YEAR($E119),IF(AH$18,2/(AH54+1)*($I119-SUM($W119:AG119))*IF(AH54&gt;1,AH$19,1),0),0)</f>
        <v>0</v>
      </c>
      <c r="AI119" s="46">
        <f>IF(YEAR(AI$4)&gt;YEAR($E119),IF(AI$18,2/(AI54+1)*($I119-SUM($W119:AH119))*IF(AI54&gt;1,AI$19,1),0),0)</f>
        <v>0</v>
      </c>
      <c r="AJ119" s="46">
        <f>IF(YEAR(AJ$4)&gt;YEAR($E119),IF(AJ$18,2/(AJ54+1)*($I119-SUM($W119:AI119))*IF(AJ54&gt;1,AJ$19,1),0),0)</f>
        <v>0</v>
      </c>
      <c r="AK119" s="46">
        <f>IF(YEAR(AK$4)&gt;YEAR($E119),IF(AK$18,2/(AK54+1)*($I119-SUM($W119:AJ119))*IF(AK54&gt;1,AK$19,1),0),0)</f>
        <v>0</v>
      </c>
      <c r="AL119" s="46">
        <f>IF(YEAR(AL$4)&gt;YEAR($E119),IF(AL$18,2/(AL54+1)*($I119-SUM($W119:AK119))*IF(AL54&gt;1,AL$19,1),0),0)</f>
        <v>0</v>
      </c>
      <c r="AM119" s="46">
        <f>IF(YEAR(AM$4)&gt;YEAR($E119),IF(AM$18,2/(AM54+1)*($I119-SUM($W119:AL119))*IF(AM54&gt;1,AM$19,1),0),0)</f>
        <v>0</v>
      </c>
      <c r="AN119" s="46">
        <f>IF(YEAR(AN$4)&gt;YEAR($E119),IF(AN$18,2/(AN54+1)*($I119-SUM($W119:AM119))*IF(AN54&gt;1,AN$19,1),0),0)</f>
        <v>0</v>
      </c>
      <c r="AO119" s="46">
        <f>IF(YEAR(AO$4)&gt;YEAR($E119),IF(AO$18,2/(AO54+1)*($I119-SUM($W119:AN119))*IF(AO54&gt;1,AO$19,1),0),0)</f>
        <v>0</v>
      </c>
      <c r="AP119" s="46">
        <f>IF(YEAR(AP$4)&gt;YEAR($E119),IF(AP$18,2/(AP54+1)*($I119-SUM($W119:AO119))*IF(AP54&gt;1,AP$19,1),0),0)</f>
        <v>0</v>
      </c>
      <c r="AQ119" s="46">
        <f>IF(YEAR(AQ$4)&gt;YEAR($E119),IF(AQ$18,2/(AQ54+1)*($I119-SUM($W119:AP119))*IF(AQ54&gt;1,AQ$19,1),0),0)</f>
        <v>0</v>
      </c>
      <c r="AR119" s="46">
        <f>IF(YEAR(AR$4)&gt;YEAR($E119),IF(AR$18,2/(AR54+1)*($I119-SUM($W119:AQ119))*IF(AR54&gt;1,AR$19,1),0),0)</f>
        <v>0</v>
      </c>
      <c r="AS119" s="46">
        <f>IF(YEAR(AS$4)&gt;YEAR($E119),IF(AS$18,2/(AS54+1)*($I119-SUM($W119:AR119))*IF(AS54&gt;1,AS$19,1),0),0)</f>
        <v>0</v>
      </c>
      <c r="AT119" s="172">
        <f>IF(YEAR(AT$4)&gt;YEAR($E119),IF(AT$18,2/(AT54+1)*($I119-SUM($W119:AS119))*IF(AT54&gt;1,AT$19,1),0),0)</f>
        <v>0</v>
      </c>
      <c r="AU119" s="153">
        <f>IF(YEAR(AU$4)&gt;YEAR($E119),IF(AU$18,2/(AU54+1)*($I119-SUM($W119:AT119))*IF(AU54&gt;1,AU$19,1),0),0)</f>
        <v>0</v>
      </c>
      <c r="AV119" s="46">
        <f>IF(YEAR(AV$4)&gt;YEAR($E119),IF(AV$18,2/(AV54+1)*($I119-SUM($W119:AU119))*IF(AV54&gt;1,AV$19,1),0),0)</f>
        <v>0</v>
      </c>
      <c r="AW119" s="46">
        <f>IF(YEAR(AW$4)&gt;YEAR($E119),IF(AW$18,2/(AW54+1)*($I119-SUM($W119:AV119))*IF(AW54&gt;1,AW$19,1),0),0)</f>
        <v>0</v>
      </c>
      <c r="AX119" s="46">
        <f>IF(YEAR(AX$4)&gt;YEAR($E119),IF(AX$18,2/(AX54+1)*($I119-SUM($W119:AW119))*IF(AX54&gt;1,AX$19,1),0),0)</f>
        <v>0</v>
      </c>
      <c r="AY119" s="46">
        <f>IF(YEAR(AY$4)&gt;YEAR($E119),IF(AY$18,2/(AY54+1)*($I119-SUM($W119:AX119))*IF(AY54&gt;1,AY$19,1),0),0)</f>
        <v>0</v>
      </c>
      <c r="BA119" s="88" t="str">
        <f t="shared" ca="1" si="57"/>
        <v>Depreciation</v>
      </c>
      <c r="BB119" s="1" t="str">
        <f t="shared" si="58"/>
        <v>Sum of digits</v>
      </c>
      <c r="BC119" s="1" t="str">
        <f t="shared" si="59"/>
        <v>Accelerated profile</v>
      </c>
    </row>
    <row r="120" spans="5:55" x14ac:dyDescent="0.35">
      <c r="E120" s="2">
        <v>40999</v>
      </c>
      <c r="G120" t="s">
        <v>109</v>
      </c>
      <c r="I120" s="46">
        <f t="shared" si="56"/>
        <v>0.33913043478260863</v>
      </c>
      <c r="J120" t="s">
        <v>13</v>
      </c>
      <c r="X120" s="46">
        <f>IF(YEAR(X$4)&gt;YEAR($E120),IF(X$18,2/(X55+1)*($I120-SUM($W120:W120))*IF(X55&gt;1,X$19,1),0),0)</f>
        <v>0</v>
      </c>
      <c r="Y120" s="46">
        <f>IF(YEAR(Y$4)&gt;YEAR($E120),IF(Y$18,2/(Y55+1)*($I120-SUM($W120:X120))*IF(Y55&gt;1,Y$19,1),0),0)</f>
        <v>0</v>
      </c>
      <c r="Z120" s="46">
        <f>IF(YEAR(Z$4)&gt;YEAR($E120),IF(Z$18,2/(Z55+1)*($I120-SUM($W120:Y120))*IF(Z55&gt;1,Z$19,1),0),0)</f>
        <v>0</v>
      </c>
      <c r="AA120" s="46">
        <f>IF(YEAR(AA$4)&gt;YEAR($E120),IF(AA$18,2/(AA55+1)*($I120-SUM($W120:Z120))*IF(AA55&gt;1,AA$19,1),0),0)</f>
        <v>0</v>
      </c>
      <c r="AB120" s="46">
        <f>IF(YEAR(AB$4)&gt;YEAR($E120),IF(AB$18,2/(AB55+1)*($I120-SUM($W120:AA120))*IF(AB55&gt;1,AB$19,1),0),0)</f>
        <v>0</v>
      </c>
      <c r="AC120" s="46">
        <f>IF(YEAR(AC$4)&gt;YEAR($E120),IF(AC$18,2/(AC55+1)*($I120-SUM($W120:AB120))*IF(AC55&gt;1,AC$19,1),0),0)</f>
        <v>0</v>
      </c>
      <c r="AD120" s="46">
        <f>IF(YEAR(AD$4)&gt;YEAR($E120),IF(AD$18,2/(AD55+1)*($I120-SUM($W120:AC120))*IF(AD55&gt;1,AD$19,1),0),0)</f>
        <v>0</v>
      </c>
      <c r="AE120" s="46">
        <f>IF(YEAR(AE$4)&gt;YEAR($E120),IF(AE$18,2/(AE55+1)*($I120-SUM($W120:AD120))*IF(AE55&gt;1,AE$19,1),0),0)</f>
        <v>0</v>
      </c>
      <c r="AF120" s="46">
        <f>IF(YEAR(AF$4)&gt;YEAR($E120),IF(AF$18,2/(AF55+1)*($I120-SUM($W120:AE120))*IF(AF55&gt;1,AF$19,1),0),0)</f>
        <v>0</v>
      </c>
      <c r="AG120" s="46">
        <f>IF(YEAR(AG$4)&gt;YEAR($E120),IF(AG$18,2/(AG55+1)*($I120-SUM($W120:AF120))*IF(AG55&gt;1,AG$19,1),0),0)</f>
        <v>0</v>
      </c>
      <c r="AH120" s="46">
        <f>IF(YEAR(AH$4)&gt;YEAR($E120),IF(AH$18,2/(AH55+1)*($I120-SUM($W120:AG120))*IF(AH55&gt;1,AH$19,1),0),0)</f>
        <v>0</v>
      </c>
      <c r="AI120" s="46">
        <f>IF(YEAR(AI$4)&gt;YEAR($E120),IF(AI$18,2/(AI55+1)*($I120-SUM($W120:AH120))*IF(AI55&gt;1,AI$19,1),0),0)</f>
        <v>0</v>
      </c>
      <c r="AJ120" s="46">
        <f>IF(YEAR(AJ$4)&gt;YEAR($E120),IF(AJ$18,2/(AJ55+1)*($I120-SUM($W120:AI120))*IF(AJ55&gt;1,AJ$19,1),0),0)</f>
        <v>0</v>
      </c>
      <c r="AK120" s="46">
        <f>IF(YEAR(AK$4)&gt;YEAR($E120),IF(AK$18,2/(AK55+1)*($I120-SUM($W120:AJ120))*IF(AK55&gt;1,AK$19,1),0),0)</f>
        <v>0</v>
      </c>
      <c r="AL120" s="46">
        <f>IF(YEAR(AL$4)&gt;YEAR($E120),IF(AL$18,2/(AL55+1)*($I120-SUM($W120:AK120))*IF(AL55&gt;1,AL$19,1),0),0)</f>
        <v>0</v>
      </c>
      <c r="AM120" s="46">
        <f>IF(YEAR(AM$4)&gt;YEAR($E120),IF(AM$18,2/(AM55+1)*($I120-SUM($W120:AL120))*IF(AM55&gt;1,AM$19,1),0),0)</f>
        <v>0</v>
      </c>
      <c r="AN120" s="46">
        <f>IF(YEAR(AN$4)&gt;YEAR($E120),IF(AN$18,2/(AN55+1)*($I120-SUM($W120:AM120))*IF(AN55&gt;1,AN$19,1),0),0)</f>
        <v>0</v>
      </c>
      <c r="AO120" s="46">
        <f>IF(YEAR(AO$4)&gt;YEAR($E120),IF(AO$18,2/(AO55+1)*($I120-SUM($W120:AN120))*IF(AO55&gt;1,AO$19,1),0),0)</f>
        <v>0</v>
      </c>
      <c r="AP120" s="46">
        <f>IF(YEAR(AP$4)&gt;YEAR($E120),IF(AP$18,2/(AP55+1)*($I120-SUM($W120:AO120))*IF(AP55&gt;1,AP$19,1),0),0)</f>
        <v>0</v>
      </c>
      <c r="AQ120" s="46">
        <f>IF(YEAR(AQ$4)&gt;YEAR($E120),IF(AQ$18,2/(AQ55+1)*($I120-SUM($W120:AP120))*IF(AQ55&gt;1,AQ$19,1),0),0)</f>
        <v>0</v>
      </c>
      <c r="AR120" s="46">
        <f>IF(YEAR(AR$4)&gt;YEAR($E120),IF(AR$18,2/(AR55+1)*($I120-SUM($W120:AQ120))*IF(AR55&gt;1,AR$19,1),0),0)</f>
        <v>0</v>
      </c>
      <c r="AS120" s="46">
        <f>IF(YEAR(AS$4)&gt;YEAR($E120),IF(AS$18,2/(AS55+1)*($I120-SUM($W120:AR120))*IF(AS55&gt;1,AS$19,1),0),0)</f>
        <v>0</v>
      </c>
      <c r="AT120" s="172">
        <f>IF(YEAR(AT$4)&gt;YEAR($E120),IF(AT$18,2/(AT55+1)*($I120-SUM($W120:AS120))*IF(AT55&gt;1,AT$19,1),0),0)</f>
        <v>0</v>
      </c>
      <c r="AU120" s="153">
        <f>IF(YEAR(AU$4)&gt;YEAR($E120),IF(AU$18,2/(AU55+1)*($I120-SUM($W120:AT120))*IF(AU55&gt;1,AU$19,1),0),0)</f>
        <v>0</v>
      </c>
      <c r="AV120" s="46">
        <f>IF(YEAR(AV$4)&gt;YEAR($E120),IF(AV$18,2/(AV55+1)*($I120-SUM($W120:AU120))*IF(AV55&gt;1,AV$19,1),0),0)</f>
        <v>0</v>
      </c>
      <c r="AW120" s="46">
        <f>IF(YEAR(AW$4)&gt;YEAR($E120),IF(AW$18,2/(AW55+1)*($I120-SUM($W120:AV120))*IF(AW55&gt;1,AW$19,1),0),0)</f>
        <v>0</v>
      </c>
      <c r="AX120" s="46">
        <f>IF(YEAR(AX$4)&gt;YEAR($E120),IF(AX$18,2/(AX55+1)*($I120-SUM($W120:AW120))*IF(AX55&gt;1,AX$19,1),0),0)</f>
        <v>0</v>
      </c>
      <c r="AY120" s="46">
        <f>IF(YEAR(AY$4)&gt;YEAR($E120),IF(AY$18,2/(AY55+1)*($I120-SUM($W120:AX120))*IF(AY55&gt;1,AY$19,1),0),0)</f>
        <v>0</v>
      </c>
      <c r="BA120" s="88" t="str">
        <f t="shared" ca="1" si="57"/>
        <v>Depreciation</v>
      </c>
      <c r="BB120" s="1" t="str">
        <f t="shared" si="58"/>
        <v>Sum of digits</v>
      </c>
      <c r="BC120" s="1" t="str">
        <f t="shared" si="59"/>
        <v>Accelerated profile</v>
      </c>
    </row>
    <row r="121" spans="5:55" x14ac:dyDescent="0.35">
      <c r="E121" s="2">
        <v>41364</v>
      </c>
      <c r="G121" t="s">
        <v>109</v>
      </c>
      <c r="I121" s="46">
        <f t="shared" si="56"/>
        <v>0.36521739130434772</v>
      </c>
      <c r="J121" t="s">
        <v>13</v>
      </c>
      <c r="X121" s="46">
        <f>IF(YEAR(X$4)&gt;YEAR($E121),IF(X$18,2/(X56+1)*($I121-SUM($W121:W121))*IF(X56&gt;1,X$19,1),0),0)</f>
        <v>0</v>
      </c>
      <c r="Y121" s="46">
        <f>IF(YEAR(Y$4)&gt;YEAR($E121),IF(Y$18,2/(Y56+1)*($I121-SUM($W121:X121))*IF(Y56&gt;1,Y$19,1),0),0)</f>
        <v>0</v>
      </c>
      <c r="Z121" s="46">
        <f>IF(YEAR(Z$4)&gt;YEAR($E121),IF(Z$18,2/(Z56+1)*($I121-SUM($W121:Y121))*IF(Z56&gt;1,Z$19,1),0),0)</f>
        <v>0</v>
      </c>
      <c r="AA121" s="46">
        <f>IF(YEAR(AA$4)&gt;YEAR($E121),IF(AA$18,2/(AA56+1)*($I121-SUM($W121:Z121))*IF(AA56&gt;1,AA$19,1),0),0)</f>
        <v>0</v>
      </c>
      <c r="AB121" s="46">
        <f>IF(YEAR(AB$4)&gt;YEAR($E121),IF(AB$18,2/(AB56+1)*($I121-SUM($W121:AA121))*IF(AB56&gt;1,AB$19,1),0),0)</f>
        <v>0</v>
      </c>
      <c r="AC121" s="46">
        <f>IF(YEAR(AC$4)&gt;YEAR($E121),IF(AC$18,2/(AC56+1)*($I121-SUM($W121:AB121))*IF(AC56&gt;1,AC$19,1),0),0)</f>
        <v>0</v>
      </c>
      <c r="AD121" s="46">
        <f>IF(YEAR(AD$4)&gt;YEAR($E121),IF(AD$18,2/(AD56+1)*($I121-SUM($W121:AC121))*IF(AD56&gt;1,AD$19,1),0),0)</f>
        <v>0</v>
      </c>
      <c r="AE121" s="46">
        <f>IF(YEAR(AE$4)&gt;YEAR($E121),IF(AE$18,2/(AE56+1)*($I121-SUM($W121:AD121))*IF(AE56&gt;1,AE$19,1),0),0)</f>
        <v>0</v>
      </c>
      <c r="AF121" s="46">
        <f>IF(YEAR(AF$4)&gt;YEAR($E121),IF(AF$18,2/(AF56+1)*($I121-SUM($W121:AE121))*IF(AF56&gt;1,AF$19,1),0),0)</f>
        <v>0</v>
      </c>
      <c r="AG121" s="46">
        <f>IF(YEAR(AG$4)&gt;YEAR($E121),IF(AG$18,2/(AG56+1)*($I121-SUM($W121:AF121))*IF(AG56&gt;1,AG$19,1),0),0)</f>
        <v>0</v>
      </c>
      <c r="AH121" s="46">
        <f>IF(YEAR(AH$4)&gt;YEAR($E121),IF(AH$18,2/(AH56+1)*($I121-SUM($W121:AG121))*IF(AH56&gt;1,AH$19,1),0),0)</f>
        <v>0</v>
      </c>
      <c r="AI121" s="46">
        <f>IF(YEAR(AI$4)&gt;YEAR($E121),IF(AI$18,2/(AI56+1)*($I121-SUM($W121:AH121))*IF(AI56&gt;1,AI$19,1),0),0)</f>
        <v>0</v>
      </c>
      <c r="AJ121" s="46">
        <f>IF(YEAR(AJ$4)&gt;YEAR($E121),IF(AJ$18,2/(AJ56+1)*($I121-SUM($W121:AI121))*IF(AJ56&gt;1,AJ$19,1),0),0)</f>
        <v>0</v>
      </c>
      <c r="AK121" s="46">
        <f>IF(YEAR(AK$4)&gt;YEAR($E121),IF(AK$18,2/(AK56+1)*($I121-SUM($W121:AJ121))*IF(AK56&gt;1,AK$19,1),0),0)</f>
        <v>0</v>
      </c>
      <c r="AL121" s="46">
        <f>IF(YEAR(AL$4)&gt;YEAR($E121),IF(AL$18,2/(AL56+1)*($I121-SUM($W121:AK121))*IF(AL56&gt;1,AL$19,1),0),0)</f>
        <v>0</v>
      </c>
      <c r="AM121" s="46">
        <f>IF(YEAR(AM$4)&gt;YEAR($E121),IF(AM$18,2/(AM56+1)*($I121-SUM($W121:AL121))*IF(AM56&gt;1,AM$19,1),0),0)</f>
        <v>0</v>
      </c>
      <c r="AN121" s="46">
        <f>IF(YEAR(AN$4)&gt;YEAR($E121),IF(AN$18,2/(AN56+1)*($I121-SUM($W121:AM121))*IF(AN56&gt;1,AN$19,1),0),0)</f>
        <v>0</v>
      </c>
      <c r="AO121" s="46">
        <f>IF(YEAR(AO$4)&gt;YEAR($E121),IF(AO$18,2/(AO56+1)*($I121-SUM($W121:AN121))*IF(AO56&gt;1,AO$19,1),0),0)</f>
        <v>0</v>
      </c>
      <c r="AP121" s="46">
        <f>IF(YEAR(AP$4)&gt;YEAR($E121),IF(AP$18,2/(AP56+1)*($I121-SUM($W121:AO121))*IF(AP56&gt;1,AP$19,1),0),0)</f>
        <v>0</v>
      </c>
      <c r="AQ121" s="46">
        <f>IF(YEAR(AQ$4)&gt;YEAR($E121),IF(AQ$18,2/(AQ56+1)*($I121-SUM($W121:AP121))*IF(AQ56&gt;1,AQ$19,1),0),0)</f>
        <v>0</v>
      </c>
      <c r="AR121" s="46">
        <f>IF(YEAR(AR$4)&gt;YEAR($E121),IF(AR$18,2/(AR56+1)*($I121-SUM($W121:AQ121))*IF(AR56&gt;1,AR$19,1),0),0)</f>
        <v>0</v>
      </c>
      <c r="AS121" s="46">
        <f>IF(YEAR(AS$4)&gt;YEAR($E121),IF(AS$18,2/(AS56+1)*($I121-SUM($W121:AR121))*IF(AS56&gt;1,AS$19,1),0),0)</f>
        <v>0</v>
      </c>
      <c r="AT121" s="172">
        <f>IF(YEAR(AT$4)&gt;YEAR($E121),IF(AT$18,2/(AT56+1)*($I121-SUM($W121:AS121))*IF(AT56&gt;1,AT$19,1),0),0)</f>
        <v>0</v>
      </c>
      <c r="AU121" s="153">
        <f>IF(YEAR(AU$4)&gt;YEAR($E121),IF(AU$18,2/(AU56+1)*($I121-SUM($W121:AT121))*IF(AU56&gt;1,AU$19,1),0),0)</f>
        <v>0</v>
      </c>
      <c r="AV121" s="46">
        <f>IF(YEAR(AV$4)&gt;YEAR($E121),IF(AV$18,2/(AV56+1)*($I121-SUM($W121:AU121))*IF(AV56&gt;1,AV$19,1),0),0)</f>
        <v>0</v>
      </c>
      <c r="AW121" s="46">
        <f>IF(YEAR(AW$4)&gt;YEAR($E121),IF(AW$18,2/(AW56+1)*($I121-SUM($W121:AV121))*IF(AW56&gt;1,AW$19,1),0),0)</f>
        <v>0</v>
      </c>
      <c r="AX121" s="46">
        <f>IF(YEAR(AX$4)&gt;YEAR($E121),IF(AX$18,2/(AX56+1)*($I121-SUM($W121:AW121))*IF(AX56&gt;1,AX$19,1),0),0)</f>
        <v>0</v>
      </c>
      <c r="AY121" s="46">
        <f>IF(YEAR(AY$4)&gt;YEAR($E121),IF(AY$18,2/(AY56+1)*($I121-SUM($W121:AX121))*IF(AY56&gt;1,AY$19,1),0),0)</f>
        <v>0</v>
      </c>
      <c r="BA121" s="88" t="str">
        <f t="shared" ca="1" si="57"/>
        <v>Depreciation</v>
      </c>
      <c r="BB121" s="1" t="str">
        <f t="shared" si="58"/>
        <v>Sum of digits</v>
      </c>
      <c r="BC121" s="1" t="str">
        <f t="shared" si="59"/>
        <v>Accelerated profile</v>
      </c>
    </row>
    <row r="122" spans="5:55" x14ac:dyDescent="0.35">
      <c r="E122" s="2">
        <v>41729</v>
      </c>
      <c r="G122" t="s">
        <v>109</v>
      </c>
      <c r="I122" s="46">
        <f t="shared" si="56"/>
        <v>0.39227053140096613</v>
      </c>
      <c r="J122" t="s">
        <v>13</v>
      </c>
      <c r="X122" s="46">
        <f>IF(YEAR(X$4)&gt;YEAR($E122),IF(X$18,2/(X57+1)*($I122-SUM($W122:W122))*IF(X57&gt;1,X$19,1),0),0)</f>
        <v>0</v>
      </c>
      <c r="Y122" s="46">
        <f>IF(YEAR(Y$4)&gt;YEAR($E122),IF(Y$18,2/(Y57+1)*($I122-SUM($W122:X122))*IF(Y57&gt;1,Y$19,1),0),0)</f>
        <v>0</v>
      </c>
      <c r="Z122" s="46">
        <f>IF(YEAR(Z$4)&gt;YEAR($E122),IF(Z$18,2/(Z57+1)*($I122-SUM($W122:Y122))*IF(Z57&gt;1,Z$19,1),0),0)</f>
        <v>0</v>
      </c>
      <c r="AA122" s="46">
        <f>IF(YEAR(AA$4)&gt;YEAR($E122),IF(AA$18,2/(AA57+1)*($I122-SUM($W122:Z122))*IF(AA57&gt;1,AA$19,1),0),0)</f>
        <v>0</v>
      </c>
      <c r="AB122" s="46">
        <f>IF(YEAR(AB$4)&gt;YEAR($E122),IF(AB$18,2/(AB57+1)*($I122-SUM($W122:AA122))*IF(AB57&gt;1,AB$19,1),0),0)</f>
        <v>0</v>
      </c>
      <c r="AC122" s="46">
        <f>IF(YEAR(AC$4)&gt;YEAR($E122),IF(AC$18,2/(AC57+1)*($I122-SUM($W122:AB122))*IF(AC57&gt;1,AC$19,1),0),0)</f>
        <v>0</v>
      </c>
      <c r="AD122" s="46">
        <f>IF(YEAR(AD$4)&gt;YEAR($E122),IF(AD$18,2/(AD57+1)*($I122-SUM($W122:AC122))*IF(AD57&gt;1,AD$19,1),0),0)</f>
        <v>0</v>
      </c>
      <c r="AE122" s="46">
        <f>IF(YEAR(AE$4)&gt;YEAR($E122),IF(AE$18,2/(AE57+1)*($I122-SUM($W122:AD122))*IF(AE57&gt;1,AE$19,1),0),0)</f>
        <v>0</v>
      </c>
      <c r="AF122" s="46">
        <f>IF(YEAR(AF$4)&gt;YEAR($E122),IF(AF$18,2/(AF57+1)*($I122-SUM($W122:AE122))*IF(AF57&gt;1,AF$19,1),0),0)</f>
        <v>0</v>
      </c>
      <c r="AG122" s="46">
        <f>IF(YEAR(AG$4)&gt;YEAR($E122),IF(AG$18,2/(AG57+1)*($I122-SUM($W122:AF122))*IF(AG57&gt;1,AG$19,1),0),0)</f>
        <v>0</v>
      </c>
      <c r="AH122" s="46">
        <f>IF(YEAR(AH$4)&gt;YEAR($E122),IF(AH$18,2/(AH57+1)*($I122-SUM($W122:AG122))*IF(AH57&gt;1,AH$19,1),0),0)</f>
        <v>0</v>
      </c>
      <c r="AI122" s="46">
        <f>IF(YEAR(AI$4)&gt;YEAR($E122),IF(AI$18,2/(AI57+1)*($I122-SUM($W122:AH122))*IF(AI57&gt;1,AI$19,1),0),0)</f>
        <v>0</v>
      </c>
      <c r="AJ122" s="46">
        <f>IF(YEAR(AJ$4)&gt;YEAR($E122),IF(AJ$18,2/(AJ57+1)*($I122-SUM($W122:AI122))*IF(AJ57&gt;1,AJ$19,1),0),0)</f>
        <v>0</v>
      </c>
      <c r="AK122" s="46">
        <f>IF(YEAR(AK$4)&gt;YEAR($E122),IF(AK$18,2/(AK57+1)*($I122-SUM($W122:AJ122))*IF(AK57&gt;1,AK$19,1),0),0)</f>
        <v>0</v>
      </c>
      <c r="AL122" s="46">
        <f>IF(YEAR(AL$4)&gt;YEAR($E122),IF(AL$18,2/(AL57+1)*($I122-SUM($W122:AK122))*IF(AL57&gt;1,AL$19,1),0),0)</f>
        <v>0</v>
      </c>
      <c r="AM122" s="46">
        <f>IF(YEAR(AM$4)&gt;YEAR($E122),IF(AM$18,2/(AM57+1)*($I122-SUM($W122:AL122))*IF(AM57&gt;1,AM$19,1),0),0)</f>
        <v>0</v>
      </c>
      <c r="AN122" s="46">
        <f>IF(YEAR(AN$4)&gt;YEAR($E122),IF(AN$18,2/(AN57+1)*($I122-SUM($W122:AM122))*IF(AN57&gt;1,AN$19,1),0),0)</f>
        <v>0</v>
      </c>
      <c r="AO122" s="46">
        <f>IF(YEAR(AO$4)&gt;YEAR($E122),IF(AO$18,2/(AO57+1)*($I122-SUM($W122:AN122))*IF(AO57&gt;1,AO$19,1),0),0)</f>
        <v>0</v>
      </c>
      <c r="AP122" s="46">
        <f>IF(YEAR(AP$4)&gt;YEAR($E122),IF(AP$18,2/(AP57+1)*($I122-SUM($W122:AO122))*IF(AP57&gt;1,AP$19,1),0),0)</f>
        <v>0</v>
      </c>
      <c r="AQ122" s="46">
        <f>IF(YEAR(AQ$4)&gt;YEAR($E122),IF(AQ$18,2/(AQ57+1)*($I122-SUM($W122:AP122))*IF(AQ57&gt;1,AQ$19,1),0),0)</f>
        <v>0</v>
      </c>
      <c r="AR122" s="46">
        <f>IF(YEAR(AR$4)&gt;YEAR($E122),IF(AR$18,2/(AR57+1)*($I122-SUM($W122:AQ122))*IF(AR57&gt;1,AR$19,1),0),0)</f>
        <v>0</v>
      </c>
      <c r="AS122" s="46">
        <f>IF(YEAR(AS$4)&gt;YEAR($E122),IF(AS$18,2/(AS57+1)*($I122-SUM($W122:AR122))*IF(AS57&gt;1,AS$19,1),0),0)</f>
        <v>0</v>
      </c>
      <c r="AT122" s="172">
        <f>IF(YEAR(AT$4)&gt;YEAR($E122),IF(AT$18,2/(AT57+1)*($I122-SUM($W122:AS122))*IF(AT57&gt;1,AT$19,1),0),0)</f>
        <v>0</v>
      </c>
      <c r="AU122" s="153">
        <f>IF(YEAR(AU$4)&gt;YEAR($E122),IF(AU$18,2/(AU57+1)*($I122-SUM($W122:AT122))*IF(AU57&gt;1,AU$19,1),0),0)</f>
        <v>0</v>
      </c>
      <c r="AV122" s="46">
        <f>IF(YEAR(AV$4)&gt;YEAR($E122),IF(AV$18,2/(AV57+1)*($I122-SUM($W122:AU122))*IF(AV57&gt;1,AV$19,1),0),0)</f>
        <v>0</v>
      </c>
      <c r="AW122" s="46">
        <f>IF(YEAR(AW$4)&gt;YEAR($E122),IF(AW$18,2/(AW57+1)*($I122-SUM($W122:AV122))*IF(AW57&gt;1,AW$19,1),0),0)</f>
        <v>0</v>
      </c>
      <c r="AX122" s="46">
        <f>IF(YEAR(AX$4)&gt;YEAR($E122),IF(AX$18,2/(AX57+1)*($I122-SUM($W122:AW122))*IF(AX57&gt;1,AX$19,1),0),0)</f>
        <v>0</v>
      </c>
      <c r="AY122" s="46">
        <f>IF(YEAR(AY$4)&gt;YEAR($E122),IF(AY$18,2/(AY57+1)*($I122-SUM($W122:AX122))*IF(AY57&gt;1,AY$19,1),0),0)</f>
        <v>0</v>
      </c>
      <c r="BA122" s="88" t="str">
        <f t="shared" ca="1" si="57"/>
        <v>Depreciation</v>
      </c>
      <c r="BB122" s="1" t="str">
        <f t="shared" si="58"/>
        <v>Sum of digits</v>
      </c>
      <c r="BC122" s="1" t="str">
        <f t="shared" si="59"/>
        <v>Accelerated profile</v>
      </c>
    </row>
    <row r="123" spans="5:55" x14ac:dyDescent="0.35">
      <c r="E123" s="2">
        <v>42094</v>
      </c>
      <c r="G123" t="s">
        <v>109</v>
      </c>
      <c r="I123" s="46">
        <f t="shared" si="56"/>
        <v>0.42028985507246375</v>
      </c>
      <c r="J123" t="s">
        <v>13</v>
      </c>
      <c r="X123" s="46">
        <f>IF(YEAR(X$4)&gt;YEAR($E123),IF(X$18,2/(X58+1)*($I123-SUM($W123:W123))*IF(X58&gt;1,X$19,1),0),0)</f>
        <v>0</v>
      </c>
      <c r="Y123" s="46">
        <f>IF(YEAR(Y$4)&gt;YEAR($E123),IF(Y$18,2/(Y58+1)*($I123-SUM($W123:X123))*IF(Y58&gt;1,Y$19,1),0),0)</f>
        <v>0</v>
      </c>
      <c r="Z123" s="46">
        <f>IF(YEAR(Z$4)&gt;YEAR($E123),IF(Z$18,2/(Z58+1)*($I123-SUM($W123:Y123))*IF(Z58&gt;1,Z$19,1),0),0)</f>
        <v>0</v>
      </c>
      <c r="AA123" s="46">
        <f>IF(YEAR(AA$4)&gt;YEAR($E123),IF(AA$18,2/(AA58+1)*($I123-SUM($W123:Z123))*IF(AA58&gt;1,AA$19,1),0),0)</f>
        <v>0</v>
      </c>
      <c r="AB123" s="46">
        <f>IF(YEAR(AB$4)&gt;YEAR($E123),IF(AB$18,2/(AB58+1)*($I123-SUM($W123:AA123))*IF(AB58&gt;1,AB$19,1),0),0)</f>
        <v>0</v>
      </c>
      <c r="AC123" s="46">
        <f>IF(YEAR(AC$4)&gt;YEAR($E123),IF(AC$18,2/(AC58+1)*($I123-SUM($W123:AB123))*IF(AC58&gt;1,AC$19,1),0),0)</f>
        <v>0</v>
      </c>
      <c r="AD123" s="46">
        <f>IF(YEAR(AD$4)&gt;YEAR($E123),IF(AD$18,2/(AD58+1)*($I123-SUM($W123:AC123))*IF(AD58&gt;1,AD$19,1),0),0)</f>
        <v>0</v>
      </c>
      <c r="AE123" s="46">
        <f>IF(YEAR(AE$4)&gt;YEAR($E123),IF(AE$18,2/(AE58+1)*($I123-SUM($W123:AD123))*IF(AE58&gt;1,AE$19,1),0),0)</f>
        <v>0</v>
      </c>
      <c r="AF123" s="46">
        <f>IF(YEAR(AF$4)&gt;YEAR($E123),IF(AF$18,2/(AF58+1)*($I123-SUM($W123:AE123))*IF(AF58&gt;1,AF$19,1),0),0)</f>
        <v>0</v>
      </c>
      <c r="AG123" s="46">
        <f>IF(YEAR(AG$4)&gt;YEAR($E123),IF(AG$18,2/(AG58+1)*($I123-SUM($W123:AF123))*IF(AG58&gt;1,AG$19,1),0),0)</f>
        <v>0</v>
      </c>
      <c r="AH123" s="46">
        <f>IF(YEAR(AH$4)&gt;YEAR($E123),IF(AH$18,2/(AH58+1)*($I123-SUM($W123:AG123))*IF(AH58&gt;1,AH$19,1),0),0)</f>
        <v>0</v>
      </c>
      <c r="AI123" s="46">
        <f>IF(YEAR(AI$4)&gt;YEAR($E123),IF(AI$18,2/(AI58+1)*($I123-SUM($W123:AH123))*IF(AI58&gt;1,AI$19,1),0),0)</f>
        <v>0</v>
      </c>
      <c r="AJ123" s="46">
        <f>IF(YEAR(AJ$4)&gt;YEAR($E123),IF(AJ$18,2/(AJ58+1)*($I123-SUM($W123:AI123))*IF(AJ58&gt;1,AJ$19,1),0),0)</f>
        <v>0</v>
      </c>
      <c r="AK123" s="46">
        <f>IF(YEAR(AK$4)&gt;YEAR($E123),IF(AK$18,2/(AK58+1)*($I123-SUM($W123:AJ123))*IF(AK58&gt;1,AK$19,1),0),0)</f>
        <v>0</v>
      </c>
      <c r="AL123" s="46">
        <f>IF(YEAR(AL$4)&gt;YEAR($E123),IF(AL$18,2/(AL58+1)*($I123-SUM($W123:AK123))*IF(AL58&gt;1,AL$19,1),0),0)</f>
        <v>0</v>
      </c>
      <c r="AM123" s="46">
        <f>IF(YEAR(AM$4)&gt;YEAR($E123),IF(AM$18,2/(AM58+1)*($I123-SUM($W123:AL123))*IF(AM58&gt;1,AM$19,1),0),0)</f>
        <v>0</v>
      </c>
      <c r="AN123" s="46">
        <f>IF(YEAR(AN$4)&gt;YEAR($E123),IF(AN$18,2/(AN58+1)*($I123-SUM($W123:AM123))*IF(AN58&gt;1,AN$19,1),0),0)</f>
        <v>0</v>
      </c>
      <c r="AO123" s="46">
        <f>IF(YEAR(AO$4)&gt;YEAR($E123),IF(AO$18,2/(AO58+1)*($I123-SUM($W123:AN123))*IF(AO58&gt;1,AO$19,1),0),0)</f>
        <v>0</v>
      </c>
      <c r="AP123" s="46">
        <f>IF(YEAR(AP$4)&gt;YEAR($E123),IF(AP$18,2/(AP58+1)*($I123-SUM($W123:AO123))*IF(AP58&gt;1,AP$19,1),0),0)</f>
        <v>0</v>
      </c>
      <c r="AQ123" s="46">
        <f>IF(YEAR(AQ$4)&gt;YEAR($E123),IF(AQ$18,2/(AQ58+1)*($I123-SUM($W123:AP123))*IF(AQ58&gt;1,AQ$19,1),0),0)</f>
        <v>0</v>
      </c>
      <c r="AR123" s="46">
        <f>IF(YEAR(AR$4)&gt;YEAR($E123),IF(AR$18,2/(AR58+1)*($I123-SUM($W123:AQ123))*IF(AR58&gt;1,AR$19,1),0),0)</f>
        <v>0</v>
      </c>
      <c r="AS123" s="46">
        <f>IF(YEAR(AS$4)&gt;YEAR($E123),IF(AS$18,2/(AS58+1)*($I123-SUM($W123:AR123))*IF(AS58&gt;1,AS$19,1),0),0)</f>
        <v>0</v>
      </c>
      <c r="AT123" s="172">
        <f>IF(YEAR(AT$4)&gt;YEAR($E123),IF(AT$18,2/(AT58+1)*($I123-SUM($W123:AS123))*IF(AT58&gt;1,AT$19,1),0),0)</f>
        <v>0</v>
      </c>
      <c r="AU123" s="153">
        <f>IF(YEAR(AU$4)&gt;YEAR($E123),IF(AU$18,2/(AU58+1)*($I123-SUM($W123:AT123))*IF(AU58&gt;1,AU$19,1),0),0)</f>
        <v>0</v>
      </c>
      <c r="AV123" s="46">
        <f>IF(YEAR(AV$4)&gt;YEAR($E123),IF(AV$18,2/(AV58+1)*($I123-SUM($W123:AU123))*IF(AV58&gt;1,AV$19,1),0),0)</f>
        <v>0</v>
      </c>
      <c r="AW123" s="46">
        <f>IF(YEAR(AW$4)&gt;YEAR($E123),IF(AW$18,2/(AW58+1)*($I123-SUM($W123:AV123))*IF(AW58&gt;1,AW$19,1),0),0)</f>
        <v>0</v>
      </c>
      <c r="AX123" s="46">
        <f>IF(YEAR(AX$4)&gt;YEAR($E123),IF(AX$18,2/(AX58+1)*($I123-SUM($W123:AW123))*IF(AX58&gt;1,AX$19,1),0),0)</f>
        <v>0</v>
      </c>
      <c r="AY123" s="46">
        <f>IF(YEAR(AY$4)&gt;YEAR($E123),IF(AY$18,2/(AY58+1)*($I123-SUM($W123:AX123))*IF(AY58&gt;1,AY$19,1),0),0)</f>
        <v>0</v>
      </c>
      <c r="BA123" s="88" t="str">
        <f t="shared" ca="1" si="57"/>
        <v>Depreciation</v>
      </c>
      <c r="BB123" s="1" t="str">
        <f t="shared" si="58"/>
        <v>Sum of digits</v>
      </c>
      <c r="BC123" s="1" t="str">
        <f t="shared" si="59"/>
        <v>Accelerated profile</v>
      </c>
    </row>
    <row r="124" spans="5:55" x14ac:dyDescent="0.35">
      <c r="E124" s="2">
        <v>42460</v>
      </c>
      <c r="G124" t="s">
        <v>109</v>
      </c>
      <c r="I124" s="46">
        <f t="shared" si="56"/>
        <v>0.44927536231884058</v>
      </c>
      <c r="J124" t="s">
        <v>13</v>
      </c>
      <c r="X124" s="46">
        <f>IF(YEAR(X$4)&gt;YEAR($E124),IF(X$18,2/(X59+1)*($I124-SUM($W124:W124))*IF(X59&gt;1,X$19,1),0),0)</f>
        <v>0</v>
      </c>
      <c r="Y124" s="46">
        <f>IF(YEAR(Y$4)&gt;YEAR($E124),IF(Y$18,2/(Y59+1)*($I124-SUM($W124:X124))*IF(Y59&gt;1,Y$19,1),0),0)</f>
        <v>0</v>
      </c>
      <c r="Z124" s="46">
        <f>IF(YEAR(Z$4)&gt;YEAR($E124),IF(Z$18,2/(Z59+1)*($I124-SUM($W124:Y124))*IF(Z59&gt;1,Z$19,1),0),0)</f>
        <v>0</v>
      </c>
      <c r="AA124" s="46">
        <f>IF(YEAR(AA$4)&gt;YEAR($E124),IF(AA$18,2/(AA59+1)*($I124-SUM($W124:Z124))*IF(AA59&gt;1,AA$19,1),0),0)</f>
        <v>0</v>
      </c>
      <c r="AB124" s="46">
        <f>IF(YEAR(AB$4)&gt;YEAR($E124),IF(AB$18,2/(AB59+1)*($I124-SUM($W124:AA124))*IF(AB59&gt;1,AB$19,1),0),0)</f>
        <v>0</v>
      </c>
      <c r="AC124" s="46">
        <f>IF(YEAR(AC$4)&gt;YEAR($E124),IF(AC$18,2/(AC59+1)*($I124-SUM($W124:AB124))*IF(AC59&gt;1,AC$19,1),0),0)</f>
        <v>0</v>
      </c>
      <c r="AD124" s="46">
        <f>IF(YEAR(AD$4)&gt;YEAR($E124),IF(AD$18,2/(AD59+1)*($I124-SUM($W124:AC124))*IF(AD59&gt;1,AD$19,1),0),0)</f>
        <v>0</v>
      </c>
      <c r="AE124" s="46">
        <f>IF(YEAR(AE$4)&gt;YEAR($E124),IF(AE$18,2/(AE59+1)*($I124-SUM($W124:AD124))*IF(AE59&gt;1,AE$19,1),0),0)</f>
        <v>0</v>
      </c>
      <c r="AF124" s="46">
        <f>IF(YEAR(AF$4)&gt;YEAR($E124),IF(AF$18,2/(AF59+1)*($I124-SUM($W124:AE124))*IF(AF59&gt;1,AF$19,1),0),0)</f>
        <v>0</v>
      </c>
      <c r="AG124" s="46">
        <f>IF(YEAR(AG$4)&gt;YEAR($E124),IF(AG$18,2/(AG59+1)*($I124-SUM($W124:AF124))*IF(AG59&gt;1,AG$19,1),0),0)</f>
        <v>0</v>
      </c>
      <c r="AH124" s="46">
        <f>IF(YEAR(AH$4)&gt;YEAR($E124),IF(AH$18,2/(AH59+1)*($I124-SUM($W124:AG124))*IF(AH59&gt;1,AH$19,1),0),0)</f>
        <v>0</v>
      </c>
      <c r="AI124" s="46">
        <f>IF(YEAR(AI$4)&gt;YEAR($E124),IF(AI$18,2/(AI59+1)*($I124-SUM($W124:AH124))*IF(AI59&gt;1,AI$19,1),0),0)</f>
        <v>0</v>
      </c>
      <c r="AJ124" s="46">
        <f>IF(YEAR(AJ$4)&gt;YEAR($E124),IF(AJ$18,2/(AJ59+1)*($I124-SUM($W124:AI124))*IF(AJ59&gt;1,AJ$19,1),0),0)</f>
        <v>0</v>
      </c>
      <c r="AK124" s="46">
        <f>IF(YEAR(AK$4)&gt;YEAR($E124),IF(AK$18,2/(AK59+1)*($I124-SUM($W124:AJ124))*IF(AK59&gt;1,AK$19,1),0),0)</f>
        <v>0</v>
      </c>
      <c r="AL124" s="46">
        <f>IF(YEAR(AL$4)&gt;YEAR($E124),IF(AL$18,2/(AL59+1)*($I124-SUM($W124:AK124))*IF(AL59&gt;1,AL$19,1),0),0)</f>
        <v>0</v>
      </c>
      <c r="AM124" s="46">
        <f>IF(YEAR(AM$4)&gt;YEAR($E124),IF(AM$18,2/(AM59+1)*($I124-SUM($W124:AL124))*IF(AM59&gt;1,AM$19,1),0),0)</f>
        <v>0</v>
      </c>
      <c r="AN124" s="46">
        <f>IF(YEAR(AN$4)&gt;YEAR($E124),IF(AN$18,2/(AN59+1)*($I124-SUM($W124:AM124))*IF(AN59&gt;1,AN$19,1),0),0)</f>
        <v>0</v>
      </c>
      <c r="AO124" s="46">
        <f>IF(YEAR(AO$4)&gt;YEAR($E124),IF(AO$18,2/(AO59+1)*($I124-SUM($W124:AN124))*IF(AO59&gt;1,AO$19,1),0),0)</f>
        <v>0</v>
      </c>
      <c r="AP124" s="46">
        <f>IF(YEAR(AP$4)&gt;YEAR($E124),IF(AP$18,2/(AP59+1)*($I124-SUM($W124:AO124))*IF(AP59&gt;1,AP$19,1),0),0)</f>
        <v>0</v>
      </c>
      <c r="AQ124" s="46">
        <f>IF(YEAR(AQ$4)&gt;YEAR($E124),IF(AQ$18,2/(AQ59+1)*($I124-SUM($W124:AP124))*IF(AQ59&gt;1,AQ$19,1),0),0)</f>
        <v>0</v>
      </c>
      <c r="AR124" s="46">
        <f>IF(YEAR(AR$4)&gt;YEAR($E124),IF(AR$18,2/(AR59+1)*($I124-SUM($W124:AQ124))*IF(AR59&gt;1,AR$19,1),0),0)</f>
        <v>0</v>
      </c>
      <c r="AS124" s="46">
        <f>IF(YEAR(AS$4)&gt;YEAR($E124),IF(AS$18,2/(AS59+1)*($I124-SUM($W124:AR124))*IF(AS59&gt;1,AS$19,1),0),0)</f>
        <v>0</v>
      </c>
      <c r="AT124" s="172">
        <f>IF(YEAR(AT$4)&gt;YEAR($E124),IF(AT$18,2/(AT59+1)*($I124-SUM($W124:AS124))*IF(AT59&gt;1,AT$19,1),0),0)</f>
        <v>0</v>
      </c>
      <c r="AU124" s="153">
        <f>IF(YEAR(AU$4)&gt;YEAR($E124),IF(AU$18,2/(AU59+1)*($I124-SUM($W124:AT124))*IF(AU59&gt;1,AU$19,1),0),0)</f>
        <v>0</v>
      </c>
      <c r="AV124" s="46">
        <f>IF(YEAR(AV$4)&gt;YEAR($E124),IF(AV$18,2/(AV59+1)*($I124-SUM($W124:AU124))*IF(AV59&gt;1,AV$19,1),0),0)</f>
        <v>0</v>
      </c>
      <c r="AW124" s="46">
        <f>IF(YEAR(AW$4)&gt;YEAR($E124),IF(AW$18,2/(AW59+1)*($I124-SUM($W124:AV124))*IF(AW59&gt;1,AW$19,1),0),0)</f>
        <v>0</v>
      </c>
      <c r="AX124" s="46">
        <f>IF(YEAR(AX$4)&gt;YEAR($E124),IF(AX$18,2/(AX59+1)*($I124-SUM($W124:AW124))*IF(AX59&gt;1,AX$19,1),0),0)</f>
        <v>0</v>
      </c>
      <c r="AY124" s="46">
        <f>IF(YEAR(AY$4)&gt;YEAR($E124),IF(AY$18,2/(AY59+1)*($I124-SUM($W124:AX124))*IF(AY59&gt;1,AY$19,1),0),0)</f>
        <v>0</v>
      </c>
      <c r="BA124" s="88" t="str">
        <f t="shared" ca="1" si="57"/>
        <v>Depreciation</v>
      </c>
      <c r="BB124" s="1" t="str">
        <f t="shared" si="58"/>
        <v>Sum of digits</v>
      </c>
      <c r="BC124" s="1" t="str">
        <f t="shared" si="59"/>
        <v>Accelerated profile</v>
      </c>
    </row>
    <row r="125" spans="5:55" x14ac:dyDescent="0.35">
      <c r="E125" s="2">
        <v>42825</v>
      </c>
      <c r="G125" t="s">
        <v>109</v>
      </c>
      <c r="I125" s="46">
        <f t="shared" si="56"/>
        <v>0.47922705314009661</v>
      </c>
      <c r="J125" t="s">
        <v>13</v>
      </c>
      <c r="X125" s="46">
        <f>IF(YEAR(X$4)&gt;YEAR($E125),IF(X$18,2/(X60+1)*($I125-SUM($W125:W125))*IF(X60&gt;1,X$19,1),0),0)</f>
        <v>0</v>
      </c>
      <c r="Y125" s="46">
        <f>IF(YEAR(Y$4)&gt;YEAR($E125),IF(Y$18,2/(Y60+1)*($I125-SUM($W125:X125))*IF(Y60&gt;1,Y$19,1),0),0)</f>
        <v>0</v>
      </c>
      <c r="Z125" s="46">
        <f>IF(YEAR(Z$4)&gt;YEAR($E125),IF(Z$18,2/(Z60+1)*($I125-SUM($W125:Y125))*IF(Z60&gt;1,Z$19,1),0),0)</f>
        <v>0</v>
      </c>
      <c r="AA125" s="46">
        <f>IF(YEAR(AA$4)&gt;YEAR($E125),IF(AA$18,2/(AA60+1)*($I125-SUM($W125:Z125))*IF(AA60&gt;1,AA$19,1),0),0)</f>
        <v>0</v>
      </c>
      <c r="AB125" s="46">
        <f>IF(YEAR(AB$4)&gt;YEAR($E125),IF(AB$18,2/(AB60+1)*($I125-SUM($W125:AA125))*IF(AB60&gt;1,AB$19,1),0),0)</f>
        <v>0</v>
      </c>
      <c r="AC125" s="46">
        <f>IF(YEAR(AC$4)&gt;YEAR($E125),IF(AC$18,2/(AC60+1)*($I125-SUM($W125:AB125))*IF(AC60&gt;1,AC$19,1),0),0)</f>
        <v>0</v>
      </c>
      <c r="AD125" s="46">
        <f>IF(YEAR(AD$4)&gt;YEAR($E125),IF(AD$18,2/(AD60+1)*($I125-SUM($W125:AC125))*IF(AD60&gt;1,AD$19,1),0),0)</f>
        <v>0</v>
      </c>
      <c r="AE125" s="46">
        <f>IF(YEAR(AE$4)&gt;YEAR($E125),IF(AE$18,2/(AE60+1)*($I125-SUM($W125:AD125))*IF(AE60&gt;1,AE$19,1),0),0)</f>
        <v>0</v>
      </c>
      <c r="AF125" s="46">
        <f>IF(YEAR(AF$4)&gt;YEAR($E125),IF(AF$18,2/(AF60+1)*($I125-SUM($W125:AE125))*IF(AF60&gt;1,AF$19,1),0),0)</f>
        <v>0</v>
      </c>
      <c r="AG125" s="46">
        <f>IF(YEAR(AG$4)&gt;YEAR($E125),IF(AG$18,2/(AG60+1)*($I125-SUM($W125:AF125))*IF(AG60&gt;1,AG$19,1),0),0)</f>
        <v>0</v>
      </c>
      <c r="AH125" s="46">
        <f>IF(YEAR(AH$4)&gt;YEAR($E125),IF(AH$18,2/(AH60+1)*($I125-SUM($W125:AG125))*IF(AH60&gt;1,AH$19,1),0),0)</f>
        <v>0</v>
      </c>
      <c r="AI125" s="46">
        <f>IF(YEAR(AI$4)&gt;YEAR($E125),IF(AI$18,2/(AI60+1)*($I125-SUM($W125:AH125))*IF(AI60&gt;1,AI$19,1),0),0)</f>
        <v>0</v>
      </c>
      <c r="AJ125" s="46">
        <f>IF(YEAR(AJ$4)&gt;YEAR($E125),IF(AJ$18,2/(AJ60+1)*($I125-SUM($W125:AI125))*IF(AJ60&gt;1,AJ$19,1),0),0)</f>
        <v>0</v>
      </c>
      <c r="AK125" s="46">
        <f>IF(YEAR(AK$4)&gt;YEAR($E125),IF(AK$18,2/(AK60+1)*($I125-SUM($W125:AJ125))*IF(AK60&gt;1,AK$19,1),0),0)</f>
        <v>0</v>
      </c>
      <c r="AL125" s="46">
        <f>IF(YEAR(AL$4)&gt;YEAR($E125),IF(AL$18,2/(AL60+1)*($I125-SUM($W125:AK125))*IF(AL60&gt;1,AL$19,1),0),0)</f>
        <v>0</v>
      </c>
      <c r="AM125" s="46">
        <f>IF(YEAR(AM$4)&gt;YEAR($E125),IF(AM$18,2/(AM60+1)*($I125-SUM($W125:AL125))*IF(AM60&gt;1,AM$19,1),0),0)</f>
        <v>0</v>
      </c>
      <c r="AN125" s="46">
        <f>IF(YEAR(AN$4)&gt;YEAR($E125),IF(AN$18,2/(AN60+1)*($I125-SUM($W125:AM125))*IF(AN60&gt;1,AN$19,1),0),0)</f>
        <v>0</v>
      </c>
      <c r="AO125" s="46">
        <f>IF(YEAR(AO$4)&gt;YEAR($E125),IF(AO$18,2/(AO60+1)*($I125-SUM($W125:AN125))*IF(AO60&gt;1,AO$19,1),0),0)</f>
        <v>0</v>
      </c>
      <c r="AP125" s="46">
        <f>IF(YEAR(AP$4)&gt;YEAR($E125),IF(AP$18,2/(AP60+1)*($I125-SUM($W125:AO125))*IF(AP60&gt;1,AP$19,1),0),0)</f>
        <v>0</v>
      </c>
      <c r="AQ125" s="46">
        <f>IF(YEAR(AQ$4)&gt;YEAR($E125),IF(AQ$18,2/(AQ60+1)*($I125-SUM($W125:AP125))*IF(AQ60&gt;1,AQ$19,1),0),0)</f>
        <v>0</v>
      </c>
      <c r="AR125" s="46">
        <f>IF(YEAR(AR$4)&gt;YEAR($E125),IF(AR$18,2/(AR60+1)*($I125-SUM($W125:AQ125))*IF(AR60&gt;1,AR$19,1),0),0)</f>
        <v>0</v>
      </c>
      <c r="AS125" s="46">
        <f>IF(YEAR(AS$4)&gt;YEAR($E125),IF(AS$18,2/(AS60+1)*($I125-SUM($W125:AR125))*IF(AS60&gt;1,AS$19,1),0),0)</f>
        <v>0</v>
      </c>
      <c r="AT125" s="172">
        <f>IF(YEAR(AT$4)&gt;YEAR($E125),IF(AT$18,2/(AT60+1)*($I125-SUM($W125:AS125))*IF(AT60&gt;1,AT$19,1),0),0)</f>
        <v>0</v>
      </c>
      <c r="AU125" s="153">
        <f>IF(YEAR(AU$4)&gt;YEAR($E125),IF(AU$18,2/(AU60+1)*($I125-SUM($W125:AT125))*IF(AU60&gt;1,AU$19,1),0),0)</f>
        <v>0</v>
      </c>
      <c r="AV125" s="46">
        <f>IF(YEAR(AV$4)&gt;YEAR($E125),IF(AV$18,2/(AV60+1)*($I125-SUM($W125:AU125))*IF(AV60&gt;1,AV$19,1),0),0)</f>
        <v>0</v>
      </c>
      <c r="AW125" s="46">
        <f>IF(YEAR(AW$4)&gt;YEAR($E125),IF(AW$18,2/(AW60+1)*($I125-SUM($W125:AV125))*IF(AW60&gt;1,AW$19,1),0),0)</f>
        <v>0</v>
      </c>
      <c r="AX125" s="46">
        <f>IF(YEAR(AX$4)&gt;YEAR($E125),IF(AX$18,2/(AX60+1)*($I125-SUM($W125:AW125))*IF(AX60&gt;1,AX$19,1),0),0)</f>
        <v>0</v>
      </c>
      <c r="AY125" s="46">
        <f>IF(YEAR(AY$4)&gt;YEAR($E125),IF(AY$18,2/(AY60+1)*($I125-SUM($W125:AX125))*IF(AY60&gt;1,AY$19,1),0),0)</f>
        <v>0</v>
      </c>
      <c r="BA125" s="88" t="str">
        <f t="shared" ca="1" si="57"/>
        <v>Depreciation</v>
      </c>
      <c r="BB125" s="1" t="str">
        <f t="shared" si="58"/>
        <v>Sum of digits</v>
      </c>
      <c r="BC125" s="1" t="str">
        <f t="shared" si="59"/>
        <v>Accelerated profile</v>
      </c>
    </row>
    <row r="126" spans="5:55" x14ac:dyDescent="0.35">
      <c r="E126" s="2">
        <v>43190</v>
      </c>
      <c r="G126" t="s">
        <v>109</v>
      </c>
      <c r="I126" s="46">
        <f t="shared" si="56"/>
        <v>0.51014492753623186</v>
      </c>
      <c r="J126" t="s">
        <v>13</v>
      </c>
      <c r="X126" s="46">
        <f>IF(YEAR(X$4)&gt;YEAR($E126),IF(X$18,2/(X61+1)*($I126-SUM($W126:W126))*IF(X61&gt;1,X$19,1),0),0)</f>
        <v>0</v>
      </c>
      <c r="Y126" s="46">
        <f>IF(YEAR(Y$4)&gt;YEAR($E126),IF(Y$18,2/(Y61+1)*($I126-SUM($W126:X126))*IF(Y61&gt;1,Y$19,1),0),0)</f>
        <v>0</v>
      </c>
      <c r="Z126" s="46">
        <f>IF(YEAR(Z$4)&gt;YEAR($E126),IF(Z$18,2/(Z61+1)*($I126-SUM($W126:Y126))*IF(Z61&gt;1,Z$19,1),0),0)</f>
        <v>0</v>
      </c>
      <c r="AA126" s="46">
        <f>IF(YEAR(AA$4)&gt;YEAR($E126),IF(AA$18,2/(AA61+1)*($I126-SUM($W126:Z126))*IF(AA61&gt;1,AA$19,1),0),0)</f>
        <v>0</v>
      </c>
      <c r="AB126" s="46">
        <f>IF(YEAR(AB$4)&gt;YEAR($E126),IF(AB$18,2/(AB61+1)*($I126-SUM($W126:AA126))*IF(AB61&gt;1,AB$19,1),0),0)</f>
        <v>0</v>
      </c>
      <c r="AC126" s="46">
        <f>IF(YEAR(AC$4)&gt;YEAR($E126),IF(AC$18,2/(AC61+1)*($I126-SUM($W126:AB126))*IF(AC61&gt;1,AC$19,1),0),0)</f>
        <v>0</v>
      </c>
      <c r="AD126" s="46">
        <f>IF(YEAR(AD$4)&gt;YEAR($E126),IF(AD$18,2/(AD61+1)*($I126-SUM($W126:AC126))*IF(AD61&gt;1,AD$19,1),0),0)</f>
        <v>0</v>
      </c>
      <c r="AE126" s="46">
        <f>IF(YEAR(AE$4)&gt;YEAR($E126),IF(AE$18,2/(AE61+1)*($I126-SUM($W126:AD126))*IF(AE61&gt;1,AE$19,1),0),0)</f>
        <v>0</v>
      </c>
      <c r="AF126" s="46">
        <f>IF(YEAR(AF$4)&gt;YEAR($E126),IF(AF$18,2/(AF61+1)*($I126-SUM($W126:AE126))*IF(AF61&gt;1,AF$19,1),0),0)</f>
        <v>0</v>
      </c>
      <c r="AG126" s="46">
        <f>IF(YEAR(AG$4)&gt;YEAR($E126),IF(AG$18,2/(AG61+1)*($I126-SUM($W126:AF126))*IF(AG61&gt;1,AG$19,1),0),0)</f>
        <v>0</v>
      </c>
      <c r="AH126" s="46">
        <f>IF(YEAR(AH$4)&gt;YEAR($E126),IF(AH$18,2/(AH61+1)*($I126-SUM($W126:AG126))*IF(AH61&gt;1,AH$19,1),0),0)</f>
        <v>0</v>
      </c>
      <c r="AI126" s="46">
        <f>IF(YEAR(AI$4)&gt;YEAR($E126),IF(AI$18,2/(AI61+1)*($I126-SUM($W126:AH126))*IF(AI61&gt;1,AI$19,1),0),0)</f>
        <v>0</v>
      </c>
      <c r="AJ126" s="46">
        <f>IF(YEAR(AJ$4)&gt;YEAR($E126),IF(AJ$18,2/(AJ61+1)*($I126-SUM($W126:AI126))*IF(AJ61&gt;1,AJ$19,1),0),0)</f>
        <v>0</v>
      </c>
      <c r="AK126" s="46">
        <f>IF(YEAR(AK$4)&gt;YEAR($E126),IF(AK$18,2/(AK61+1)*($I126-SUM($W126:AJ126))*IF(AK61&gt;1,AK$19,1),0),0)</f>
        <v>0</v>
      </c>
      <c r="AL126" s="46">
        <f>IF(YEAR(AL$4)&gt;YEAR($E126),IF(AL$18,2/(AL61+1)*($I126-SUM($W126:AK126))*IF(AL61&gt;1,AL$19,1),0),0)</f>
        <v>0</v>
      </c>
      <c r="AM126" s="46">
        <f>IF(YEAR(AM$4)&gt;YEAR($E126),IF(AM$18,2/(AM61+1)*($I126-SUM($W126:AL126))*IF(AM61&gt;1,AM$19,1),0),0)</f>
        <v>0</v>
      </c>
      <c r="AN126" s="46">
        <f>IF(YEAR(AN$4)&gt;YEAR($E126),IF(AN$18,2/(AN61+1)*($I126-SUM($W126:AM126))*IF(AN61&gt;1,AN$19,1),0),0)</f>
        <v>0</v>
      </c>
      <c r="AO126" s="46">
        <f>IF(YEAR(AO$4)&gt;YEAR($E126),IF(AO$18,2/(AO61+1)*($I126-SUM($W126:AN126))*IF(AO61&gt;1,AO$19,1),0),0)</f>
        <v>0</v>
      </c>
      <c r="AP126" s="46">
        <f>IF(YEAR(AP$4)&gt;YEAR($E126),IF(AP$18,2/(AP61+1)*($I126-SUM($W126:AO126))*IF(AP61&gt;1,AP$19,1),0),0)</f>
        <v>0</v>
      </c>
      <c r="AQ126" s="46">
        <f>IF(YEAR(AQ$4)&gt;YEAR($E126),IF(AQ$18,2/(AQ61+1)*($I126-SUM($W126:AP126))*IF(AQ61&gt;1,AQ$19,1),0),0)</f>
        <v>0</v>
      </c>
      <c r="AR126" s="46">
        <f>IF(YEAR(AR$4)&gt;YEAR($E126),IF(AR$18,2/(AR61+1)*($I126-SUM($W126:AQ126))*IF(AR61&gt;1,AR$19,1),0),0)</f>
        <v>0</v>
      </c>
      <c r="AS126" s="46">
        <f>IF(YEAR(AS$4)&gt;YEAR($E126),IF(AS$18,2/(AS61+1)*($I126-SUM($W126:AR126))*IF(AS61&gt;1,AS$19,1),0),0)</f>
        <v>0</v>
      </c>
      <c r="AT126" s="172">
        <f>IF(YEAR(AT$4)&gt;YEAR($E126),IF(AT$18,2/(AT61+1)*($I126-SUM($W126:AS126))*IF(AT61&gt;1,AT$19,1),0),0)</f>
        <v>0</v>
      </c>
      <c r="AU126" s="153">
        <f>IF(YEAR(AU$4)&gt;YEAR($E126),IF(AU$18,2/(AU61+1)*($I126-SUM($W126:AT126))*IF(AU61&gt;1,AU$19,1),0),0)</f>
        <v>0</v>
      </c>
      <c r="AV126" s="46">
        <f>IF(YEAR(AV$4)&gt;YEAR($E126),IF(AV$18,2/(AV61+1)*($I126-SUM($W126:AU126))*IF(AV61&gt;1,AV$19,1),0),0)</f>
        <v>0</v>
      </c>
      <c r="AW126" s="46">
        <f>IF(YEAR(AW$4)&gt;YEAR($E126),IF(AW$18,2/(AW61+1)*($I126-SUM($W126:AV126))*IF(AW61&gt;1,AW$19,1),0),0)</f>
        <v>0</v>
      </c>
      <c r="AX126" s="46">
        <f>IF(YEAR(AX$4)&gt;YEAR($E126),IF(AX$18,2/(AX61+1)*($I126-SUM($W126:AW126))*IF(AX61&gt;1,AX$19,1),0),0)</f>
        <v>0</v>
      </c>
      <c r="AY126" s="46">
        <f>IF(YEAR(AY$4)&gt;YEAR($E126),IF(AY$18,2/(AY61+1)*($I126-SUM($W126:AX126))*IF(AY61&gt;1,AY$19,1),0),0)</f>
        <v>0</v>
      </c>
      <c r="BA126" s="88" t="str">
        <f t="shared" ca="1" si="57"/>
        <v>Depreciation</v>
      </c>
      <c r="BB126" s="1" t="str">
        <f t="shared" si="58"/>
        <v>Sum of digits</v>
      </c>
      <c r="BC126" s="1" t="str">
        <f t="shared" si="59"/>
        <v>Accelerated profile</v>
      </c>
    </row>
    <row r="127" spans="5:55" x14ac:dyDescent="0.35">
      <c r="E127" s="2">
        <v>43555</v>
      </c>
      <c r="G127" t="s">
        <v>109</v>
      </c>
      <c r="I127" s="46">
        <f t="shared" si="56"/>
        <v>0.54202898550724643</v>
      </c>
      <c r="J127" t="s">
        <v>13</v>
      </c>
      <c r="X127" s="46">
        <f>IF(YEAR(X$4)&gt;YEAR($E127),IF(X$18,2/(X62+1)*($I127-SUM($W127:W127))*IF(X62&gt;1,X$19,1),0),0)</f>
        <v>0</v>
      </c>
      <c r="Y127" s="46">
        <f>IF(YEAR(Y$4)&gt;YEAR($E127),IF(Y$18,2/(Y62+1)*($I127-SUM($W127:X127))*IF(Y62&gt;1,Y$19,1),0),0)</f>
        <v>0</v>
      </c>
      <c r="Z127" s="46">
        <f>IF(YEAR(Z$4)&gt;YEAR($E127),IF(Z$18,2/(Z62+1)*($I127-SUM($W127:Y127))*IF(Z62&gt;1,Z$19,1),0),0)</f>
        <v>0</v>
      </c>
      <c r="AA127" s="46">
        <f>IF(YEAR(AA$4)&gt;YEAR($E127),IF(AA$18,2/(AA62+1)*($I127-SUM($W127:Z127))*IF(AA62&gt;1,AA$19,1),0),0)</f>
        <v>0</v>
      </c>
      <c r="AB127" s="46">
        <f>IF(YEAR(AB$4)&gt;YEAR($E127),IF(AB$18,2/(AB62+1)*($I127-SUM($W127:AA127))*IF(AB62&gt;1,AB$19,1),0),0)</f>
        <v>0</v>
      </c>
      <c r="AC127" s="46">
        <f>IF(YEAR(AC$4)&gt;YEAR($E127),IF(AC$18,2/(AC62+1)*($I127-SUM($W127:AB127))*IF(AC62&gt;1,AC$19,1),0),0)</f>
        <v>0</v>
      </c>
      <c r="AD127" s="46">
        <f>IF(YEAR(AD$4)&gt;YEAR($E127),IF(AD$18,2/(AD62+1)*($I127-SUM($W127:AC127))*IF(AD62&gt;1,AD$19,1),0),0)</f>
        <v>0</v>
      </c>
      <c r="AE127" s="46">
        <f>IF(YEAR(AE$4)&gt;YEAR($E127),IF(AE$18,2/(AE62+1)*($I127-SUM($W127:AD127))*IF(AE62&gt;1,AE$19,1),0),0)</f>
        <v>0</v>
      </c>
      <c r="AF127" s="46">
        <f>IF(YEAR(AF$4)&gt;YEAR($E127),IF(AF$18,2/(AF62+1)*($I127-SUM($W127:AE127))*IF(AF62&gt;1,AF$19,1),0),0)</f>
        <v>0</v>
      </c>
      <c r="AG127" s="46">
        <f>IF(YEAR(AG$4)&gt;YEAR($E127),IF(AG$18,2/(AG62+1)*($I127-SUM($W127:AF127))*IF(AG62&gt;1,AG$19,1),0),0)</f>
        <v>0</v>
      </c>
      <c r="AH127" s="46">
        <f>IF(YEAR(AH$4)&gt;YEAR($E127),IF(AH$18,2/(AH62+1)*($I127-SUM($W127:AG127))*IF(AH62&gt;1,AH$19,1),0),0)</f>
        <v>0</v>
      </c>
      <c r="AI127" s="46">
        <f>IF(YEAR(AI$4)&gt;YEAR($E127),IF(AI$18,2/(AI62+1)*($I127-SUM($W127:AH127))*IF(AI62&gt;1,AI$19,1),0),0)</f>
        <v>0</v>
      </c>
      <c r="AJ127" s="46">
        <f>IF(YEAR(AJ$4)&gt;YEAR($E127),IF(AJ$18,2/(AJ62+1)*($I127-SUM($W127:AI127))*IF(AJ62&gt;1,AJ$19,1),0),0)</f>
        <v>0</v>
      </c>
      <c r="AK127" s="46">
        <f>IF(YEAR(AK$4)&gt;YEAR($E127),IF(AK$18,2/(AK62+1)*($I127-SUM($W127:AJ127))*IF(AK62&gt;1,AK$19,1),0),0)</f>
        <v>0</v>
      </c>
      <c r="AL127" s="46">
        <f>IF(YEAR(AL$4)&gt;YEAR($E127),IF(AL$18,2/(AL62+1)*($I127-SUM($W127:AK127))*IF(AL62&gt;1,AL$19,1),0),0)</f>
        <v>0</v>
      </c>
      <c r="AM127" s="46">
        <f>IF(YEAR(AM$4)&gt;YEAR($E127),IF(AM$18,2/(AM62+1)*($I127-SUM($W127:AL127))*IF(AM62&gt;1,AM$19,1),0),0)</f>
        <v>0</v>
      </c>
      <c r="AN127" s="46">
        <f>IF(YEAR(AN$4)&gt;YEAR($E127),IF(AN$18,2/(AN62+1)*($I127-SUM($W127:AM127))*IF(AN62&gt;1,AN$19,1),0),0)</f>
        <v>0</v>
      </c>
      <c r="AO127" s="46">
        <f>IF(YEAR(AO$4)&gt;YEAR($E127),IF(AO$18,2/(AO62+1)*($I127-SUM($W127:AN127))*IF(AO62&gt;1,AO$19,1),0),0)</f>
        <v>0</v>
      </c>
      <c r="AP127" s="46">
        <f>IF(YEAR(AP$4)&gt;YEAR($E127),IF(AP$18,2/(AP62+1)*($I127-SUM($W127:AO127))*IF(AP62&gt;1,AP$19,1),0),0)</f>
        <v>0</v>
      </c>
      <c r="AQ127" s="46">
        <f>IF(YEAR(AQ$4)&gt;YEAR($E127),IF(AQ$18,2/(AQ62+1)*($I127-SUM($W127:AP127))*IF(AQ62&gt;1,AQ$19,1),0),0)</f>
        <v>0</v>
      </c>
      <c r="AR127" s="46">
        <f>IF(YEAR(AR$4)&gt;YEAR($E127),IF(AR$18,2/(AR62+1)*($I127-SUM($W127:AQ127))*IF(AR62&gt;1,AR$19,1),0),0)</f>
        <v>0</v>
      </c>
      <c r="AS127" s="46">
        <f>IF(YEAR(AS$4)&gt;YEAR($E127),IF(AS$18,2/(AS62+1)*($I127-SUM($W127:AR127))*IF(AS62&gt;1,AS$19,1),0),0)</f>
        <v>0</v>
      </c>
      <c r="AT127" s="172">
        <f>IF(YEAR(AT$4)&gt;YEAR($E127),IF(AT$18,2/(AT62+1)*($I127-SUM($W127:AS127))*IF(AT62&gt;1,AT$19,1),0),0)</f>
        <v>0</v>
      </c>
      <c r="AU127" s="153">
        <f>IF(YEAR(AU$4)&gt;YEAR($E127),IF(AU$18,2/(AU62+1)*($I127-SUM($W127:AT127))*IF(AU62&gt;1,AU$19,1),0),0)</f>
        <v>0</v>
      </c>
      <c r="AV127" s="46">
        <f>IF(YEAR(AV$4)&gt;YEAR($E127),IF(AV$18,2/(AV62+1)*($I127-SUM($W127:AU127))*IF(AV62&gt;1,AV$19,1),0),0)</f>
        <v>0</v>
      </c>
      <c r="AW127" s="46">
        <f>IF(YEAR(AW$4)&gt;YEAR($E127),IF(AW$18,2/(AW62+1)*($I127-SUM($W127:AV127))*IF(AW62&gt;1,AW$19,1),0),0)</f>
        <v>0</v>
      </c>
      <c r="AX127" s="46">
        <f>IF(YEAR(AX$4)&gt;YEAR($E127),IF(AX$18,2/(AX62+1)*($I127-SUM($W127:AW127))*IF(AX62&gt;1,AX$19,1),0),0)</f>
        <v>0</v>
      </c>
      <c r="AY127" s="46">
        <f>IF(YEAR(AY$4)&gt;YEAR($E127),IF(AY$18,2/(AY62+1)*($I127-SUM($W127:AX127))*IF(AY62&gt;1,AY$19,1),0),0)</f>
        <v>0</v>
      </c>
      <c r="BA127" s="88" t="str">
        <f t="shared" ca="1" si="57"/>
        <v>Depreciation</v>
      </c>
      <c r="BB127" s="1" t="str">
        <f t="shared" si="58"/>
        <v>Sum of digits</v>
      </c>
      <c r="BC127" s="1" t="str">
        <f t="shared" si="59"/>
        <v>Accelerated profile</v>
      </c>
    </row>
    <row r="128" spans="5:55" x14ac:dyDescent="0.35">
      <c r="E128" s="2">
        <v>43921</v>
      </c>
      <c r="G128" t="s">
        <v>109</v>
      </c>
      <c r="I128" s="46">
        <f t="shared" si="56"/>
        <v>0.5748792270531401</v>
      </c>
      <c r="J128" t="s">
        <v>13</v>
      </c>
      <c r="X128" s="46">
        <f>IF(YEAR(X$4)&gt;YEAR($E128),IF(X$18,2/(X63+1)*($I128-SUM($W128:W128))*IF(X63&gt;1,X$19,1),0),0)</f>
        <v>0</v>
      </c>
      <c r="Y128" s="46">
        <f>IF(YEAR(Y$4)&gt;YEAR($E128),IF(Y$18,2/(Y63+1)*($I128-SUM($W128:X128))*IF(Y63&gt;1,Y$19,1),0),0)</f>
        <v>0</v>
      </c>
      <c r="Z128" s="46">
        <f>IF(YEAR(Z$4)&gt;YEAR($E128),IF(Z$18,2/(Z63+1)*($I128-SUM($W128:Y128))*IF(Z63&gt;1,Z$19,1),0),0)</f>
        <v>0</v>
      </c>
      <c r="AA128" s="46">
        <f>IF(YEAR(AA$4)&gt;YEAR($E128),IF(AA$18,2/(AA63+1)*($I128-SUM($W128:Z128))*IF(AA63&gt;1,AA$19,1),0),0)</f>
        <v>0</v>
      </c>
      <c r="AB128" s="46">
        <f>IF(YEAR(AB$4)&gt;YEAR($E128),IF(AB$18,2/(AB63+1)*($I128-SUM($W128:AA128))*IF(AB63&gt;1,AB$19,1),0),0)</f>
        <v>0</v>
      </c>
      <c r="AC128" s="46">
        <f>IF(YEAR(AC$4)&gt;YEAR($E128),IF(AC$18,2/(AC63+1)*($I128-SUM($W128:AB128))*IF(AC63&gt;1,AC$19,1),0),0)</f>
        <v>0</v>
      </c>
      <c r="AD128" s="46">
        <f>IF(YEAR(AD$4)&gt;YEAR($E128),IF(AD$18,2/(AD63+1)*($I128-SUM($W128:AC128))*IF(AD63&gt;1,AD$19,1),0),0)</f>
        <v>0</v>
      </c>
      <c r="AE128" s="46">
        <f>IF(YEAR(AE$4)&gt;YEAR($E128),IF(AE$18,2/(AE63+1)*($I128-SUM($W128:AD128))*IF(AE63&gt;1,AE$19,1),0),0)</f>
        <v>0</v>
      </c>
      <c r="AF128" s="46">
        <f>IF(YEAR(AF$4)&gt;YEAR($E128),IF(AF$18,2/(AF63+1)*($I128-SUM($W128:AE128))*IF(AF63&gt;1,AF$19,1),0),0)</f>
        <v>0</v>
      </c>
      <c r="AG128" s="46">
        <f>IF(YEAR(AG$4)&gt;YEAR($E128),IF(AG$18,2/(AG63+1)*($I128-SUM($W128:AF128))*IF(AG63&gt;1,AG$19,1),0),0)</f>
        <v>0</v>
      </c>
      <c r="AH128" s="46">
        <f>IF(YEAR(AH$4)&gt;YEAR($E128),IF(AH$18,2/(AH63+1)*($I128-SUM($W128:AG128))*IF(AH63&gt;1,AH$19,1),0),0)</f>
        <v>0</v>
      </c>
      <c r="AI128" s="46">
        <f>IF(YEAR(AI$4)&gt;YEAR($E128),IF(AI$18,2/(AI63+1)*($I128-SUM($W128:AH128))*IF(AI63&gt;1,AI$19,1),0),0)</f>
        <v>0</v>
      </c>
      <c r="AJ128" s="46">
        <f>IF(YEAR(AJ$4)&gt;YEAR($E128),IF(AJ$18,2/(AJ63+1)*($I128-SUM($W128:AI128))*IF(AJ63&gt;1,AJ$19,1),0),0)</f>
        <v>0</v>
      </c>
      <c r="AK128" s="46">
        <f>IF(YEAR(AK$4)&gt;YEAR($E128),IF(AK$18,2/(AK63+1)*($I128-SUM($W128:AJ128))*IF(AK63&gt;1,AK$19,1),0),0)</f>
        <v>0</v>
      </c>
      <c r="AL128" s="46">
        <f>IF(YEAR(AL$4)&gt;YEAR($E128),IF(AL$18,2/(AL63+1)*($I128-SUM($W128:AK128))*IF(AL63&gt;1,AL$19,1),0),0)</f>
        <v>0</v>
      </c>
      <c r="AM128" s="46">
        <f>IF(YEAR(AM$4)&gt;YEAR($E128),IF(AM$18,2/(AM63+1)*($I128-SUM($W128:AL128))*IF(AM63&gt;1,AM$19,1),0),0)</f>
        <v>0</v>
      </c>
      <c r="AN128" s="46">
        <f>IF(YEAR(AN$4)&gt;YEAR($E128),IF(AN$18,2/(AN63+1)*($I128-SUM($W128:AM128))*IF(AN63&gt;1,AN$19,1),0),0)</f>
        <v>0</v>
      </c>
      <c r="AO128" s="46">
        <f>IF(YEAR(AO$4)&gt;YEAR($E128),IF(AO$18,2/(AO63+1)*($I128-SUM($W128:AN128))*IF(AO63&gt;1,AO$19,1),0),0)</f>
        <v>0</v>
      </c>
      <c r="AP128" s="46">
        <f>IF(YEAR(AP$4)&gt;YEAR($E128),IF(AP$18,2/(AP63+1)*($I128-SUM($W128:AO128))*IF(AP63&gt;1,AP$19,1),0),0)</f>
        <v>0</v>
      </c>
      <c r="AQ128" s="46">
        <f>IF(YEAR(AQ$4)&gt;YEAR($E128),IF(AQ$18,2/(AQ63+1)*($I128-SUM($W128:AP128))*IF(AQ63&gt;1,AQ$19,1),0),0)</f>
        <v>0</v>
      </c>
      <c r="AR128" s="46">
        <f>IF(YEAR(AR$4)&gt;YEAR($E128),IF(AR$18,2/(AR63+1)*($I128-SUM($W128:AQ128))*IF(AR63&gt;1,AR$19,1),0),0)</f>
        <v>0</v>
      </c>
      <c r="AS128" s="46">
        <f>IF(YEAR(AS$4)&gt;YEAR($E128),IF(AS$18,2/(AS63+1)*($I128-SUM($W128:AR128))*IF(AS63&gt;1,AS$19,1),0),0)</f>
        <v>0</v>
      </c>
      <c r="AT128" s="172">
        <f>IF(YEAR(AT$4)&gt;YEAR($E128),IF(AT$18,2/(AT63+1)*($I128-SUM($W128:AS128))*IF(AT63&gt;1,AT$19,1),0),0)</f>
        <v>0</v>
      </c>
      <c r="AU128" s="153">
        <f>IF(YEAR(AU$4)&gt;YEAR($E128),IF(AU$18,2/(AU63+1)*($I128-SUM($W128:AT128))*IF(AU63&gt;1,AU$19,1),0),0)</f>
        <v>0</v>
      </c>
      <c r="AV128" s="46">
        <f>IF(YEAR(AV$4)&gt;YEAR($E128),IF(AV$18,2/(AV63+1)*($I128-SUM($W128:AU128))*IF(AV63&gt;1,AV$19,1),0),0)</f>
        <v>0</v>
      </c>
      <c r="AW128" s="46">
        <f>IF(YEAR(AW$4)&gt;YEAR($E128),IF(AW$18,2/(AW63+1)*($I128-SUM($W128:AV128))*IF(AW63&gt;1,AW$19,1),0),0)</f>
        <v>0</v>
      </c>
      <c r="AX128" s="46">
        <f>IF(YEAR(AX$4)&gt;YEAR($E128),IF(AX$18,2/(AX63+1)*($I128-SUM($W128:AW128))*IF(AX63&gt;1,AX$19,1),0),0)</f>
        <v>0</v>
      </c>
      <c r="AY128" s="46">
        <f>IF(YEAR(AY$4)&gt;YEAR($E128),IF(AY$18,2/(AY63+1)*($I128-SUM($W128:AX128))*IF(AY63&gt;1,AY$19,1),0),0)</f>
        <v>0</v>
      </c>
      <c r="BA128" s="88" t="str">
        <f t="shared" ca="1" si="57"/>
        <v>Depreciation</v>
      </c>
      <c r="BB128" s="1" t="str">
        <f t="shared" si="58"/>
        <v>Sum of digits</v>
      </c>
      <c r="BC128" s="1" t="str">
        <f t="shared" si="59"/>
        <v>Accelerated profile</v>
      </c>
    </row>
    <row r="129" spans="2:55" x14ac:dyDescent="0.35">
      <c r="E129" s="2">
        <v>44286</v>
      </c>
      <c r="G129" t="s">
        <v>109</v>
      </c>
      <c r="I129" s="46">
        <f t="shared" si="56"/>
        <v>0.60869565217391308</v>
      </c>
      <c r="J129" t="s">
        <v>13</v>
      </c>
      <c r="X129" s="46">
        <f>IF(YEAR(X$4)&gt;YEAR($E129),IF(X$18,2/(X64+1)*($I129-SUM($W129:W129))*IF(X64&gt;1,X$19,1),0),0)</f>
        <v>0</v>
      </c>
      <c r="Y129" s="46">
        <f>IF(YEAR(Y$4)&gt;YEAR($E129),IF(Y$18,2/(Y64+1)*($I129-SUM($W129:X129))*IF(Y64&gt;1,Y$19,1),0),0)</f>
        <v>0</v>
      </c>
      <c r="Z129" s="46">
        <f>IF(YEAR(Z$4)&gt;YEAR($E129),IF(Z$18,2/(Z64+1)*($I129-SUM($W129:Y129))*IF(Z64&gt;1,Z$19,1),0),0)</f>
        <v>0</v>
      </c>
      <c r="AA129" s="46">
        <f>IF(YEAR(AA$4)&gt;YEAR($E129),IF(AA$18,2/(AA64+1)*($I129-SUM($W129:Z129))*IF(AA64&gt;1,AA$19,1),0),0)</f>
        <v>0</v>
      </c>
      <c r="AB129" s="46">
        <f>IF(YEAR(AB$4)&gt;YEAR($E129),IF(AB$18,2/(AB64+1)*($I129-SUM($W129:AA129))*IF(AB64&gt;1,AB$19,1),0),0)</f>
        <v>0</v>
      </c>
      <c r="AC129" s="46">
        <f>IF(YEAR(AC$4)&gt;YEAR($E129),IF(AC$18,2/(AC64+1)*($I129-SUM($W129:AB129))*IF(AC64&gt;1,AC$19,1),0),0)</f>
        <v>0</v>
      </c>
      <c r="AD129" s="46">
        <f>IF(YEAR(AD$4)&gt;YEAR($E129),IF(AD$18,2/(AD64+1)*($I129-SUM($W129:AC129))*IF(AD64&gt;1,AD$19,1),0),0)</f>
        <v>0</v>
      </c>
      <c r="AE129" s="46">
        <f>IF(YEAR(AE$4)&gt;YEAR($E129),IF(AE$18,2/(AE64+1)*($I129-SUM($W129:AD129))*IF(AE64&gt;1,AE$19,1),0),0)</f>
        <v>0</v>
      </c>
      <c r="AF129" s="46">
        <f>IF(YEAR(AF$4)&gt;YEAR($E129),IF(AF$18,2/(AF64+1)*($I129-SUM($W129:AE129))*IF(AF64&gt;1,AF$19,1),0),0)</f>
        <v>0</v>
      </c>
      <c r="AG129" s="46">
        <f>IF(YEAR(AG$4)&gt;YEAR($E129),IF(AG$18,2/(AG64+1)*($I129-SUM($W129:AF129))*IF(AG64&gt;1,AG$19,1),0),0)</f>
        <v>0</v>
      </c>
      <c r="AH129" s="46">
        <f>IF(YEAR(AH$4)&gt;YEAR($E129),IF(AH$18,2/(AH64+1)*($I129-SUM($W129:AG129))*IF(AH64&gt;1,AH$19,1),0),0)</f>
        <v>0</v>
      </c>
      <c r="AI129" s="46">
        <f>IF(YEAR(AI$4)&gt;YEAR($E129),IF(AI$18,2/(AI64+1)*($I129-SUM($W129:AH129))*IF(AI64&gt;1,AI$19,1),0),0)</f>
        <v>0</v>
      </c>
      <c r="AJ129" s="46">
        <f>IF(YEAR(AJ$4)&gt;YEAR($E129),IF(AJ$18,2/(AJ64+1)*($I129-SUM($W129:AI129))*IF(AJ64&gt;1,AJ$19,1),0),0)</f>
        <v>0</v>
      </c>
      <c r="AK129" s="46">
        <f>IF(YEAR(AK$4)&gt;YEAR($E129),IF(AK$18,2/(AK64+1)*($I129-SUM($W129:AJ129))*IF(AK64&gt;1,AK$19,1),0),0)</f>
        <v>0</v>
      </c>
      <c r="AL129" s="46">
        <f>IF(YEAR(AL$4)&gt;YEAR($E129),IF(AL$18,2/(AL64+1)*($I129-SUM($W129:AK129))*IF(AL64&gt;1,AL$19,1),0),0)</f>
        <v>0</v>
      </c>
      <c r="AM129" s="46">
        <f>IF(YEAR(AM$4)&gt;YEAR($E129),IF(AM$18,2/(AM64+1)*($I129-SUM($W129:AL129))*IF(AM64&gt;1,AM$19,1),0),0)</f>
        <v>0</v>
      </c>
      <c r="AN129" s="46">
        <f>IF(YEAR(AN$4)&gt;YEAR($E129),IF(AN$18,2/(AN64+1)*($I129-SUM($W129:AM129))*IF(AN64&gt;1,AN$19,1),0),0)</f>
        <v>0</v>
      </c>
      <c r="AO129" s="46">
        <f>IF(YEAR(AO$4)&gt;YEAR($E129),IF(AO$18,2/(AO64+1)*($I129-SUM($W129:AN129))*IF(AO64&gt;1,AO$19,1),0),0)</f>
        <v>0</v>
      </c>
      <c r="AP129" s="46">
        <f>IF(YEAR(AP$4)&gt;YEAR($E129),IF(AP$18,2/(AP64+1)*($I129-SUM($W129:AO129))*IF(AP64&gt;1,AP$19,1),0),0)</f>
        <v>0</v>
      </c>
      <c r="AQ129" s="46">
        <f>IF(YEAR(AQ$4)&gt;YEAR($E129),IF(AQ$18,2/(AQ64+1)*($I129-SUM($W129:AP129))*IF(AQ64&gt;1,AQ$19,1),0),0)</f>
        <v>0</v>
      </c>
      <c r="AR129" s="46">
        <f>IF(YEAR(AR$4)&gt;YEAR($E129),IF(AR$18,2/(AR64+1)*($I129-SUM($W129:AQ129))*IF(AR64&gt;1,AR$19,1),0),0)</f>
        <v>0</v>
      </c>
      <c r="AS129" s="46">
        <f>IF(YEAR(AS$4)&gt;YEAR($E129),IF(AS$18,2/(AS64+1)*($I129-SUM($W129:AR129))*IF(AS64&gt;1,AS$19,1),0),0)</f>
        <v>0</v>
      </c>
      <c r="AT129" s="172">
        <f>IF(YEAR(AT$4)&gt;YEAR($E129),IF(AT$18,2/(AT64+1)*($I129-SUM($W129:AS129))*IF(AT64&gt;1,AT$19,1),0),0)</f>
        <v>0</v>
      </c>
      <c r="AU129" s="153">
        <f>IF(YEAR(AU$4)&gt;YEAR($E129),IF(AU$18,2/(AU64+1)*($I129-SUM($W129:AT129))*IF(AU64&gt;1,AU$19,1),0),0)</f>
        <v>0</v>
      </c>
      <c r="AV129" s="46">
        <f>IF(YEAR(AV$4)&gt;YEAR($E129),IF(AV$18,2/(AV64+1)*($I129-SUM($W129:AU129))*IF(AV64&gt;1,AV$19,1),0),0)</f>
        <v>0</v>
      </c>
      <c r="AW129" s="46">
        <f>IF(YEAR(AW$4)&gt;YEAR($E129),IF(AW$18,2/(AW64+1)*($I129-SUM($W129:AV129))*IF(AW64&gt;1,AW$19,1),0),0)</f>
        <v>0</v>
      </c>
      <c r="AX129" s="46">
        <f>IF(YEAR(AX$4)&gt;YEAR($E129),IF(AX$18,2/(AX64+1)*($I129-SUM($W129:AW129))*IF(AX64&gt;1,AX$19,1),0),0)</f>
        <v>0</v>
      </c>
      <c r="AY129" s="46">
        <f>IF(YEAR(AY$4)&gt;YEAR($E129),IF(AY$18,2/(AY64+1)*($I129-SUM($W129:AX129))*IF(AY64&gt;1,AY$19,1),0),0)</f>
        <v>0</v>
      </c>
      <c r="BA129" s="88" t="str">
        <f t="shared" ca="1" si="57"/>
        <v>Depreciation</v>
      </c>
      <c r="BB129" s="1" t="str">
        <f t="shared" si="58"/>
        <v>Sum of digits</v>
      </c>
      <c r="BC129" s="1" t="str">
        <f t="shared" si="59"/>
        <v>Accelerated profile</v>
      </c>
    </row>
    <row r="130" spans="2:55" x14ac:dyDescent="0.35">
      <c r="E130" s="2">
        <v>44651</v>
      </c>
      <c r="G130" t="s">
        <v>109</v>
      </c>
      <c r="I130" s="46">
        <f t="shared" si="56"/>
        <v>0.64347826086956528</v>
      </c>
      <c r="J130" t="s">
        <v>13</v>
      </c>
      <c r="X130" s="46">
        <f>IF(YEAR(X$4)&gt;YEAR($E130),IF(X$18,2/(X65+1)*($I130-SUM($W130:W130))*IF(X65&gt;1,X$19,1),0),0)</f>
        <v>0</v>
      </c>
      <c r="Y130" s="46">
        <f>IF(YEAR(Y$4)&gt;YEAR($E130),IF(Y$18,2/(Y65+1)*($I130-SUM($W130:X130))*IF(Y65&gt;1,Y$19,1),0),0)</f>
        <v>0</v>
      </c>
      <c r="Z130" s="46">
        <f>IF(YEAR(Z$4)&gt;YEAR($E130),IF(Z$18,2/(Z65+1)*($I130-SUM($W130:Y130))*IF(Z65&gt;1,Z$19,1),0),0)</f>
        <v>0</v>
      </c>
      <c r="AA130" s="46">
        <f>IF(YEAR(AA$4)&gt;YEAR($E130),IF(AA$18,2/(AA65+1)*($I130-SUM($W130:Z130))*IF(AA65&gt;1,AA$19,1),0),0)</f>
        <v>0</v>
      </c>
      <c r="AB130" s="46">
        <f>IF(YEAR(AB$4)&gt;YEAR($E130),IF(AB$18,2/(AB65+1)*($I130-SUM($W130:AA130))*IF(AB65&gt;1,AB$19,1),0),0)</f>
        <v>0</v>
      </c>
      <c r="AC130" s="46">
        <f>IF(YEAR(AC$4)&gt;YEAR($E130),IF(AC$18,2/(AC65+1)*($I130-SUM($W130:AB130))*IF(AC65&gt;1,AC$19,1),0),0)</f>
        <v>0</v>
      </c>
      <c r="AD130" s="46">
        <f>IF(YEAR(AD$4)&gt;YEAR($E130),IF(AD$18,2/(AD65+1)*($I130-SUM($W130:AC130))*IF(AD65&gt;1,AD$19,1),0),0)</f>
        <v>0</v>
      </c>
      <c r="AE130" s="46">
        <f>IF(YEAR(AE$4)&gt;YEAR($E130),IF(AE$18,2/(AE65+1)*($I130-SUM($W130:AD130))*IF(AE65&gt;1,AE$19,1),0),0)</f>
        <v>0</v>
      </c>
      <c r="AF130" s="46">
        <f>IF(YEAR(AF$4)&gt;YEAR($E130),IF(AF$18,2/(AF65+1)*($I130-SUM($W130:AE130))*IF(AF65&gt;1,AF$19,1),0),0)</f>
        <v>0</v>
      </c>
      <c r="AG130" s="46">
        <f>IF(YEAR(AG$4)&gt;YEAR($E130),IF(AG$18,2/(AG65+1)*($I130-SUM($W130:AF130))*IF(AG65&gt;1,AG$19,1),0),0)</f>
        <v>0</v>
      </c>
      <c r="AH130" s="46">
        <f>IF(YEAR(AH$4)&gt;YEAR($E130),IF(AH$18,2/(AH65+1)*($I130-SUM($W130:AG130))*IF(AH65&gt;1,AH$19,1),0),0)</f>
        <v>0</v>
      </c>
      <c r="AI130" s="46">
        <f>IF(YEAR(AI$4)&gt;YEAR($E130),IF(AI$18,2/(AI65+1)*($I130-SUM($W130:AH130))*IF(AI65&gt;1,AI$19,1),0),0)</f>
        <v>0</v>
      </c>
      <c r="AJ130" s="46">
        <f>IF(YEAR(AJ$4)&gt;YEAR($E130),IF(AJ$18,2/(AJ65+1)*($I130-SUM($W130:AI130))*IF(AJ65&gt;1,AJ$19,1),0),0)</f>
        <v>0</v>
      </c>
      <c r="AK130" s="46">
        <f>IF(YEAR(AK$4)&gt;YEAR($E130),IF(AK$18,2/(AK65+1)*($I130-SUM($W130:AJ130))*IF(AK65&gt;1,AK$19,1),0),0)</f>
        <v>0</v>
      </c>
      <c r="AL130" s="46">
        <f>IF(YEAR(AL$4)&gt;YEAR($E130),IF(AL$18,2/(AL65+1)*($I130-SUM($W130:AK130))*IF(AL65&gt;1,AL$19,1),0),0)</f>
        <v>0</v>
      </c>
      <c r="AM130" s="46">
        <f>IF(YEAR(AM$4)&gt;YEAR($E130),IF(AM$18,2/(AM65+1)*($I130-SUM($W130:AL130))*IF(AM65&gt;1,AM$19,1),0),0)</f>
        <v>0</v>
      </c>
      <c r="AN130" s="46">
        <f>IF(YEAR(AN$4)&gt;YEAR($E130),IF(AN$18,2/(AN65+1)*($I130-SUM($W130:AM130))*IF(AN65&gt;1,AN$19,1),0),0)</f>
        <v>0</v>
      </c>
      <c r="AO130" s="46">
        <f>IF(YEAR(AO$4)&gt;YEAR($E130),IF(AO$18,2/(AO65+1)*($I130-SUM($W130:AN130))*IF(AO65&gt;1,AO$19,1),0),0)</f>
        <v>0</v>
      </c>
      <c r="AP130" s="46">
        <f>IF(YEAR(AP$4)&gt;YEAR($E130),IF(AP$18,2/(AP65+1)*($I130-SUM($W130:AO130))*IF(AP65&gt;1,AP$19,1),0),0)</f>
        <v>0</v>
      </c>
      <c r="AQ130" s="46">
        <f>IF(YEAR(AQ$4)&gt;YEAR($E130),IF(AQ$18,2/(AQ65+1)*($I130-SUM($W130:AP130))*IF(AQ65&gt;1,AQ$19,1),0),0)</f>
        <v>0</v>
      </c>
      <c r="AR130" s="46">
        <f>IF(YEAR(AR$4)&gt;YEAR($E130),IF(AR$18,2/(AR65+1)*($I130-SUM($W130:AQ130))*IF(AR65&gt;1,AR$19,1),0),0)</f>
        <v>0</v>
      </c>
      <c r="AS130" s="46">
        <f>IF(YEAR(AS$4)&gt;YEAR($E130),IF(AS$18,2/(AS65+1)*($I130-SUM($W130:AR130))*IF(AS65&gt;1,AS$19,1),0),0)</f>
        <v>0</v>
      </c>
      <c r="AT130" s="172">
        <f>IF(YEAR(AT$4)&gt;YEAR($E130),IF(AT$18,2/(AT65+1)*($I130-SUM($W130:AS130))*IF(AT65&gt;1,AT$19,1),0),0)</f>
        <v>0</v>
      </c>
      <c r="AU130" s="153">
        <f>IF(YEAR(AU$4)&gt;YEAR($E130),IF(AU$18,2/(AU65+1)*($I130-SUM($W130:AT130))*IF(AU65&gt;1,AU$19,1),0),0)</f>
        <v>0</v>
      </c>
      <c r="AV130" s="46">
        <f>IF(YEAR(AV$4)&gt;YEAR($E130),IF(AV$18,2/(AV65+1)*($I130-SUM($W130:AU130))*IF(AV65&gt;1,AV$19,1),0),0)</f>
        <v>0</v>
      </c>
      <c r="AW130" s="46">
        <f>IF(YEAR(AW$4)&gt;YEAR($E130),IF(AW$18,2/(AW65+1)*($I130-SUM($W130:AV130))*IF(AW65&gt;1,AW$19,1),0),0)</f>
        <v>0</v>
      </c>
      <c r="AX130" s="46">
        <f>IF(YEAR(AX$4)&gt;YEAR($E130),IF(AX$18,2/(AX65+1)*($I130-SUM($W130:AW130))*IF(AX65&gt;1,AX$19,1),0),0)</f>
        <v>0</v>
      </c>
      <c r="AY130" s="46">
        <f>IF(YEAR(AY$4)&gt;YEAR($E130),IF(AY$18,2/(AY65+1)*($I130-SUM($W130:AX130))*IF(AY65&gt;1,AY$19,1),0),0)</f>
        <v>0</v>
      </c>
      <c r="BA130" s="88" t="str">
        <f t="shared" ca="1" si="57"/>
        <v>Depreciation</v>
      </c>
      <c r="BB130" s="1" t="str">
        <f t="shared" si="58"/>
        <v>Sum of digits</v>
      </c>
      <c r="BC130" s="1" t="str">
        <f t="shared" si="59"/>
        <v>Accelerated profile</v>
      </c>
    </row>
    <row r="131" spans="2:55" x14ac:dyDescent="0.35">
      <c r="E131" s="2">
        <v>45016</v>
      </c>
      <c r="G131" t="s">
        <v>109</v>
      </c>
      <c r="I131" s="46">
        <f t="shared" si="56"/>
        <v>0.67922705314009657</v>
      </c>
      <c r="J131" t="s">
        <v>13</v>
      </c>
      <c r="X131" s="46">
        <f>IF(YEAR(X$4)&gt;YEAR($E131),IF(X$18,2/(X66+1)*($I131-SUM($W131:W131))*IF(X66&gt;1,X$19,1),0),0)</f>
        <v>0</v>
      </c>
      <c r="Y131" s="46">
        <f>IF(YEAR(Y$4)&gt;YEAR($E131),IF(Y$18,2/(Y66+1)*($I131-SUM($W131:X131))*IF(Y66&gt;1,Y$19,1),0),0)</f>
        <v>0</v>
      </c>
      <c r="Z131" s="46">
        <f>IF(YEAR(Z$4)&gt;YEAR($E131),IF(Z$18,2/(Z66+1)*($I131-SUM($W131:Y131))*IF(Z66&gt;1,Z$19,1),0),0)</f>
        <v>0</v>
      </c>
      <c r="AA131" s="46">
        <f>IF(YEAR(AA$4)&gt;YEAR($E131),IF(AA$18,2/(AA66+1)*($I131-SUM($W131:Z131))*IF(AA66&gt;1,AA$19,1),0),0)</f>
        <v>0</v>
      </c>
      <c r="AB131" s="46">
        <f>IF(YEAR(AB$4)&gt;YEAR($E131),IF(AB$18,2/(AB66+1)*($I131-SUM($W131:AA131))*IF(AB66&gt;1,AB$19,1),0),0)</f>
        <v>0</v>
      </c>
      <c r="AC131" s="46">
        <f>IF(YEAR(AC$4)&gt;YEAR($E131),IF(AC$18,2/(AC66+1)*($I131-SUM($W131:AB131))*IF(AC66&gt;1,AC$19,1),0),0)</f>
        <v>0</v>
      </c>
      <c r="AD131" s="46">
        <f>IF(YEAR(AD$4)&gt;YEAR($E131),IF(AD$18,2/(AD66+1)*($I131-SUM($W131:AC131))*IF(AD66&gt;1,AD$19,1),0),0)</f>
        <v>0</v>
      </c>
      <c r="AE131" s="46">
        <f>IF(YEAR(AE$4)&gt;YEAR($E131),IF(AE$18,2/(AE66+1)*($I131-SUM($W131:AD131))*IF(AE66&gt;1,AE$19,1),0),0)</f>
        <v>0</v>
      </c>
      <c r="AF131" s="46">
        <f>IF(YEAR(AF$4)&gt;YEAR($E131),IF(AF$18,2/(AF66+1)*($I131-SUM($W131:AE131))*IF(AF66&gt;1,AF$19,1),0),0)</f>
        <v>0</v>
      </c>
      <c r="AG131" s="46">
        <f>IF(YEAR(AG$4)&gt;YEAR($E131),IF(AG$18,2/(AG66+1)*($I131-SUM($W131:AF131))*IF(AG66&gt;1,AG$19,1),0),0)</f>
        <v>0</v>
      </c>
      <c r="AH131" s="46">
        <f>IF(YEAR(AH$4)&gt;YEAR($E131),IF(AH$18,2/(AH66+1)*($I131-SUM($W131:AG131))*IF(AH66&gt;1,AH$19,1),0),0)</f>
        <v>0</v>
      </c>
      <c r="AI131" s="46">
        <f>IF(YEAR(AI$4)&gt;YEAR($E131),IF(AI$18,2/(AI66+1)*($I131-SUM($W131:AH131))*IF(AI66&gt;1,AI$19,1),0),0)</f>
        <v>0</v>
      </c>
      <c r="AJ131" s="46">
        <f>IF(YEAR(AJ$4)&gt;YEAR($E131),IF(AJ$18,2/(AJ66+1)*($I131-SUM($W131:AI131))*IF(AJ66&gt;1,AJ$19,1),0),0)</f>
        <v>0</v>
      </c>
      <c r="AK131" s="46">
        <f>IF(YEAR(AK$4)&gt;YEAR($E131),IF(AK$18,2/(AK66+1)*($I131-SUM($W131:AJ131))*IF(AK66&gt;1,AK$19,1),0),0)</f>
        <v>0</v>
      </c>
      <c r="AL131" s="46">
        <f>IF(YEAR(AL$4)&gt;YEAR($E131),IF(AL$18,2/(AL66+1)*($I131-SUM($W131:AK131))*IF(AL66&gt;1,AL$19,1),0),0)</f>
        <v>0</v>
      </c>
      <c r="AM131" s="46">
        <f>IF(YEAR(AM$4)&gt;YEAR($E131),IF(AM$18,2/(AM66+1)*($I131-SUM($W131:AL131))*IF(AM66&gt;1,AM$19,1),0),0)</f>
        <v>0</v>
      </c>
      <c r="AN131" s="46">
        <f>IF(YEAR(AN$4)&gt;YEAR($E131),IF(AN$18,2/(AN66+1)*($I131-SUM($W131:AM131))*IF(AN66&gt;1,AN$19,1),0),0)</f>
        <v>0</v>
      </c>
      <c r="AO131" s="46">
        <f>IF(YEAR(AO$4)&gt;YEAR($E131),IF(AO$18,2/(AO66+1)*($I131-SUM($W131:AN131))*IF(AO66&gt;1,AO$19,1),0),0)</f>
        <v>0</v>
      </c>
      <c r="AP131" s="46">
        <f>IF(YEAR(AP$4)&gt;YEAR($E131),IF(AP$18,2/(AP66+1)*($I131-SUM($W131:AO131))*IF(AP66&gt;1,AP$19,1),0),0)</f>
        <v>0</v>
      </c>
      <c r="AQ131" s="46">
        <f>IF(YEAR(AQ$4)&gt;YEAR($E131),IF(AQ$18,2/(AQ66+1)*($I131-SUM($W131:AP131))*IF(AQ66&gt;1,AQ$19,1),0),0)</f>
        <v>0</v>
      </c>
      <c r="AR131" s="46">
        <f>IF(YEAR(AR$4)&gt;YEAR($E131),IF(AR$18,2/(AR66+1)*($I131-SUM($W131:AQ131))*IF(AR66&gt;1,AR$19,1),0),0)</f>
        <v>0</v>
      </c>
      <c r="AS131" s="46">
        <f>IF(YEAR(AS$4)&gt;YEAR($E131),IF(AS$18,2/(AS66+1)*($I131-SUM($W131:AR131))*IF(AS66&gt;1,AS$19,1),0),0)</f>
        <v>0</v>
      </c>
      <c r="AT131" s="172">
        <f>IF(YEAR(AT$4)&gt;YEAR($E131),IF(AT$18,2/(AT66+1)*($I131-SUM($W131:AS131))*IF(AT66&gt;1,AT$19,1),0),0)</f>
        <v>0</v>
      </c>
      <c r="AU131" s="153">
        <f>IF(YEAR(AU$4)&gt;YEAR($E131),IF(AU$18,2/(AU66+1)*($I131-SUM($W131:AT131))*IF(AU66&gt;1,AU$19,1),0),0)</f>
        <v>0</v>
      </c>
      <c r="AV131" s="46">
        <f>IF(YEAR(AV$4)&gt;YEAR($E131),IF(AV$18,2/(AV66+1)*($I131-SUM($W131:AU131))*IF(AV66&gt;1,AV$19,1),0),0)</f>
        <v>0</v>
      </c>
      <c r="AW131" s="46">
        <f>IF(YEAR(AW$4)&gt;YEAR($E131),IF(AW$18,2/(AW66+1)*($I131-SUM($W131:AV131))*IF(AW66&gt;1,AW$19,1),0),0)</f>
        <v>0</v>
      </c>
      <c r="AX131" s="46">
        <f>IF(YEAR(AX$4)&gt;YEAR($E131),IF(AX$18,2/(AX66+1)*($I131-SUM($W131:AW131))*IF(AX66&gt;1,AX$19,1),0),0)</f>
        <v>0</v>
      </c>
      <c r="AY131" s="46">
        <f>IF(YEAR(AY$4)&gt;YEAR($E131),IF(AY$18,2/(AY66+1)*($I131-SUM($W131:AX131))*IF(AY66&gt;1,AY$19,1),0),0)</f>
        <v>0</v>
      </c>
      <c r="BA131" s="88" t="str">
        <f t="shared" ca="1" si="57"/>
        <v>Depreciation</v>
      </c>
      <c r="BB131" s="1" t="str">
        <f t="shared" si="58"/>
        <v>Sum of digits</v>
      </c>
      <c r="BC131" s="1" t="str">
        <f t="shared" si="59"/>
        <v>Accelerated profile</v>
      </c>
    </row>
    <row r="132" spans="2:55" x14ac:dyDescent="0.35">
      <c r="E132" s="2">
        <v>45382</v>
      </c>
      <c r="G132" t="s">
        <v>109</v>
      </c>
      <c r="I132" s="46">
        <f t="shared" si="56"/>
        <v>0.71594202898550718</v>
      </c>
      <c r="J132" t="s">
        <v>13</v>
      </c>
      <c r="X132" s="46">
        <f>IF(YEAR(X$4)&gt;YEAR($E132),IF(X$18,2/(X67+1)*($I132-SUM($W132:W132))*IF(X67&gt;1,X$19,1),0),0)</f>
        <v>0</v>
      </c>
      <c r="Y132" s="46">
        <f>IF(YEAR(Y$4)&gt;YEAR($E132),IF(Y$18,2/(Y67+1)*($I132-SUM($W132:X132))*IF(Y67&gt;1,Y$19,1),0),0)</f>
        <v>0</v>
      </c>
      <c r="Z132" s="46">
        <f>IF(YEAR(Z$4)&gt;YEAR($E132),IF(Z$18,2/(Z67+1)*($I132-SUM($W132:Y132))*IF(Z67&gt;1,Z$19,1),0),0)</f>
        <v>0</v>
      </c>
      <c r="AA132" s="46">
        <f>IF(YEAR(AA$4)&gt;YEAR($E132),IF(AA$18,2/(AA67+1)*($I132-SUM($W132:Z132))*IF(AA67&gt;1,AA$19,1),0),0)</f>
        <v>0</v>
      </c>
      <c r="AB132" s="46">
        <f>IF(YEAR(AB$4)&gt;YEAR($E132),IF(AB$18,2/(AB67+1)*($I132-SUM($W132:AA132))*IF(AB67&gt;1,AB$19,1),0),0)</f>
        <v>0</v>
      </c>
      <c r="AC132" s="46">
        <f>IF(YEAR(AC$4)&gt;YEAR($E132),IF(AC$18,2/(AC67+1)*($I132-SUM($W132:AB132))*IF(AC67&gt;1,AC$19,1),0),0)</f>
        <v>0</v>
      </c>
      <c r="AD132" s="46">
        <f>IF(YEAR(AD$4)&gt;YEAR($E132),IF(AD$18,2/(AD67+1)*($I132-SUM($W132:AC132))*IF(AD67&gt;1,AD$19,1),0),0)</f>
        <v>0</v>
      </c>
      <c r="AE132" s="46">
        <f>IF(YEAR(AE$4)&gt;YEAR($E132),IF(AE$18,2/(AE67+1)*($I132-SUM($W132:AD132))*IF(AE67&gt;1,AE$19,1),0),0)</f>
        <v>0</v>
      </c>
      <c r="AF132" s="46">
        <f>IF(YEAR(AF$4)&gt;YEAR($E132),IF(AF$18,2/(AF67+1)*($I132-SUM($W132:AE132))*IF(AF67&gt;1,AF$19,1),0),0)</f>
        <v>0</v>
      </c>
      <c r="AG132" s="46">
        <f>IF(YEAR(AG$4)&gt;YEAR($E132),IF(AG$18,2/(AG67+1)*($I132-SUM($W132:AF132))*IF(AG67&gt;1,AG$19,1),0),0)</f>
        <v>0</v>
      </c>
      <c r="AH132" s="46">
        <f>IF(YEAR(AH$4)&gt;YEAR($E132),IF(AH$18,2/(AH67+1)*($I132-SUM($W132:AG132))*IF(AH67&gt;1,AH$19,1),0),0)</f>
        <v>0</v>
      </c>
      <c r="AI132" s="46">
        <f>IF(YEAR(AI$4)&gt;YEAR($E132),IF(AI$18,2/(AI67+1)*($I132-SUM($W132:AH132))*IF(AI67&gt;1,AI$19,1),0),0)</f>
        <v>0</v>
      </c>
      <c r="AJ132" s="46">
        <f>IF(YEAR(AJ$4)&gt;YEAR($E132),IF(AJ$18,2/(AJ67+1)*($I132-SUM($W132:AI132))*IF(AJ67&gt;1,AJ$19,1),0),0)</f>
        <v>0</v>
      </c>
      <c r="AK132" s="46">
        <f>IF(YEAR(AK$4)&gt;YEAR($E132),IF(AK$18,2/(AK67+1)*($I132-SUM($W132:AJ132))*IF(AK67&gt;1,AK$19,1),0),0)</f>
        <v>0</v>
      </c>
      <c r="AL132" s="46">
        <f>IF(YEAR(AL$4)&gt;YEAR($E132),IF(AL$18,2/(AL67+1)*($I132-SUM($W132:AK132))*IF(AL67&gt;1,AL$19,1),0),0)</f>
        <v>0</v>
      </c>
      <c r="AM132" s="46">
        <f>IF(YEAR(AM$4)&gt;YEAR($E132),IF(AM$18,2/(AM67+1)*($I132-SUM($W132:AL132))*IF(AM67&gt;1,AM$19,1),0),0)</f>
        <v>0</v>
      </c>
      <c r="AN132" s="46">
        <f>IF(YEAR(AN$4)&gt;YEAR($E132),IF(AN$18,2/(AN67+1)*($I132-SUM($W132:AM132))*IF(AN67&gt;1,AN$19,1),0),0)</f>
        <v>0</v>
      </c>
      <c r="AO132" s="46">
        <f>IF(YEAR(AO$4)&gt;YEAR($E132),IF(AO$18,2/(AO67+1)*($I132-SUM($W132:AN132))*IF(AO67&gt;1,AO$19,1),0),0)</f>
        <v>0</v>
      </c>
      <c r="AP132" s="46">
        <f>IF(YEAR(AP$4)&gt;YEAR($E132),IF(AP$18,2/(AP67+1)*($I132-SUM($W132:AO132))*IF(AP67&gt;1,AP$19,1),0),0)</f>
        <v>0</v>
      </c>
      <c r="AQ132" s="46">
        <f>IF(YEAR(AQ$4)&gt;YEAR($E132),IF(AQ$18,2/(AQ67+1)*($I132-SUM($W132:AP132))*IF(AQ67&gt;1,AQ$19,1),0),0)</f>
        <v>0</v>
      </c>
      <c r="AR132" s="46">
        <f>IF(YEAR(AR$4)&gt;YEAR($E132),IF(AR$18,2/(AR67+1)*($I132-SUM($W132:AQ132))*IF(AR67&gt;1,AR$19,1),0),0)</f>
        <v>0</v>
      </c>
      <c r="AS132" s="46">
        <f>IF(YEAR(AS$4)&gt;YEAR($E132),IF(AS$18,2/(AS67+1)*($I132-SUM($W132:AR132))*IF(AS67&gt;1,AS$19,1),0),0)</f>
        <v>0</v>
      </c>
      <c r="AT132" s="172">
        <f>IF(YEAR(AT$4)&gt;YEAR($E132),IF(AT$18,2/(AT67+1)*($I132-SUM($W132:AS132))*IF(AT67&gt;1,AT$19,1),0),0)</f>
        <v>0</v>
      </c>
      <c r="AU132" s="153">
        <f>IF(YEAR(AU$4)&gt;YEAR($E132),IF(AU$18,2/(AU67+1)*($I132-SUM($W132:AT132))*IF(AU67&gt;1,AU$19,1),0),0)</f>
        <v>0</v>
      </c>
      <c r="AV132" s="46">
        <f>IF(YEAR(AV$4)&gt;YEAR($E132),IF(AV$18,2/(AV67+1)*($I132-SUM($W132:AU132))*IF(AV67&gt;1,AV$19,1),0),0)</f>
        <v>0</v>
      </c>
      <c r="AW132" s="46">
        <f>IF(YEAR(AW$4)&gt;YEAR($E132),IF(AW$18,2/(AW67+1)*($I132-SUM($W132:AV132))*IF(AW67&gt;1,AW$19,1),0),0)</f>
        <v>0</v>
      </c>
      <c r="AX132" s="46">
        <f>IF(YEAR(AX$4)&gt;YEAR($E132),IF(AX$18,2/(AX67+1)*($I132-SUM($W132:AW132))*IF(AX67&gt;1,AX$19,1),0),0)</f>
        <v>0</v>
      </c>
      <c r="AY132" s="46">
        <f>IF(YEAR(AY$4)&gt;YEAR($E132),IF(AY$18,2/(AY67+1)*($I132-SUM($W132:AX132))*IF(AY67&gt;1,AY$19,1),0),0)</f>
        <v>0</v>
      </c>
      <c r="BA132" s="88" t="str">
        <f t="shared" ca="1" si="57"/>
        <v>Depreciation</v>
      </c>
      <c r="BB132" s="1" t="str">
        <f t="shared" si="58"/>
        <v>Sum of digits</v>
      </c>
      <c r="BC132" s="1" t="str">
        <f t="shared" si="59"/>
        <v>Accelerated profile</v>
      </c>
    </row>
    <row r="133" spans="2:55" x14ac:dyDescent="0.35">
      <c r="E133" s="2">
        <v>45747</v>
      </c>
      <c r="G133" t="s">
        <v>109</v>
      </c>
      <c r="I133" s="46">
        <f t="shared" si="56"/>
        <v>0.75362318840579712</v>
      </c>
      <c r="J133" t="s">
        <v>13</v>
      </c>
      <c r="X133" s="46">
        <f>IF(YEAR(X$4)&gt;YEAR($E133),IF(X$18,2/(X68+1)*($I133-SUM($W133:W133))*IF(X68&gt;1,X$19,1),0),0)</f>
        <v>0</v>
      </c>
      <c r="Y133" s="46">
        <f>IF(YEAR(Y$4)&gt;YEAR($E133),IF(Y$18,2/(Y68+1)*($I133-SUM($W133:X133))*IF(Y68&gt;1,Y$19,1),0),0)</f>
        <v>0</v>
      </c>
      <c r="Z133" s="46">
        <f>IF(YEAR(Z$4)&gt;YEAR($E133),IF(Z$18,2/(Z68+1)*($I133-SUM($W133:Y133))*IF(Z68&gt;1,Z$19,1),0),0)</f>
        <v>0</v>
      </c>
      <c r="AA133" s="46">
        <f>IF(YEAR(AA$4)&gt;YEAR($E133),IF(AA$18,2/(AA68+1)*($I133-SUM($W133:Z133))*IF(AA68&gt;1,AA$19,1),0),0)</f>
        <v>0</v>
      </c>
      <c r="AB133" s="46">
        <f>IF(YEAR(AB$4)&gt;YEAR($E133),IF(AB$18,2/(AB68+1)*($I133-SUM($W133:AA133))*IF(AB68&gt;1,AB$19,1),0),0)</f>
        <v>0</v>
      </c>
      <c r="AC133" s="46">
        <f>IF(YEAR(AC$4)&gt;YEAR($E133),IF(AC$18,2/(AC68+1)*($I133-SUM($W133:AB133))*IF(AC68&gt;1,AC$19,1),0),0)</f>
        <v>0</v>
      </c>
      <c r="AD133" s="46">
        <f>IF(YEAR(AD$4)&gt;YEAR($E133),IF(AD$18,2/(AD68+1)*($I133-SUM($W133:AC133))*IF(AD68&gt;1,AD$19,1),0),0)</f>
        <v>0</v>
      </c>
      <c r="AE133" s="46">
        <f>IF(YEAR(AE$4)&gt;YEAR($E133),IF(AE$18,2/(AE68+1)*($I133-SUM($W133:AD133))*IF(AE68&gt;1,AE$19,1),0),0)</f>
        <v>0</v>
      </c>
      <c r="AF133" s="46">
        <f>IF(YEAR(AF$4)&gt;YEAR($E133),IF(AF$18,2/(AF68+1)*($I133-SUM($W133:AE133))*IF(AF68&gt;1,AF$19,1),0),0)</f>
        <v>0</v>
      </c>
      <c r="AG133" s="46">
        <f>IF(YEAR(AG$4)&gt;YEAR($E133),IF(AG$18,2/(AG68+1)*($I133-SUM($W133:AF133))*IF(AG68&gt;1,AG$19,1),0),0)</f>
        <v>0</v>
      </c>
      <c r="AH133" s="46">
        <f>IF(YEAR(AH$4)&gt;YEAR($E133),IF(AH$18,2/(AH68+1)*($I133-SUM($W133:AG133))*IF(AH68&gt;1,AH$19,1),0),0)</f>
        <v>0</v>
      </c>
      <c r="AI133" s="46">
        <f>IF(YEAR(AI$4)&gt;YEAR($E133),IF(AI$18,2/(AI68+1)*($I133-SUM($W133:AH133))*IF(AI68&gt;1,AI$19,1),0),0)</f>
        <v>0</v>
      </c>
      <c r="AJ133" s="46">
        <f>IF(YEAR(AJ$4)&gt;YEAR($E133),IF(AJ$18,2/(AJ68+1)*($I133-SUM($W133:AI133))*IF(AJ68&gt;1,AJ$19,1),0),0)</f>
        <v>0</v>
      </c>
      <c r="AK133" s="46">
        <f>IF(YEAR(AK$4)&gt;YEAR($E133),IF(AK$18,2/(AK68+1)*($I133-SUM($W133:AJ133))*IF(AK68&gt;1,AK$19,1),0),0)</f>
        <v>0</v>
      </c>
      <c r="AL133" s="46">
        <f>IF(YEAR(AL$4)&gt;YEAR($E133),IF(AL$18,2/(AL68+1)*($I133-SUM($W133:AK133))*IF(AL68&gt;1,AL$19,1),0),0)</f>
        <v>0</v>
      </c>
      <c r="AM133" s="46">
        <f>IF(YEAR(AM$4)&gt;YEAR($E133),IF(AM$18,2/(AM68+1)*($I133-SUM($W133:AL133))*IF(AM68&gt;1,AM$19,1),0),0)</f>
        <v>0</v>
      </c>
      <c r="AN133" s="46">
        <f>IF(YEAR(AN$4)&gt;YEAR($E133),IF(AN$18,2/(AN68+1)*($I133-SUM($W133:AM133))*IF(AN68&gt;1,AN$19,1),0),0)</f>
        <v>0</v>
      </c>
      <c r="AO133" s="46">
        <f>IF(YEAR(AO$4)&gt;YEAR($E133),IF(AO$18,2/(AO68+1)*($I133-SUM($W133:AN133))*IF(AO68&gt;1,AO$19,1),0),0)</f>
        <v>0</v>
      </c>
      <c r="AP133" s="46">
        <f>IF(YEAR(AP$4)&gt;YEAR($E133),IF(AP$18,2/(AP68+1)*($I133-SUM($W133:AO133))*IF(AP68&gt;1,AP$19,1),0),0)</f>
        <v>0</v>
      </c>
      <c r="AQ133" s="46">
        <f>IF(YEAR(AQ$4)&gt;YEAR($E133),IF(AQ$18,2/(AQ68+1)*($I133-SUM($W133:AP133))*IF(AQ68&gt;1,AQ$19,1),0),0)</f>
        <v>0</v>
      </c>
      <c r="AR133" s="46">
        <f>IF(YEAR(AR$4)&gt;YEAR($E133),IF(AR$18,2/(AR68+1)*($I133-SUM($W133:AQ133))*IF(AR68&gt;1,AR$19,1),0),0)</f>
        <v>0</v>
      </c>
      <c r="AS133" s="46">
        <f>IF(YEAR(AS$4)&gt;YEAR($E133),IF(AS$18,2/(AS68+1)*($I133-SUM($W133:AR133))*IF(AS68&gt;1,AS$19,1),0),0)</f>
        <v>0</v>
      </c>
      <c r="AT133" s="172">
        <f>IF(YEAR(AT$4)&gt;YEAR($E133),IF(AT$18,2/(AT68+1)*($I133-SUM($W133:AS133))*IF(AT68&gt;1,AT$19,1),0),0)</f>
        <v>0</v>
      </c>
      <c r="AU133" s="153">
        <f>IF(YEAR(AU$4)&gt;YEAR($E133),IF(AU$18,2/(AU68+1)*($I133-SUM($W133:AT133))*IF(AU68&gt;1,AU$19,1),0),0)</f>
        <v>0</v>
      </c>
      <c r="AV133" s="46">
        <f>IF(YEAR(AV$4)&gt;YEAR($E133),IF(AV$18,2/(AV68+1)*($I133-SUM($W133:AU133))*IF(AV68&gt;1,AV$19,1),0),0)</f>
        <v>0</v>
      </c>
      <c r="AW133" s="46">
        <f>IF(YEAR(AW$4)&gt;YEAR($E133),IF(AW$18,2/(AW68+1)*($I133-SUM($W133:AV133))*IF(AW68&gt;1,AW$19,1),0),0)</f>
        <v>0</v>
      </c>
      <c r="AX133" s="46">
        <f>IF(YEAR(AX$4)&gt;YEAR($E133),IF(AX$18,2/(AX68+1)*($I133-SUM($W133:AW133))*IF(AX68&gt;1,AX$19,1),0),0)</f>
        <v>0</v>
      </c>
      <c r="AY133" s="46">
        <f>IF(YEAR(AY$4)&gt;YEAR($E133),IF(AY$18,2/(AY68+1)*($I133-SUM($W133:AX133))*IF(AY68&gt;1,AY$19,1),0),0)</f>
        <v>0</v>
      </c>
      <c r="BA133" s="88" t="str">
        <f t="shared" ca="1" si="57"/>
        <v>Depreciation</v>
      </c>
      <c r="BB133" s="1" t="str">
        <f t="shared" si="58"/>
        <v>Sum of digits</v>
      </c>
      <c r="BC133" s="1" t="str">
        <f t="shared" si="59"/>
        <v>Accelerated profile</v>
      </c>
    </row>
    <row r="134" spans="2:55" x14ac:dyDescent="0.35">
      <c r="E134" s="2">
        <v>46112</v>
      </c>
      <c r="G134" t="s">
        <v>109</v>
      </c>
      <c r="I134" s="46">
        <f t="shared" si="56"/>
        <v>0.79227053140096615</v>
      </c>
      <c r="J134" t="s">
        <v>13</v>
      </c>
      <c r="X134" s="46">
        <f>IF(YEAR(X$4)&gt;YEAR($E134),IF(X$18,2/(X69+1)*($I134-SUM($W134:W134))*IF(X69&gt;1,X$19,1),0),0)</f>
        <v>0</v>
      </c>
      <c r="Y134" s="46">
        <f>IF(YEAR(Y$4)&gt;YEAR($E134),IF(Y$18,2/(Y69+1)*($I134-SUM($W134:X134))*IF(Y69&gt;1,Y$19,1),0),0)</f>
        <v>0</v>
      </c>
      <c r="Z134" s="46">
        <f>IF(YEAR(Z$4)&gt;YEAR($E134),IF(Z$18,2/(Z69+1)*($I134-SUM($W134:Y134))*IF(Z69&gt;1,Z$19,1),0),0)</f>
        <v>0</v>
      </c>
      <c r="AA134" s="46">
        <f>IF(YEAR(AA$4)&gt;YEAR($E134),IF(AA$18,2/(AA69+1)*($I134-SUM($W134:Z134))*IF(AA69&gt;1,AA$19,1),0),0)</f>
        <v>0</v>
      </c>
      <c r="AB134" s="46">
        <f>IF(YEAR(AB$4)&gt;YEAR($E134),IF(AB$18,2/(AB69+1)*($I134-SUM($W134:AA134))*IF(AB69&gt;1,AB$19,1),0),0)</f>
        <v>0</v>
      </c>
      <c r="AC134" s="46">
        <f>IF(YEAR(AC$4)&gt;YEAR($E134),IF(AC$18,2/(AC69+1)*($I134-SUM($W134:AB134))*IF(AC69&gt;1,AC$19,1),0),0)</f>
        <v>0</v>
      </c>
      <c r="AD134" s="46">
        <f>IF(YEAR(AD$4)&gt;YEAR($E134),IF(AD$18,2/(AD69+1)*($I134-SUM($W134:AC134))*IF(AD69&gt;1,AD$19,1),0),0)</f>
        <v>0</v>
      </c>
      <c r="AE134" s="46">
        <f>IF(YEAR(AE$4)&gt;YEAR($E134),IF(AE$18,2/(AE69+1)*($I134-SUM($W134:AD134))*IF(AE69&gt;1,AE$19,1),0),0)</f>
        <v>0</v>
      </c>
      <c r="AF134" s="46">
        <f>IF(YEAR(AF$4)&gt;YEAR($E134),IF(AF$18,2/(AF69+1)*($I134-SUM($W134:AE134))*IF(AF69&gt;1,AF$19,1),0),0)</f>
        <v>0</v>
      </c>
      <c r="AG134" s="46">
        <f>IF(YEAR(AG$4)&gt;YEAR($E134),IF(AG$18,2/(AG69+1)*($I134-SUM($W134:AF134))*IF(AG69&gt;1,AG$19,1),0),0)</f>
        <v>0</v>
      </c>
      <c r="AH134" s="46">
        <f>IF(YEAR(AH$4)&gt;YEAR($E134),IF(AH$18,2/(AH69+1)*($I134-SUM($W134:AG134))*IF(AH69&gt;1,AH$19,1),0),0)</f>
        <v>0</v>
      </c>
      <c r="AI134" s="46">
        <f>IF(YEAR(AI$4)&gt;YEAR($E134),IF(AI$18,2/(AI69+1)*($I134-SUM($W134:AH134))*IF(AI69&gt;1,AI$19,1),0),0)</f>
        <v>0</v>
      </c>
      <c r="AJ134" s="46">
        <f>IF(YEAR(AJ$4)&gt;YEAR($E134),IF(AJ$18,2/(AJ69+1)*($I134-SUM($W134:AI134))*IF(AJ69&gt;1,AJ$19,1),0),0)</f>
        <v>0</v>
      </c>
      <c r="AK134" s="46">
        <f>IF(YEAR(AK$4)&gt;YEAR($E134),IF(AK$18,2/(AK69+1)*($I134-SUM($W134:AJ134))*IF(AK69&gt;1,AK$19,1),0),0)</f>
        <v>0</v>
      </c>
      <c r="AL134" s="46">
        <f>IF(YEAR(AL$4)&gt;YEAR($E134),IF(AL$18,2/(AL69+1)*($I134-SUM($W134:AK134))*IF(AL69&gt;1,AL$19,1),0),0)</f>
        <v>0</v>
      </c>
      <c r="AM134" s="46">
        <f>IF(YEAR(AM$4)&gt;YEAR($E134),IF(AM$18,2/(AM69+1)*($I134-SUM($W134:AL134))*IF(AM69&gt;1,AM$19,1),0),0)</f>
        <v>0</v>
      </c>
      <c r="AN134" s="46">
        <f>IF(YEAR(AN$4)&gt;YEAR($E134),IF(AN$18,2/(AN69+1)*($I134-SUM($W134:AM134))*IF(AN69&gt;1,AN$19,1),0),0)</f>
        <v>0</v>
      </c>
      <c r="AO134" s="46">
        <f>IF(YEAR(AO$4)&gt;YEAR($E134),IF(AO$18,2/(AO69+1)*($I134-SUM($W134:AN134))*IF(AO69&gt;1,AO$19,1),0),0)</f>
        <v>0</v>
      </c>
      <c r="AP134" s="46">
        <f>IF(YEAR(AP$4)&gt;YEAR($E134),IF(AP$18,2/(AP69+1)*($I134-SUM($W134:AO134))*IF(AP69&gt;1,AP$19,1),0),0)</f>
        <v>0</v>
      </c>
      <c r="AQ134" s="46">
        <f>IF(YEAR(AQ$4)&gt;YEAR($E134),IF(AQ$18,2/(AQ69+1)*($I134-SUM($W134:AP134))*IF(AQ69&gt;1,AQ$19,1),0),0)</f>
        <v>0</v>
      </c>
      <c r="AR134" s="46">
        <f>IF(YEAR(AR$4)&gt;YEAR($E134),IF(AR$18,2/(AR69+1)*($I134-SUM($W134:AQ134))*IF(AR69&gt;1,AR$19,1),0),0)</f>
        <v>0</v>
      </c>
      <c r="AS134" s="46">
        <f>IF(YEAR(AS$4)&gt;YEAR($E134),IF(AS$18,2/(AS69+1)*($I134-SUM($W134:AR134))*IF(AS69&gt;1,AS$19,1),0),0)</f>
        <v>0</v>
      </c>
      <c r="AT134" s="172">
        <f>IF(YEAR(AT$4)&gt;YEAR($E134),IF(AT$18,2/(AT69+1)*($I134-SUM($W134:AS134))*IF(AT69&gt;1,AT$19,1),0),0)</f>
        <v>0</v>
      </c>
      <c r="AU134" s="153">
        <f>IF(YEAR(AU$4)&gt;YEAR($E134),IF(AU$18,2/(AU69+1)*($I134-SUM($W134:AT134))*IF(AU69&gt;1,AU$19,1),0),0)</f>
        <v>0</v>
      </c>
      <c r="AV134" s="46">
        <f>IF(YEAR(AV$4)&gt;YEAR($E134),IF(AV$18,2/(AV69+1)*($I134-SUM($W134:AU134))*IF(AV69&gt;1,AV$19,1),0),0)</f>
        <v>0</v>
      </c>
      <c r="AW134" s="46">
        <f>IF(YEAR(AW$4)&gt;YEAR($E134),IF(AW$18,2/(AW69+1)*($I134-SUM($W134:AV134))*IF(AW69&gt;1,AW$19,1),0),0)</f>
        <v>0</v>
      </c>
      <c r="AX134" s="46">
        <f>IF(YEAR(AX$4)&gt;YEAR($E134),IF(AX$18,2/(AX69+1)*($I134-SUM($W134:AW134))*IF(AX69&gt;1,AX$19,1),0),0)</f>
        <v>0</v>
      </c>
      <c r="AY134" s="46">
        <f>IF(YEAR(AY$4)&gt;YEAR($E134),IF(AY$18,2/(AY69+1)*($I134-SUM($W134:AX134))*IF(AY69&gt;1,AY$19,1),0),0)</f>
        <v>0</v>
      </c>
      <c r="BA134" s="88" t="str">
        <f t="shared" ca="1" si="57"/>
        <v>Depreciation</v>
      </c>
      <c r="BB134" s="1" t="str">
        <f t="shared" si="58"/>
        <v>Sum of digits</v>
      </c>
      <c r="BC134" s="1" t="str">
        <f t="shared" si="59"/>
        <v>Accelerated profile</v>
      </c>
    </row>
    <row r="135" spans="2:55" x14ac:dyDescent="0.35">
      <c r="E135" s="2">
        <v>46477</v>
      </c>
      <c r="G135" t="s">
        <v>109</v>
      </c>
      <c r="I135" s="46">
        <f t="shared" si="56"/>
        <v>0.68840579710144922</v>
      </c>
      <c r="J135" t="s">
        <v>13</v>
      </c>
      <c r="X135" s="46">
        <f>IF(YEAR(X$4)&gt;YEAR($E135),IF(X$18,2/(X70+1)*($I135-SUM($W135:W135))*IF(X70&gt;1,X$19,1),0),0)</f>
        <v>0</v>
      </c>
      <c r="Y135" s="46">
        <f>IF(YEAR(Y$4)&gt;YEAR($E135),IF(Y$18,2/(Y70+1)*($I135-SUM($W135:X135))*IF(Y70&gt;1,Y$19,1),0),0)</f>
        <v>0</v>
      </c>
      <c r="Z135" s="46">
        <f>IF(YEAR(Z$4)&gt;YEAR($E135),IF(Z$18,2/(Z70+1)*($I135-SUM($W135:Y135))*IF(Z70&gt;1,Z$19,1),0),0)</f>
        <v>0</v>
      </c>
      <c r="AA135" s="46">
        <f>IF(YEAR(AA$4)&gt;YEAR($E135),IF(AA$18,2/(AA70+1)*($I135-SUM($W135:Z135))*IF(AA70&gt;1,AA$19,1),0),0)</f>
        <v>0</v>
      </c>
      <c r="AB135" s="46">
        <f>IF(YEAR(AB$4)&gt;YEAR($E135),IF(AB$18,2/(AB70+1)*($I135-SUM($W135:AA135))*IF(AB70&gt;1,AB$19,1),0),0)</f>
        <v>0</v>
      </c>
      <c r="AC135" s="46">
        <f>IF(YEAR(AC$4)&gt;YEAR($E135),IF(AC$18,2/(AC70+1)*($I135-SUM($W135:AB135))*IF(AC70&gt;1,AC$19,1),0),0)</f>
        <v>0</v>
      </c>
      <c r="AD135" s="46">
        <f>IF(YEAR(AD$4)&gt;YEAR($E135),IF(AD$18,2/(AD70+1)*($I135-SUM($W135:AC135))*IF(AD70&gt;1,AD$19,1),0),0)</f>
        <v>0</v>
      </c>
      <c r="AE135" s="46">
        <f>IF(YEAR(AE$4)&gt;YEAR($E135),IF(AE$18,2/(AE70+1)*($I135-SUM($W135:AD135))*IF(AE70&gt;1,AE$19,1),0),0)</f>
        <v>0</v>
      </c>
      <c r="AF135" s="46">
        <f>IF(YEAR(AF$4)&gt;YEAR($E135),IF(AF$18,2/(AF70+1)*($I135-SUM($W135:AE135))*IF(AF70&gt;1,AF$19,1),0),0)</f>
        <v>0</v>
      </c>
      <c r="AG135" s="46">
        <f>IF(YEAR(AG$4)&gt;YEAR($E135),IF(AG$18,2/(AG70+1)*($I135-SUM($W135:AF135))*IF(AG70&gt;1,AG$19,1),0),0)</f>
        <v>0</v>
      </c>
      <c r="AH135" s="46">
        <f>IF(YEAR(AH$4)&gt;YEAR($E135),IF(AH$18,2/(AH70+1)*($I135-SUM($W135:AG135))*IF(AH70&gt;1,AH$19,1),0),0)</f>
        <v>0</v>
      </c>
      <c r="AI135" s="46">
        <f>IF(YEAR(AI$4)&gt;YEAR($E135),IF(AI$18,2/(AI70+1)*($I135-SUM($W135:AH135))*IF(AI70&gt;1,AI$19,1),0),0)</f>
        <v>0</v>
      </c>
      <c r="AJ135" s="46">
        <f>IF(YEAR(AJ$4)&gt;YEAR($E135),IF(AJ$18,2/(AJ70+1)*($I135-SUM($W135:AI135))*IF(AJ70&gt;1,AJ$19,1),0),0)</f>
        <v>0</v>
      </c>
      <c r="AK135" s="46">
        <f>IF(YEAR(AK$4)&gt;YEAR($E135),IF(AK$18,2/(AK70+1)*($I135-SUM($W135:AJ135))*IF(AK70&gt;1,AK$19,1),0),0)</f>
        <v>0</v>
      </c>
      <c r="AL135" s="46">
        <f>IF(YEAR(AL$4)&gt;YEAR($E135),IF(AL$18,2/(AL70+1)*($I135-SUM($W135:AK135))*IF(AL70&gt;1,AL$19,1),0),0)</f>
        <v>0</v>
      </c>
      <c r="AM135" s="46">
        <f>IF(YEAR(AM$4)&gt;YEAR($E135),IF(AM$18,2/(AM70+1)*($I135-SUM($W135:AL135))*IF(AM70&gt;1,AM$19,1),0),0)</f>
        <v>0</v>
      </c>
      <c r="AN135" s="46">
        <f>IF(YEAR(AN$4)&gt;YEAR($E135),IF(AN$18,2/(AN70+1)*($I135-SUM($W135:AM135))*IF(AN70&gt;1,AN$19,1),0),0)</f>
        <v>0</v>
      </c>
      <c r="AO135" s="46">
        <f>IF(YEAR(AO$4)&gt;YEAR($E135),IF(AO$18,2/(AO70+1)*($I135-SUM($W135:AN135))*IF(AO70&gt;1,AO$19,1),0),0)</f>
        <v>0</v>
      </c>
      <c r="AP135" s="46">
        <f>IF(YEAR(AP$4)&gt;YEAR($E135),IF(AP$18,2/(AP70+1)*($I135-SUM($W135:AO135))*IF(AP70&gt;1,AP$19,1),0),0)</f>
        <v>0</v>
      </c>
      <c r="AQ135" s="46">
        <f>IF(YEAR(AQ$4)&gt;YEAR($E135),IF(AQ$18,2/(AQ70+1)*($I135-SUM($W135:AP135))*IF(AQ70&gt;1,AQ$19,1),0),0)</f>
        <v>0</v>
      </c>
      <c r="AR135" s="46">
        <f>IF(YEAR(AR$4)&gt;YEAR($E135),IF(AR$18,2/(AR70+1)*($I135-SUM($W135:AQ135))*IF(AR70&gt;1,AR$19,1),0),0)</f>
        <v>0</v>
      </c>
      <c r="AS135" s="46">
        <f>IF(YEAR(AS$4)&gt;YEAR($E135),IF(AS$18,2/(AS70+1)*($I135-SUM($W135:AR135))*IF(AS70&gt;1,AS$19,1),0),0)</f>
        <v>0</v>
      </c>
      <c r="AT135" s="172">
        <f>IF(YEAR(AT$4)&gt;YEAR($E135),IF(AT$18,2/(AT70+1)*($I135-SUM($W135:AS135))*IF(AT70&gt;1,AT$19,1),0),0)</f>
        <v>0</v>
      </c>
      <c r="AU135" s="153">
        <f>IF(YEAR(AU$4)&gt;YEAR($E135),IF(AU$18,2/(AU70+1)*($I135-SUM($W135:AT135))*IF(AU70&gt;1,AU$19,1),0),0)</f>
        <v>0</v>
      </c>
      <c r="AV135" s="46">
        <f>IF(YEAR(AV$4)&gt;YEAR($E135),IF(AV$18,2/(AV70+1)*($I135-SUM($W135:AU135))*IF(AV70&gt;1,AV$19,1),0),0)</f>
        <v>0</v>
      </c>
      <c r="AW135" s="46">
        <f>IF(YEAR(AW$4)&gt;YEAR($E135),IF(AW$18,2/(AW70+1)*($I135-SUM($W135:AV135))*IF(AW70&gt;1,AW$19,1),0),0)</f>
        <v>0</v>
      </c>
      <c r="AX135" s="46">
        <f>IF(YEAR(AX$4)&gt;YEAR($E135),IF(AX$18,2/(AX70+1)*($I135-SUM($W135:AW135))*IF(AX70&gt;1,AX$19,1),0),0)</f>
        <v>0</v>
      </c>
      <c r="AY135" s="46">
        <f>IF(YEAR(AY$4)&gt;YEAR($E135),IF(AY$18,2/(AY70+1)*($I135-SUM($W135:AX135))*IF(AY70&gt;1,AY$19,1),0),0)</f>
        <v>0</v>
      </c>
      <c r="BA135" s="88" t="str">
        <f t="shared" ca="1" si="57"/>
        <v>Depreciation</v>
      </c>
      <c r="BB135" s="1" t="str">
        <f t="shared" si="58"/>
        <v>Sum of digits</v>
      </c>
      <c r="BC135" s="1" t="str">
        <f t="shared" si="59"/>
        <v>Accelerated profile</v>
      </c>
    </row>
    <row r="136" spans="2:55" x14ac:dyDescent="0.35">
      <c r="E136" s="2">
        <v>46843</v>
      </c>
      <c r="G136" t="s">
        <v>109</v>
      </c>
      <c r="I136" s="46">
        <f t="shared" si="56"/>
        <v>0.75098814229249011</v>
      </c>
      <c r="J136" t="s">
        <v>13</v>
      </c>
      <c r="X136" s="46">
        <f>IF(YEAR(X$4)&gt;YEAR($E136),IF(X$18,2/(X71+1)*($I136-SUM($W136:W136))*IF(X71&gt;1,X$19,1),0),0)</f>
        <v>0</v>
      </c>
      <c r="Y136" s="46">
        <f>IF(YEAR(Y$4)&gt;YEAR($E136),IF(Y$18,2/(Y71+1)*($I136-SUM($W136:X136))*IF(Y71&gt;1,Y$19,1),0),0)</f>
        <v>0</v>
      </c>
      <c r="Z136" s="46">
        <f>IF(YEAR(Z$4)&gt;YEAR($E136),IF(Z$18,2/(Z71+1)*($I136-SUM($W136:Y136))*IF(Z71&gt;1,Z$19,1),0),0)</f>
        <v>0</v>
      </c>
      <c r="AA136" s="46">
        <f>IF(YEAR(AA$4)&gt;YEAR($E136),IF(AA$18,2/(AA71+1)*($I136-SUM($W136:Z136))*IF(AA71&gt;1,AA$19,1),0),0)</f>
        <v>0</v>
      </c>
      <c r="AB136" s="46">
        <f>IF(YEAR(AB$4)&gt;YEAR($E136),IF(AB$18,2/(AB71+1)*($I136-SUM($W136:AA136))*IF(AB71&gt;1,AB$19,1),0),0)</f>
        <v>0</v>
      </c>
      <c r="AC136" s="46">
        <f>IF(YEAR(AC$4)&gt;YEAR($E136),IF(AC$18,2/(AC71+1)*($I136-SUM($W136:AB136))*IF(AC71&gt;1,AC$19,1),0),0)</f>
        <v>0</v>
      </c>
      <c r="AD136" s="46">
        <f>IF(YEAR(AD$4)&gt;YEAR($E136),IF(AD$18,2/(AD71+1)*($I136-SUM($W136:AC136))*IF(AD71&gt;1,AD$19,1),0),0)</f>
        <v>0</v>
      </c>
      <c r="AE136" s="46">
        <f>IF(YEAR(AE$4)&gt;YEAR($E136),IF(AE$18,2/(AE71+1)*($I136-SUM($W136:AD136))*IF(AE71&gt;1,AE$19,1),0),0)</f>
        <v>0</v>
      </c>
      <c r="AF136" s="46">
        <f>IF(YEAR(AF$4)&gt;YEAR($E136),IF(AF$18,2/(AF71+1)*($I136-SUM($W136:AE136))*IF(AF71&gt;1,AF$19,1),0),0)</f>
        <v>0</v>
      </c>
      <c r="AG136" s="46">
        <f>IF(YEAR(AG$4)&gt;YEAR($E136),IF(AG$18,2/(AG71+1)*($I136-SUM($W136:AF136))*IF(AG71&gt;1,AG$19,1),0),0)</f>
        <v>0</v>
      </c>
      <c r="AH136" s="46">
        <f>IF(YEAR(AH$4)&gt;YEAR($E136),IF(AH$18,2/(AH71+1)*($I136-SUM($W136:AG136))*IF(AH71&gt;1,AH$19,1),0),0)</f>
        <v>0</v>
      </c>
      <c r="AI136" s="46">
        <f>IF(YEAR(AI$4)&gt;YEAR($E136),IF(AI$18,2/(AI71+1)*($I136-SUM($W136:AH136))*IF(AI71&gt;1,AI$19,1),0),0)</f>
        <v>0</v>
      </c>
      <c r="AJ136" s="46">
        <f>IF(YEAR(AJ$4)&gt;YEAR($E136),IF(AJ$18,2/(AJ71+1)*($I136-SUM($W136:AI136))*IF(AJ71&gt;1,AJ$19,1),0),0)</f>
        <v>0</v>
      </c>
      <c r="AK136" s="46">
        <f>IF(YEAR(AK$4)&gt;YEAR($E136),IF(AK$18,2/(AK71+1)*($I136-SUM($W136:AJ136))*IF(AK71&gt;1,AK$19,1),0),0)</f>
        <v>0</v>
      </c>
      <c r="AL136" s="46">
        <f>IF(YEAR(AL$4)&gt;YEAR($E136),IF(AL$18,2/(AL71+1)*($I136-SUM($W136:AK136))*IF(AL71&gt;1,AL$19,1),0),0)</f>
        <v>0</v>
      </c>
      <c r="AM136" s="46">
        <f>IF(YEAR(AM$4)&gt;YEAR($E136),IF(AM$18,2/(AM71+1)*($I136-SUM($W136:AL136))*IF(AM71&gt;1,AM$19,1),0),0)</f>
        <v>0</v>
      </c>
      <c r="AN136" s="46">
        <f>IF(YEAR(AN$4)&gt;YEAR($E136),IF(AN$18,2/(AN71+1)*($I136-SUM($W136:AM136))*IF(AN71&gt;1,AN$19,1),0),0)</f>
        <v>0</v>
      </c>
      <c r="AO136" s="46">
        <f>IF(YEAR(AO$4)&gt;YEAR($E136),IF(AO$18,2/(AO71+1)*($I136-SUM($W136:AN136))*IF(AO71&gt;1,AO$19,1),0),0)</f>
        <v>0</v>
      </c>
      <c r="AP136" s="46">
        <f>IF(YEAR(AP$4)&gt;YEAR($E136),IF(AP$18,2/(AP71+1)*($I136-SUM($W136:AO136))*IF(AP71&gt;1,AP$19,1),0),0)</f>
        <v>0</v>
      </c>
      <c r="AQ136" s="46">
        <f>IF(YEAR(AQ$4)&gt;YEAR($E136),IF(AQ$18,2/(AQ71+1)*($I136-SUM($W136:AP136))*IF(AQ71&gt;1,AQ$19,1),0),0)</f>
        <v>0</v>
      </c>
      <c r="AR136" s="46">
        <f>IF(YEAR(AR$4)&gt;YEAR($E136),IF(AR$18,2/(AR71+1)*($I136-SUM($W136:AQ136))*IF(AR71&gt;1,AR$19,1),0),0)</f>
        <v>0</v>
      </c>
      <c r="AS136" s="46">
        <f>IF(YEAR(AS$4)&gt;YEAR($E136),IF(AS$18,2/(AS71+1)*($I136-SUM($W136:AR136))*IF(AS71&gt;1,AS$19,1),0),0)</f>
        <v>0</v>
      </c>
      <c r="AT136" s="172">
        <f>IF(YEAR(AT$4)&gt;YEAR($E136),IF(AT$18,2/(AT71+1)*($I136-SUM($W136:AS136))*IF(AT71&gt;1,AT$19,1),0),0)</f>
        <v>0</v>
      </c>
      <c r="AU136" s="153">
        <f>IF(YEAR(AU$4)&gt;YEAR($E136),IF(AU$18,2/(AU71+1)*($I136-SUM($W136:AT136))*IF(AU71&gt;1,AU$19,1),0),0)</f>
        <v>0</v>
      </c>
      <c r="AV136" s="46">
        <f>IF(YEAR(AV$4)&gt;YEAR($E136),IF(AV$18,2/(AV71+1)*($I136-SUM($W136:AU136))*IF(AV71&gt;1,AV$19,1),0),0)</f>
        <v>0</v>
      </c>
      <c r="AW136" s="46">
        <f>IF(YEAR(AW$4)&gt;YEAR($E136),IF(AW$18,2/(AW71+1)*($I136-SUM($W136:AV136))*IF(AW71&gt;1,AW$19,1),0),0)</f>
        <v>0</v>
      </c>
      <c r="AX136" s="46">
        <f>IF(YEAR(AX$4)&gt;YEAR($E136),IF(AX$18,2/(AX71+1)*($I136-SUM($W136:AW136))*IF(AX71&gt;1,AX$19,1),0),0)</f>
        <v>0</v>
      </c>
      <c r="AY136" s="46">
        <f>IF(YEAR(AY$4)&gt;YEAR($E136),IF(AY$18,2/(AY71+1)*($I136-SUM($W136:AX136))*IF(AY71&gt;1,AY$19,1),0),0)</f>
        <v>0</v>
      </c>
      <c r="BA136" s="88" t="str">
        <f t="shared" ca="1" si="57"/>
        <v>Depreciation</v>
      </c>
      <c r="BB136" s="1" t="str">
        <f t="shared" si="58"/>
        <v>Sum of digits</v>
      </c>
      <c r="BC136" s="1" t="str">
        <f t="shared" si="59"/>
        <v>Accelerated profile</v>
      </c>
    </row>
    <row r="137" spans="2:55" x14ac:dyDescent="0.35">
      <c r="E137" s="2">
        <v>47208</v>
      </c>
      <c r="G137" t="s">
        <v>109</v>
      </c>
      <c r="I137" s="46">
        <f t="shared" si="56"/>
        <v>0.82251082251082253</v>
      </c>
      <c r="J137" t="s">
        <v>13</v>
      </c>
      <c r="X137" s="46">
        <f>IF(YEAR(X$4)&gt;YEAR($E137),IF(X$18,2/(X72+1)*($I137-SUM($W137:W137))*IF(X72&gt;1,X$19,1),0),0)</f>
        <v>0</v>
      </c>
      <c r="Y137" s="46">
        <f>IF(YEAR(Y$4)&gt;YEAR($E137),IF(Y$18,2/(Y72+1)*($I137-SUM($W137:X137))*IF(Y72&gt;1,Y$19,1),0),0)</f>
        <v>0</v>
      </c>
      <c r="Z137" s="46">
        <f>IF(YEAR(Z$4)&gt;YEAR($E137),IF(Z$18,2/(Z72+1)*($I137-SUM($W137:Y137))*IF(Z72&gt;1,Z$19,1),0),0)</f>
        <v>0</v>
      </c>
      <c r="AA137" s="46">
        <f>IF(YEAR(AA$4)&gt;YEAR($E137),IF(AA$18,2/(AA72+1)*($I137-SUM($W137:Z137))*IF(AA72&gt;1,AA$19,1),0),0)</f>
        <v>0</v>
      </c>
      <c r="AB137" s="46">
        <f>IF(YEAR(AB$4)&gt;YEAR($E137),IF(AB$18,2/(AB72+1)*($I137-SUM($W137:AA137))*IF(AB72&gt;1,AB$19,1),0),0)</f>
        <v>0</v>
      </c>
      <c r="AC137" s="46">
        <f>IF(YEAR(AC$4)&gt;YEAR($E137),IF(AC$18,2/(AC72+1)*($I137-SUM($W137:AB137))*IF(AC72&gt;1,AC$19,1),0),0)</f>
        <v>0</v>
      </c>
      <c r="AD137" s="46">
        <f>IF(YEAR(AD$4)&gt;YEAR($E137),IF(AD$18,2/(AD72+1)*($I137-SUM($W137:AC137))*IF(AD72&gt;1,AD$19,1),0),0)</f>
        <v>0</v>
      </c>
      <c r="AE137" s="46">
        <f>IF(YEAR(AE$4)&gt;YEAR($E137),IF(AE$18,2/(AE72+1)*($I137-SUM($W137:AD137))*IF(AE72&gt;1,AE$19,1),0),0)</f>
        <v>0</v>
      </c>
      <c r="AF137" s="46">
        <f>IF(YEAR(AF$4)&gt;YEAR($E137),IF(AF$18,2/(AF72+1)*($I137-SUM($W137:AE137))*IF(AF72&gt;1,AF$19,1),0),0)</f>
        <v>0</v>
      </c>
      <c r="AG137" s="46">
        <f>IF(YEAR(AG$4)&gt;YEAR($E137),IF(AG$18,2/(AG72+1)*($I137-SUM($W137:AF137))*IF(AG72&gt;1,AG$19,1),0),0)</f>
        <v>0</v>
      </c>
      <c r="AH137" s="46">
        <f>IF(YEAR(AH$4)&gt;YEAR($E137),IF(AH$18,2/(AH72+1)*($I137-SUM($W137:AG137))*IF(AH72&gt;1,AH$19,1),0),0)</f>
        <v>0</v>
      </c>
      <c r="AI137" s="46">
        <f>IF(YEAR(AI$4)&gt;YEAR($E137),IF(AI$18,2/(AI72+1)*($I137-SUM($W137:AH137))*IF(AI72&gt;1,AI$19,1),0),0)</f>
        <v>0</v>
      </c>
      <c r="AJ137" s="46">
        <f>IF(YEAR(AJ$4)&gt;YEAR($E137),IF(AJ$18,2/(AJ72+1)*($I137-SUM($W137:AI137))*IF(AJ72&gt;1,AJ$19,1),0),0)</f>
        <v>0</v>
      </c>
      <c r="AK137" s="46">
        <f>IF(YEAR(AK$4)&gt;YEAR($E137),IF(AK$18,2/(AK72+1)*($I137-SUM($W137:AJ137))*IF(AK72&gt;1,AK$19,1),0),0)</f>
        <v>0</v>
      </c>
      <c r="AL137" s="46">
        <f>IF(YEAR(AL$4)&gt;YEAR($E137),IF(AL$18,2/(AL72+1)*($I137-SUM($W137:AK137))*IF(AL72&gt;1,AL$19,1),0),0)</f>
        <v>0</v>
      </c>
      <c r="AM137" s="46">
        <f>IF(YEAR(AM$4)&gt;YEAR($E137),IF(AM$18,2/(AM72+1)*($I137-SUM($W137:AL137))*IF(AM72&gt;1,AM$19,1),0),0)</f>
        <v>0</v>
      </c>
      <c r="AN137" s="46">
        <f>IF(YEAR(AN$4)&gt;YEAR($E137),IF(AN$18,2/(AN72+1)*($I137-SUM($W137:AM137))*IF(AN72&gt;1,AN$19,1),0),0)</f>
        <v>0</v>
      </c>
      <c r="AO137" s="46">
        <f>IF(YEAR(AO$4)&gt;YEAR($E137),IF(AO$18,2/(AO72+1)*($I137-SUM($W137:AN137))*IF(AO72&gt;1,AO$19,1),0),0)</f>
        <v>0</v>
      </c>
      <c r="AP137" s="46">
        <f>IF(YEAR(AP$4)&gt;YEAR($E137),IF(AP$18,2/(AP72+1)*($I137-SUM($W137:AO137))*IF(AP72&gt;1,AP$19,1),0),0)</f>
        <v>0</v>
      </c>
      <c r="AQ137" s="46">
        <f>IF(YEAR(AQ$4)&gt;YEAR($E137),IF(AQ$18,2/(AQ72+1)*($I137-SUM($W137:AP137))*IF(AQ72&gt;1,AQ$19,1),0),0)</f>
        <v>0</v>
      </c>
      <c r="AR137" s="46">
        <f>IF(YEAR(AR$4)&gt;YEAR($E137),IF(AR$18,2/(AR72+1)*($I137-SUM($W137:AQ137))*IF(AR72&gt;1,AR$19,1),0),0)</f>
        <v>0</v>
      </c>
      <c r="AS137" s="46">
        <f>IF(YEAR(AS$4)&gt;YEAR($E137),IF(AS$18,2/(AS72+1)*($I137-SUM($W137:AR137))*IF(AS72&gt;1,AS$19,1),0),0)</f>
        <v>0</v>
      </c>
      <c r="AT137" s="172">
        <f>IF(YEAR(AT$4)&gt;YEAR($E137),IF(AT$18,2/(AT72+1)*($I137-SUM($W137:AS137))*IF(AT72&gt;1,AT$19,1),0),0)</f>
        <v>0</v>
      </c>
      <c r="AU137" s="153">
        <f>IF(YEAR(AU$4)&gt;YEAR($E137),IF(AU$18,2/(AU72+1)*($I137-SUM($W137:AT137))*IF(AU72&gt;1,AU$19,1),0),0)</f>
        <v>0</v>
      </c>
      <c r="AV137" s="46">
        <f>IF(YEAR(AV$4)&gt;YEAR($E137),IF(AV$18,2/(AV72+1)*($I137-SUM($W137:AU137))*IF(AV72&gt;1,AV$19,1),0),0)</f>
        <v>0</v>
      </c>
      <c r="AW137" s="46">
        <f>IF(YEAR(AW$4)&gt;YEAR($E137),IF(AW$18,2/(AW72+1)*($I137-SUM($W137:AV137))*IF(AW72&gt;1,AW$19,1),0),0)</f>
        <v>0</v>
      </c>
      <c r="AX137" s="46">
        <f>IF(YEAR(AX$4)&gt;YEAR($E137),IF(AX$18,2/(AX72+1)*($I137-SUM($W137:AW137))*IF(AX72&gt;1,AX$19,1),0),0)</f>
        <v>0</v>
      </c>
      <c r="AY137" s="46">
        <f>IF(YEAR(AY$4)&gt;YEAR($E137),IF(AY$18,2/(AY72+1)*($I137-SUM($W137:AX137))*IF(AY72&gt;1,AY$19,1),0),0)</f>
        <v>0</v>
      </c>
      <c r="BA137" s="88" t="str">
        <f t="shared" ca="1" si="57"/>
        <v>Depreciation</v>
      </c>
      <c r="BB137" s="1" t="str">
        <f t="shared" si="58"/>
        <v>Sum of digits</v>
      </c>
      <c r="BC137" s="1" t="str">
        <f t="shared" si="59"/>
        <v>Accelerated profile</v>
      </c>
    </row>
    <row r="138" spans="2:55" x14ac:dyDescent="0.35">
      <c r="E138" s="2">
        <v>47573</v>
      </c>
      <c r="G138" t="s">
        <v>109</v>
      </c>
      <c r="I138" s="46">
        <f t="shared" si="56"/>
        <v>0.90476190476190477</v>
      </c>
      <c r="J138" t="s">
        <v>13</v>
      </c>
      <c r="X138" s="46">
        <f>IF(YEAR(X$4)&gt;YEAR($E138),IF(X$18,2/(X73+1)*($I138-SUM($W138:W138))*IF(X73&gt;1,X$19,1),0),0)</f>
        <v>0</v>
      </c>
      <c r="Y138" s="46">
        <f>IF(YEAR(Y$4)&gt;YEAR($E138),IF(Y$18,2/(Y73+1)*($I138-SUM($W138:X138))*IF(Y73&gt;1,Y$19,1),0),0)</f>
        <v>0</v>
      </c>
      <c r="Z138" s="46">
        <f>IF(YEAR(Z$4)&gt;YEAR($E138),IF(Z$18,2/(Z73+1)*($I138-SUM($W138:Y138))*IF(Z73&gt;1,Z$19,1),0),0)</f>
        <v>0</v>
      </c>
      <c r="AA138" s="46">
        <f>IF(YEAR(AA$4)&gt;YEAR($E138),IF(AA$18,2/(AA73+1)*($I138-SUM($W138:Z138))*IF(AA73&gt;1,AA$19,1),0),0)</f>
        <v>0</v>
      </c>
      <c r="AB138" s="46">
        <f>IF(YEAR(AB$4)&gt;YEAR($E138),IF(AB$18,2/(AB73+1)*($I138-SUM($W138:AA138))*IF(AB73&gt;1,AB$19,1),0),0)</f>
        <v>0</v>
      </c>
      <c r="AC138" s="46">
        <f>IF(YEAR(AC$4)&gt;YEAR($E138),IF(AC$18,2/(AC73+1)*($I138-SUM($W138:AB138))*IF(AC73&gt;1,AC$19,1),0),0)</f>
        <v>0</v>
      </c>
      <c r="AD138" s="46">
        <f>IF(YEAR(AD$4)&gt;YEAR($E138),IF(AD$18,2/(AD73+1)*($I138-SUM($W138:AC138))*IF(AD73&gt;1,AD$19,1),0),0)</f>
        <v>0</v>
      </c>
      <c r="AE138" s="46">
        <f>IF(YEAR(AE$4)&gt;YEAR($E138),IF(AE$18,2/(AE73+1)*($I138-SUM($W138:AD138))*IF(AE73&gt;1,AE$19,1),0),0)</f>
        <v>0</v>
      </c>
      <c r="AF138" s="46">
        <f>IF(YEAR(AF$4)&gt;YEAR($E138),IF(AF$18,2/(AF73+1)*($I138-SUM($W138:AE138))*IF(AF73&gt;1,AF$19,1),0),0)</f>
        <v>0</v>
      </c>
      <c r="AG138" s="46">
        <f>IF(YEAR(AG$4)&gt;YEAR($E138),IF(AG$18,2/(AG73+1)*($I138-SUM($W138:AF138))*IF(AG73&gt;1,AG$19,1),0),0)</f>
        <v>0</v>
      </c>
      <c r="AH138" s="46">
        <f>IF(YEAR(AH$4)&gt;YEAR($E138),IF(AH$18,2/(AH73+1)*($I138-SUM($W138:AG138))*IF(AH73&gt;1,AH$19,1),0),0)</f>
        <v>0</v>
      </c>
      <c r="AI138" s="46">
        <f>IF(YEAR(AI$4)&gt;YEAR($E138),IF(AI$18,2/(AI73+1)*($I138-SUM($W138:AH138))*IF(AI73&gt;1,AI$19,1),0),0)</f>
        <v>0</v>
      </c>
      <c r="AJ138" s="46">
        <f>IF(YEAR(AJ$4)&gt;YEAR($E138),IF(AJ$18,2/(AJ73+1)*($I138-SUM($W138:AI138))*IF(AJ73&gt;1,AJ$19,1),0),0)</f>
        <v>0</v>
      </c>
      <c r="AK138" s="46">
        <f>IF(YEAR(AK$4)&gt;YEAR($E138),IF(AK$18,2/(AK73+1)*($I138-SUM($W138:AJ138))*IF(AK73&gt;1,AK$19,1),0),0)</f>
        <v>0</v>
      </c>
      <c r="AL138" s="46">
        <f>IF(YEAR(AL$4)&gt;YEAR($E138),IF(AL$18,2/(AL73+1)*($I138-SUM($W138:AK138))*IF(AL73&gt;1,AL$19,1),0),0)</f>
        <v>0</v>
      </c>
      <c r="AM138" s="46">
        <f>IF(YEAR(AM$4)&gt;YEAR($E138),IF(AM$18,2/(AM73+1)*($I138-SUM($W138:AL138))*IF(AM73&gt;1,AM$19,1),0),0)</f>
        <v>0</v>
      </c>
      <c r="AN138" s="46">
        <f>IF(YEAR(AN$4)&gt;YEAR($E138),IF(AN$18,2/(AN73+1)*($I138-SUM($W138:AM138))*IF(AN73&gt;1,AN$19,1),0),0)</f>
        <v>0</v>
      </c>
      <c r="AO138" s="46">
        <f>IF(YEAR(AO$4)&gt;YEAR($E138),IF(AO$18,2/(AO73+1)*($I138-SUM($W138:AN138))*IF(AO73&gt;1,AO$19,1),0),0)</f>
        <v>0</v>
      </c>
      <c r="AP138" s="46">
        <f>IF(YEAR(AP$4)&gt;YEAR($E138),IF(AP$18,2/(AP73+1)*($I138-SUM($W138:AO138))*IF(AP73&gt;1,AP$19,1),0),0)</f>
        <v>0</v>
      </c>
      <c r="AQ138" s="46">
        <f>IF(YEAR(AQ$4)&gt;YEAR($E138),IF(AQ$18,2/(AQ73+1)*($I138-SUM($W138:AP138))*IF(AQ73&gt;1,AQ$19,1),0),0)</f>
        <v>0</v>
      </c>
      <c r="AR138" s="46">
        <f>IF(YEAR(AR$4)&gt;YEAR($E138),IF(AR$18,2/(AR73+1)*($I138-SUM($W138:AQ138))*IF(AR73&gt;1,AR$19,1),0),0)</f>
        <v>0</v>
      </c>
      <c r="AS138" s="46">
        <f>IF(YEAR(AS$4)&gt;YEAR($E138),IF(AS$18,2/(AS73+1)*($I138-SUM($W138:AR138))*IF(AS73&gt;1,AS$19,1),0),0)</f>
        <v>0</v>
      </c>
      <c r="AT138" s="172">
        <f>IF(YEAR(AT$4)&gt;YEAR($E138),IF(AT$18,2/(AT73+1)*($I138-SUM($W138:AS138))*IF(AT73&gt;1,AT$19,1),0),0)</f>
        <v>0</v>
      </c>
      <c r="AU138" s="153">
        <f>IF(YEAR(AU$4)&gt;YEAR($E138),IF(AU$18,2/(AU73+1)*($I138-SUM($W138:AT138))*IF(AU73&gt;1,AU$19,1),0),0)</f>
        <v>0</v>
      </c>
      <c r="AV138" s="46">
        <f>IF(YEAR(AV$4)&gt;YEAR($E138),IF(AV$18,2/(AV73+1)*($I138-SUM($W138:AU138))*IF(AV73&gt;1,AV$19,1),0),0)</f>
        <v>0</v>
      </c>
      <c r="AW138" s="46">
        <f>IF(YEAR(AW$4)&gt;YEAR($E138),IF(AW$18,2/(AW73+1)*($I138-SUM($W138:AV138))*IF(AW73&gt;1,AW$19,1),0),0)</f>
        <v>0</v>
      </c>
      <c r="AX138" s="46">
        <f>IF(YEAR(AX$4)&gt;YEAR($E138),IF(AX$18,2/(AX73+1)*($I138-SUM($W138:AW138))*IF(AX73&gt;1,AX$19,1),0),0)</f>
        <v>0</v>
      </c>
      <c r="AY138" s="46">
        <f>IF(YEAR(AY$4)&gt;YEAR($E138),IF(AY$18,2/(AY73+1)*($I138-SUM($W138:AX138))*IF(AY73&gt;1,AY$19,1),0),0)</f>
        <v>0</v>
      </c>
      <c r="BA138" s="88" t="str">
        <f t="shared" ca="1" si="57"/>
        <v>Depreciation</v>
      </c>
      <c r="BB138" s="1" t="str">
        <f t="shared" si="58"/>
        <v>Sum of digits</v>
      </c>
      <c r="BC138" s="1" t="str">
        <f t="shared" si="59"/>
        <v>Accelerated profile</v>
      </c>
    </row>
    <row r="139" spans="2:55" x14ac:dyDescent="0.35">
      <c r="E139" s="2">
        <v>47938</v>
      </c>
      <c r="G139" t="s">
        <v>109</v>
      </c>
      <c r="I139" s="46">
        <f t="shared" si="56"/>
        <v>1</v>
      </c>
      <c r="J139" t="s">
        <v>13</v>
      </c>
      <c r="X139" s="46">
        <f>IF(YEAR(X$4)&gt;YEAR($E139),IF(X$18,2/(X74+1)*($I139-SUM($W139:W139))*IF(X74&gt;1,X$19,1),0),0)</f>
        <v>0</v>
      </c>
      <c r="Y139" s="46">
        <f>IF(YEAR(Y$4)&gt;YEAR($E139),IF(Y$18,2/(Y74+1)*($I139-SUM($W139:X139))*IF(Y74&gt;1,Y$19,1),0),0)</f>
        <v>0</v>
      </c>
      <c r="Z139" s="46">
        <f>IF(YEAR(Z$4)&gt;YEAR($E139),IF(Z$18,2/(Z74+1)*($I139-SUM($W139:Y139))*IF(Z74&gt;1,Z$19,1),0),0)</f>
        <v>0</v>
      </c>
      <c r="AA139" s="46">
        <f>IF(YEAR(AA$4)&gt;YEAR($E139),IF(AA$18,2/(AA74+1)*($I139-SUM($W139:Z139))*IF(AA74&gt;1,AA$19,1),0),0)</f>
        <v>0</v>
      </c>
      <c r="AB139" s="46">
        <f>IF(YEAR(AB$4)&gt;YEAR($E139),IF(AB$18,2/(AB74+1)*($I139-SUM($W139:AA139))*IF(AB74&gt;1,AB$19,1),0),0)</f>
        <v>0</v>
      </c>
      <c r="AC139" s="46">
        <f>IF(YEAR(AC$4)&gt;YEAR($E139),IF(AC$18,2/(AC74+1)*($I139-SUM($W139:AB139))*IF(AC74&gt;1,AC$19,1),0),0)</f>
        <v>0</v>
      </c>
      <c r="AD139" s="46">
        <f>IF(YEAR(AD$4)&gt;YEAR($E139),IF(AD$18,2/(AD74+1)*($I139-SUM($W139:AC139))*IF(AD74&gt;1,AD$19,1),0),0)</f>
        <v>0</v>
      </c>
      <c r="AE139" s="46">
        <f>IF(YEAR(AE$4)&gt;YEAR($E139),IF(AE$18,2/(AE74+1)*($I139-SUM($W139:AD139))*IF(AE74&gt;1,AE$19,1),0),0)</f>
        <v>0</v>
      </c>
      <c r="AF139" s="46">
        <f>IF(YEAR(AF$4)&gt;YEAR($E139),IF(AF$18,2/(AF74+1)*($I139-SUM($W139:AE139))*IF(AF74&gt;1,AF$19,1),0),0)</f>
        <v>0</v>
      </c>
      <c r="AG139" s="46">
        <f>IF(YEAR(AG$4)&gt;YEAR($E139),IF(AG$18,2/(AG74+1)*($I139-SUM($W139:AF139))*IF(AG74&gt;1,AG$19,1),0),0)</f>
        <v>0</v>
      </c>
      <c r="AH139" s="46">
        <f>IF(YEAR(AH$4)&gt;YEAR($E139),IF(AH$18,2/(AH74+1)*($I139-SUM($W139:AG139))*IF(AH74&gt;1,AH$19,1),0),0)</f>
        <v>0</v>
      </c>
      <c r="AI139" s="46">
        <f>IF(YEAR(AI$4)&gt;YEAR($E139),IF(AI$18,2/(AI74+1)*($I139-SUM($W139:AH139))*IF(AI74&gt;1,AI$19,1),0),0)</f>
        <v>0</v>
      </c>
      <c r="AJ139" s="46">
        <f>IF(YEAR(AJ$4)&gt;YEAR($E139),IF(AJ$18,2/(AJ74+1)*($I139-SUM($W139:AI139))*IF(AJ74&gt;1,AJ$19,1),0),0)</f>
        <v>0</v>
      </c>
      <c r="AK139" s="46">
        <f>IF(YEAR(AK$4)&gt;YEAR($E139),IF(AK$18,2/(AK74+1)*($I139-SUM($W139:AJ139))*IF(AK74&gt;1,AK$19,1),0),0)</f>
        <v>0</v>
      </c>
      <c r="AL139" s="46">
        <f>IF(YEAR(AL$4)&gt;YEAR($E139),IF(AL$18,2/(AL74+1)*($I139-SUM($W139:AK139))*IF(AL74&gt;1,AL$19,1),0),0)</f>
        <v>0</v>
      </c>
      <c r="AM139" s="46">
        <f>IF(YEAR(AM$4)&gt;YEAR($E139),IF(AM$18,2/(AM74+1)*($I139-SUM($W139:AL139))*IF(AM74&gt;1,AM$19,1),0),0)</f>
        <v>0</v>
      </c>
      <c r="AN139" s="46">
        <f>IF(YEAR(AN$4)&gt;YEAR($E139),IF(AN$18,2/(AN74+1)*($I139-SUM($W139:AM139))*IF(AN74&gt;1,AN$19,1),0),0)</f>
        <v>0</v>
      </c>
      <c r="AO139" s="46">
        <f>IF(YEAR(AO$4)&gt;YEAR($E139),IF(AO$18,2/(AO74+1)*($I139-SUM($W139:AN139))*IF(AO74&gt;1,AO$19,1),0),0)</f>
        <v>0</v>
      </c>
      <c r="AP139" s="46">
        <f>IF(YEAR(AP$4)&gt;YEAR($E139),IF(AP$18,2/(AP74+1)*($I139-SUM($W139:AO139))*IF(AP74&gt;1,AP$19,1),0),0)</f>
        <v>0</v>
      </c>
      <c r="AQ139" s="46">
        <f>IF(YEAR(AQ$4)&gt;YEAR($E139),IF(AQ$18,2/(AQ74+1)*($I139-SUM($W139:AP139))*IF(AQ74&gt;1,AQ$19,1),0),0)</f>
        <v>0</v>
      </c>
      <c r="AR139" s="46">
        <f>IF(YEAR(AR$4)&gt;YEAR($E139),IF(AR$18,2/(AR74+1)*($I139-SUM($W139:AQ139))*IF(AR74&gt;1,AR$19,1),0),0)</f>
        <v>0</v>
      </c>
      <c r="AS139" s="46">
        <f>IF(YEAR(AS$4)&gt;YEAR($E139),IF(AS$18,2/(AS74+1)*($I139-SUM($W139:AR139))*IF(AS74&gt;1,AS$19,1),0),0)</f>
        <v>0</v>
      </c>
      <c r="AT139" s="172">
        <f>IF(YEAR(AT$4)&gt;YEAR($E139),IF(AT$18,2/(AT74+1)*($I139-SUM($W139:AS139))*IF(AT74&gt;1,AT$19,1),0),0)</f>
        <v>0</v>
      </c>
      <c r="AU139" s="153">
        <f>IF(YEAR(AU$4)&gt;YEAR($E139),IF(AU$18,2/(AU74+1)*($I139-SUM($W139:AT139))*IF(AU74&gt;1,AU$19,1),0),0)</f>
        <v>0</v>
      </c>
      <c r="AV139" s="46">
        <f>IF(YEAR(AV$4)&gt;YEAR($E139),IF(AV$18,2/(AV74+1)*($I139-SUM($W139:AU139))*IF(AV74&gt;1,AV$19,1),0),0)</f>
        <v>0</v>
      </c>
      <c r="AW139" s="46">
        <f>IF(YEAR(AW$4)&gt;YEAR($E139),IF(AW$18,2/(AW74+1)*($I139-SUM($W139:AV139))*IF(AW74&gt;1,AW$19,1),0),0)</f>
        <v>0</v>
      </c>
      <c r="AX139" s="46">
        <f>IF(YEAR(AX$4)&gt;YEAR($E139),IF(AX$18,2/(AX74+1)*($I139-SUM($W139:AW139))*IF(AX74&gt;1,AX$19,1),0),0)</f>
        <v>0</v>
      </c>
      <c r="AY139" s="46">
        <f>IF(YEAR(AY$4)&gt;YEAR($E139),IF(AY$18,2/(AY74+1)*($I139-SUM($W139:AX139))*IF(AY74&gt;1,AY$19,1),0),0)</f>
        <v>0</v>
      </c>
      <c r="BA139" s="88" t="str">
        <f t="shared" ca="1" si="57"/>
        <v>Depreciation</v>
      </c>
      <c r="BB139" s="1" t="str">
        <f t="shared" si="58"/>
        <v>Sum of digits</v>
      </c>
      <c r="BC139" s="1" t="str">
        <f t="shared" si="59"/>
        <v>Accelerated profile</v>
      </c>
    </row>
    <row r="140" spans="2:55" x14ac:dyDescent="0.35"/>
    <row r="141" spans="2:55" x14ac:dyDescent="0.35"/>
    <row r="142" spans="2:55" ht="17.5" thickBot="1" x14ac:dyDescent="0.45">
      <c r="B142" s="15" t="s">
        <v>293</v>
      </c>
    </row>
    <row r="143" spans="2:55" ht="15" thickTop="1" x14ac:dyDescent="0.35">
      <c r="E143" s="2">
        <v>37711</v>
      </c>
      <c r="G143" t="str">
        <f t="shared" ref="G143:G171" si="60">price_label</f>
        <v>£m 23/24 prices</v>
      </c>
      <c r="I143" s="27" cm="1">
        <f t="array" ref="I143:I171">TRANSPOSE(W31:AY31)</f>
        <v>91.905465427581476</v>
      </c>
      <c r="J143" t="s">
        <v>13</v>
      </c>
      <c r="X143" s="12">
        <f t="shared" ref="X143:AY143" si="61">$I143*X79*(1-X$18)+$I143*X111*X$18</f>
        <v>3.9958898011991946</v>
      </c>
      <c r="Y143" s="12">
        <f t="shared" si="61"/>
        <v>3.9070922500614351</v>
      </c>
      <c r="Z143" s="12">
        <f t="shared" si="61"/>
        <v>3.8182946989236748</v>
      </c>
      <c r="AA143" s="12">
        <f t="shared" si="61"/>
        <v>3.7294971477859145</v>
      </c>
      <c r="AB143" s="12">
        <f t="shared" si="61"/>
        <v>3.640699596648155</v>
      </c>
      <c r="AC143" s="12">
        <f t="shared" si="61"/>
        <v>3.5519020455103951</v>
      </c>
      <c r="AD143" s="12">
        <f t="shared" si="61"/>
        <v>3.4631044943726357</v>
      </c>
      <c r="AE143" s="12">
        <f t="shared" si="61"/>
        <v>3.3743069432348753</v>
      </c>
      <c r="AF143" s="12">
        <f t="shared" si="61"/>
        <v>3.2855093920971159</v>
      </c>
      <c r="AG143" s="12">
        <f t="shared" si="61"/>
        <v>3.1967118409593556</v>
      </c>
      <c r="AH143" s="12">
        <f t="shared" si="61"/>
        <v>3.1079142898215957</v>
      </c>
      <c r="AI143" s="12">
        <f t="shared" si="61"/>
        <v>3.0191167386838362</v>
      </c>
      <c r="AJ143" s="12">
        <f t="shared" si="61"/>
        <v>2.9303191875460759</v>
      </c>
      <c r="AK143" s="12">
        <f t="shared" si="61"/>
        <v>2.841521636408316</v>
      </c>
      <c r="AL143" s="12">
        <f t="shared" si="61"/>
        <v>2.7527240852705561</v>
      </c>
      <c r="AM143" s="12">
        <f t="shared" si="61"/>
        <v>2.6639265341327962</v>
      </c>
      <c r="AN143" s="12">
        <f t="shared" si="61"/>
        <v>2.5751289829950368</v>
      </c>
      <c r="AO143" s="12">
        <f t="shared" si="61"/>
        <v>2.4863314318572769</v>
      </c>
      <c r="AP143" s="12">
        <f t="shared" si="61"/>
        <v>2.3975338807195166</v>
      </c>
      <c r="AQ143" s="12">
        <f t="shared" si="61"/>
        <v>2.3087363295817567</v>
      </c>
      <c r="AR143" s="12">
        <f t="shared" si="61"/>
        <v>2.2199387784439968</v>
      </c>
      <c r="AS143" s="12">
        <f t="shared" si="61"/>
        <v>2.1311412273062373</v>
      </c>
      <c r="AT143" s="69">
        <f t="shared" si="61"/>
        <v>2.0423436761684775</v>
      </c>
      <c r="AU143" s="152">
        <f t="shared" si="61"/>
        <v>1.9535461250307176</v>
      </c>
      <c r="AV143" s="12">
        <f t="shared" si="61"/>
        <v>1.8647485738929572</v>
      </c>
      <c r="AW143" s="12">
        <f t="shared" si="61"/>
        <v>1.7759510227551976</v>
      </c>
      <c r="AX143" s="12">
        <f t="shared" si="61"/>
        <v>1.6871534716174377</v>
      </c>
      <c r="AY143" s="12">
        <f t="shared" si="61"/>
        <v>1.5983559204796778</v>
      </c>
      <c r="BA143" s="88" t="str">
        <f t="shared" ref="BA143:BA171" ca="1" si="62">$A$1</f>
        <v>Depreciation</v>
      </c>
      <c r="BB143" s="1" t="str">
        <f t="shared" ref="BB143:BB171" si="63">$A$76</f>
        <v>Sum of digits</v>
      </c>
      <c r="BC143" s="1" t="str">
        <f>$B$142</f>
        <v>Depreciation</v>
      </c>
    </row>
    <row r="144" spans="2:55" x14ac:dyDescent="0.35">
      <c r="E144" s="2">
        <v>38077</v>
      </c>
      <c r="G144" t="str">
        <f t="shared" si="60"/>
        <v>£m 23/24 prices</v>
      </c>
      <c r="I144" s="27">
        <v>79.115440417778871</v>
      </c>
      <c r="J144" t="s">
        <v>13</v>
      </c>
      <c r="X144" s="12">
        <f t="shared" ref="X144:AY144" si="64">$I144*X80*(1-X$18)+$I144*X112*X$18</f>
        <v>0</v>
      </c>
      <c r="Y144" s="12">
        <f t="shared" si="64"/>
        <v>3.4398017572947333</v>
      </c>
      <c r="Z144" s="12">
        <f t="shared" si="64"/>
        <v>3.3633617182437399</v>
      </c>
      <c r="AA144" s="12">
        <f t="shared" si="64"/>
        <v>3.2869216791927451</v>
      </c>
      <c r="AB144" s="12">
        <f t="shared" si="64"/>
        <v>3.2104816401417509</v>
      </c>
      <c r="AC144" s="12">
        <f t="shared" si="64"/>
        <v>3.1340416010907575</v>
      </c>
      <c r="AD144" s="12">
        <f t="shared" si="64"/>
        <v>3.0576015620397632</v>
      </c>
      <c r="AE144" s="12">
        <f t="shared" si="64"/>
        <v>2.9811615229887694</v>
      </c>
      <c r="AF144" s="12">
        <f t="shared" si="64"/>
        <v>2.9047214839377751</v>
      </c>
      <c r="AG144" s="12">
        <f t="shared" si="64"/>
        <v>2.8282814448867812</v>
      </c>
      <c r="AH144" s="12">
        <f t="shared" si="64"/>
        <v>2.751841405835787</v>
      </c>
      <c r="AI144" s="12">
        <f t="shared" si="64"/>
        <v>2.6754013667847927</v>
      </c>
      <c r="AJ144" s="12">
        <f t="shared" si="64"/>
        <v>2.5989613277337988</v>
      </c>
      <c r="AK144" s="12">
        <f t="shared" si="64"/>
        <v>2.5225212886828046</v>
      </c>
      <c r="AL144" s="12">
        <f t="shared" si="64"/>
        <v>2.4460812496318103</v>
      </c>
      <c r="AM144" s="12">
        <f t="shared" si="64"/>
        <v>2.3696412105808164</v>
      </c>
      <c r="AN144" s="12">
        <f t="shared" si="64"/>
        <v>2.2932011715298222</v>
      </c>
      <c r="AO144" s="12">
        <f t="shared" si="64"/>
        <v>2.2167611324788283</v>
      </c>
      <c r="AP144" s="12">
        <f t="shared" si="64"/>
        <v>2.1403210934278345</v>
      </c>
      <c r="AQ144" s="12">
        <f t="shared" si="64"/>
        <v>2.0638810543768398</v>
      </c>
      <c r="AR144" s="12">
        <f t="shared" si="64"/>
        <v>1.9874410153258459</v>
      </c>
      <c r="AS144" s="12">
        <f t="shared" si="64"/>
        <v>1.9110009762748519</v>
      </c>
      <c r="AT144" s="69">
        <f t="shared" si="64"/>
        <v>1.8345609372238578</v>
      </c>
      <c r="AU144" s="152">
        <f t="shared" si="64"/>
        <v>1.7581208981728638</v>
      </c>
      <c r="AV144" s="12">
        <f t="shared" si="64"/>
        <v>1.6816808591218699</v>
      </c>
      <c r="AW144" s="12">
        <f t="shared" si="64"/>
        <v>1.6052408200708754</v>
      </c>
      <c r="AX144" s="12">
        <f t="shared" si="64"/>
        <v>1.5288007810198816</v>
      </c>
      <c r="AY144" s="12">
        <f t="shared" si="64"/>
        <v>1.4523607419688875</v>
      </c>
      <c r="BA144" s="88" t="str">
        <f t="shared" ca="1" si="62"/>
        <v>Depreciation</v>
      </c>
      <c r="BB144" s="1" t="str">
        <f t="shared" si="63"/>
        <v>Sum of digits</v>
      </c>
      <c r="BC144" s="1" t="str">
        <f t="shared" ref="BC144:BC171" si="65">$B$142</f>
        <v>Depreciation</v>
      </c>
    </row>
    <row r="145" spans="5:55" x14ac:dyDescent="0.35">
      <c r="E145" s="2">
        <v>38442</v>
      </c>
      <c r="G145" t="str">
        <f t="shared" si="60"/>
        <v>£m 23/24 prices</v>
      </c>
      <c r="I145" s="27">
        <v>57.28104057961589</v>
      </c>
      <c r="J145" t="s">
        <v>13</v>
      </c>
      <c r="X145" s="12">
        <f t="shared" ref="X145:AY145" si="66">$I145*X81*(1-X$18)+$I145*X113*X$18</f>
        <v>0</v>
      </c>
      <c r="Y145" s="12">
        <f t="shared" si="66"/>
        <v>0</v>
      </c>
      <c r="Z145" s="12">
        <f t="shared" si="66"/>
        <v>2.4904800252006907</v>
      </c>
      <c r="AA145" s="12">
        <f t="shared" si="66"/>
        <v>2.4351360246406757</v>
      </c>
      <c r="AB145" s="12">
        <f t="shared" si="66"/>
        <v>2.3797920240806603</v>
      </c>
      <c r="AC145" s="12">
        <f t="shared" si="66"/>
        <v>2.3244480235206448</v>
      </c>
      <c r="AD145" s="12">
        <f t="shared" si="66"/>
        <v>2.2691040229606294</v>
      </c>
      <c r="AE145" s="12">
        <f t="shared" si="66"/>
        <v>2.213760022400614</v>
      </c>
      <c r="AF145" s="12">
        <f t="shared" si="66"/>
        <v>2.158416021840599</v>
      </c>
      <c r="AG145" s="12">
        <f t="shared" si="66"/>
        <v>2.1030720212805836</v>
      </c>
      <c r="AH145" s="12">
        <f t="shared" si="66"/>
        <v>2.0477280207205681</v>
      </c>
      <c r="AI145" s="12">
        <f t="shared" si="66"/>
        <v>1.9923840201605527</v>
      </c>
      <c r="AJ145" s="12">
        <f t="shared" si="66"/>
        <v>1.9370400196005373</v>
      </c>
      <c r="AK145" s="12">
        <f t="shared" si="66"/>
        <v>1.8816960190405221</v>
      </c>
      <c r="AL145" s="12">
        <f t="shared" si="66"/>
        <v>1.8263520184805067</v>
      </c>
      <c r="AM145" s="12">
        <f t="shared" si="66"/>
        <v>1.7710080179204912</v>
      </c>
      <c r="AN145" s="12">
        <f t="shared" si="66"/>
        <v>1.715664017360476</v>
      </c>
      <c r="AO145" s="12">
        <f t="shared" si="66"/>
        <v>1.6603200168004606</v>
      </c>
      <c r="AP145" s="12">
        <f t="shared" si="66"/>
        <v>1.6049760162404454</v>
      </c>
      <c r="AQ145" s="12">
        <f t="shared" si="66"/>
        <v>1.54963201568043</v>
      </c>
      <c r="AR145" s="12">
        <f t="shared" si="66"/>
        <v>1.4942880151204145</v>
      </c>
      <c r="AS145" s="12">
        <f t="shared" si="66"/>
        <v>1.4389440145603991</v>
      </c>
      <c r="AT145" s="69">
        <f t="shared" si="66"/>
        <v>1.3836000140003839</v>
      </c>
      <c r="AU145" s="152">
        <f t="shared" si="66"/>
        <v>1.3282560134403685</v>
      </c>
      <c r="AV145" s="12">
        <f t="shared" si="66"/>
        <v>1.2729120128803533</v>
      </c>
      <c r="AW145" s="12">
        <f t="shared" si="66"/>
        <v>1.2175680123203378</v>
      </c>
      <c r="AX145" s="12">
        <f t="shared" si="66"/>
        <v>1.1622240117603224</v>
      </c>
      <c r="AY145" s="12">
        <f t="shared" si="66"/>
        <v>1.106880011200307</v>
      </c>
      <c r="BA145" s="88" t="str">
        <f t="shared" ca="1" si="62"/>
        <v>Depreciation</v>
      </c>
      <c r="BB145" s="1" t="str">
        <f t="shared" si="63"/>
        <v>Sum of digits</v>
      </c>
      <c r="BC145" s="1" t="str">
        <f t="shared" si="65"/>
        <v>Depreciation</v>
      </c>
    </row>
    <row r="146" spans="5:55" x14ac:dyDescent="0.35">
      <c r="E146" s="2">
        <v>38807</v>
      </c>
      <c r="G146" t="str">
        <f t="shared" si="60"/>
        <v>£m 23/24 prices</v>
      </c>
      <c r="I146" s="27">
        <v>66.994243886430311</v>
      </c>
      <c r="J146" t="s">
        <v>13</v>
      </c>
      <c r="X146" s="12">
        <f t="shared" ref="X146:AY146" si="67">$I146*X82*(1-X$18)+$I146*X114*X$18</f>
        <v>0</v>
      </c>
      <c r="Y146" s="12">
        <f t="shared" si="67"/>
        <v>0</v>
      </c>
      <c r="Z146" s="12">
        <f t="shared" si="67"/>
        <v>0</v>
      </c>
      <c r="AA146" s="12">
        <f t="shared" si="67"/>
        <v>2.9127932124534919</v>
      </c>
      <c r="AB146" s="12">
        <f t="shared" si="67"/>
        <v>2.8480644743989698</v>
      </c>
      <c r="AC146" s="12">
        <f t="shared" si="67"/>
        <v>2.7833357363444478</v>
      </c>
      <c r="AD146" s="12">
        <f t="shared" si="67"/>
        <v>2.7186069982899257</v>
      </c>
      <c r="AE146" s="12">
        <f t="shared" si="67"/>
        <v>2.6538782602354036</v>
      </c>
      <c r="AF146" s="12">
        <f t="shared" si="67"/>
        <v>2.5891495221808816</v>
      </c>
      <c r="AG146" s="12">
        <f t="shared" si="67"/>
        <v>2.5244207841263595</v>
      </c>
      <c r="AH146" s="12">
        <f t="shared" si="67"/>
        <v>2.4596920460718374</v>
      </c>
      <c r="AI146" s="12">
        <f t="shared" si="67"/>
        <v>2.3949633080173158</v>
      </c>
      <c r="AJ146" s="12">
        <f t="shared" si="67"/>
        <v>2.3302345699627933</v>
      </c>
      <c r="AK146" s="12">
        <f t="shared" si="67"/>
        <v>2.2655058319082713</v>
      </c>
      <c r="AL146" s="12">
        <f t="shared" si="67"/>
        <v>2.2007770938537496</v>
      </c>
      <c r="AM146" s="12">
        <f t="shared" si="67"/>
        <v>2.1360483557992271</v>
      </c>
      <c r="AN146" s="12">
        <f t="shared" si="67"/>
        <v>2.0713196177447051</v>
      </c>
      <c r="AO146" s="12">
        <f t="shared" si="67"/>
        <v>2.006590879690183</v>
      </c>
      <c r="AP146" s="12">
        <f t="shared" si="67"/>
        <v>1.9418621416356612</v>
      </c>
      <c r="AQ146" s="12">
        <f t="shared" si="67"/>
        <v>1.8771334035811391</v>
      </c>
      <c r="AR146" s="12">
        <f t="shared" si="67"/>
        <v>1.8124046655266173</v>
      </c>
      <c r="AS146" s="12">
        <f t="shared" si="67"/>
        <v>1.747675927472095</v>
      </c>
      <c r="AT146" s="69">
        <f t="shared" si="67"/>
        <v>1.6829471894175729</v>
      </c>
      <c r="AU146" s="152">
        <f t="shared" si="67"/>
        <v>1.6182184513630509</v>
      </c>
      <c r="AV146" s="12">
        <f t="shared" si="67"/>
        <v>1.553489713308529</v>
      </c>
      <c r="AW146" s="12">
        <f t="shared" si="67"/>
        <v>1.488760975254007</v>
      </c>
      <c r="AX146" s="12">
        <f t="shared" si="67"/>
        <v>1.4240322371994849</v>
      </c>
      <c r="AY146" s="12">
        <f t="shared" si="67"/>
        <v>1.3593034991449628</v>
      </c>
      <c r="BA146" s="88" t="str">
        <f t="shared" ca="1" si="62"/>
        <v>Depreciation</v>
      </c>
      <c r="BB146" s="1" t="str">
        <f t="shared" si="63"/>
        <v>Sum of digits</v>
      </c>
      <c r="BC146" s="1" t="str">
        <f t="shared" si="65"/>
        <v>Depreciation</v>
      </c>
    </row>
    <row r="147" spans="5:55" x14ac:dyDescent="0.35">
      <c r="E147" s="2">
        <v>39172</v>
      </c>
      <c r="G147" t="str">
        <f t="shared" si="60"/>
        <v>£m 23/24 prices</v>
      </c>
      <c r="I147" s="27">
        <v>49.644047772208971</v>
      </c>
      <c r="J147" t="s">
        <v>13</v>
      </c>
      <c r="X147" s="12">
        <f t="shared" ref="X147:AY147" si="68">$I147*X83*(1-X$18)+$I147*X115*X$18</f>
        <v>0</v>
      </c>
      <c r="Y147" s="12">
        <f t="shared" si="68"/>
        <v>0</v>
      </c>
      <c r="Z147" s="12">
        <f t="shared" si="68"/>
        <v>0</v>
      </c>
      <c r="AA147" s="12">
        <f t="shared" si="68"/>
        <v>0</v>
      </c>
      <c r="AB147" s="12">
        <f t="shared" si="68"/>
        <v>2.1584368596612595</v>
      </c>
      <c r="AC147" s="12">
        <f t="shared" si="68"/>
        <v>2.1104715961132317</v>
      </c>
      <c r="AD147" s="12">
        <f t="shared" si="68"/>
        <v>2.0625063325652038</v>
      </c>
      <c r="AE147" s="12">
        <f t="shared" si="68"/>
        <v>2.0145410690171754</v>
      </c>
      <c r="AF147" s="12">
        <f t="shared" si="68"/>
        <v>1.9665758054691478</v>
      </c>
      <c r="AG147" s="12">
        <f t="shared" si="68"/>
        <v>1.9186105419211195</v>
      </c>
      <c r="AH147" s="12">
        <f t="shared" si="68"/>
        <v>1.8706452783730918</v>
      </c>
      <c r="AI147" s="12">
        <f t="shared" si="68"/>
        <v>1.8226800148250637</v>
      </c>
      <c r="AJ147" s="12">
        <f t="shared" si="68"/>
        <v>1.7747147512770358</v>
      </c>
      <c r="AK147" s="12">
        <f t="shared" si="68"/>
        <v>1.7267494877290077</v>
      </c>
      <c r="AL147" s="12">
        <f t="shared" si="68"/>
        <v>1.6787842241809796</v>
      </c>
      <c r="AM147" s="12">
        <f t="shared" si="68"/>
        <v>1.6308189606329517</v>
      </c>
      <c r="AN147" s="12">
        <f t="shared" si="68"/>
        <v>1.5828536970849236</v>
      </c>
      <c r="AO147" s="12">
        <f t="shared" si="68"/>
        <v>1.5348884335368957</v>
      </c>
      <c r="AP147" s="12">
        <f t="shared" si="68"/>
        <v>1.4869231699888676</v>
      </c>
      <c r="AQ147" s="12">
        <f t="shared" si="68"/>
        <v>1.4389579064408398</v>
      </c>
      <c r="AR147" s="12">
        <f t="shared" si="68"/>
        <v>1.3909926428928119</v>
      </c>
      <c r="AS147" s="12">
        <f t="shared" si="68"/>
        <v>1.3430273793447838</v>
      </c>
      <c r="AT147" s="69">
        <f t="shared" si="68"/>
        <v>1.2950621157967557</v>
      </c>
      <c r="AU147" s="152">
        <f t="shared" si="68"/>
        <v>1.2470968522487278</v>
      </c>
      <c r="AV147" s="12">
        <f t="shared" si="68"/>
        <v>1.1991315887006997</v>
      </c>
      <c r="AW147" s="12">
        <f t="shared" si="68"/>
        <v>1.1511663251526718</v>
      </c>
      <c r="AX147" s="12">
        <f t="shared" si="68"/>
        <v>1.1032010616046439</v>
      </c>
      <c r="AY147" s="12">
        <f t="shared" si="68"/>
        <v>1.0552357980566158</v>
      </c>
      <c r="BA147" s="88" t="str">
        <f t="shared" ca="1" si="62"/>
        <v>Depreciation</v>
      </c>
      <c r="BB147" s="1" t="str">
        <f t="shared" si="63"/>
        <v>Sum of digits</v>
      </c>
      <c r="BC147" s="1" t="str">
        <f t="shared" si="65"/>
        <v>Depreciation</v>
      </c>
    </row>
    <row r="148" spans="5:55" x14ac:dyDescent="0.35">
      <c r="E148" s="2">
        <v>39538</v>
      </c>
      <c r="G148" t="str">
        <f t="shared" si="60"/>
        <v>£m 23/24 prices</v>
      </c>
      <c r="I148" s="27">
        <v>133.37914749620904</v>
      </c>
      <c r="J148" t="s">
        <v>13</v>
      </c>
      <c r="X148" s="12">
        <f t="shared" ref="X148:AY148" si="69">$I148*X84*(1-X$18)+$I148*X116*X$18</f>
        <v>0</v>
      </c>
      <c r="Y148" s="12">
        <f t="shared" si="69"/>
        <v>0</v>
      </c>
      <c r="Z148" s="12">
        <f t="shared" si="69"/>
        <v>0</v>
      </c>
      <c r="AA148" s="12">
        <f t="shared" si="69"/>
        <v>0</v>
      </c>
      <c r="AB148" s="12">
        <f t="shared" si="69"/>
        <v>0</v>
      </c>
      <c r="AC148" s="12">
        <f t="shared" si="69"/>
        <v>5.799093369400393</v>
      </c>
      <c r="AD148" s="12">
        <f t="shared" si="69"/>
        <v>5.6702246278581629</v>
      </c>
      <c r="AE148" s="12">
        <f t="shared" si="69"/>
        <v>5.5413558863159311</v>
      </c>
      <c r="AF148" s="12">
        <f t="shared" si="69"/>
        <v>5.4124871447737002</v>
      </c>
      <c r="AG148" s="12">
        <f t="shared" si="69"/>
        <v>5.2836184032314693</v>
      </c>
      <c r="AH148" s="12">
        <f t="shared" si="69"/>
        <v>5.1547496616892383</v>
      </c>
      <c r="AI148" s="12">
        <f t="shared" si="69"/>
        <v>5.0258809201470074</v>
      </c>
      <c r="AJ148" s="12">
        <f t="shared" si="69"/>
        <v>4.8970121786047764</v>
      </c>
      <c r="AK148" s="12">
        <f t="shared" si="69"/>
        <v>4.7681434370625464</v>
      </c>
      <c r="AL148" s="12">
        <f t="shared" si="69"/>
        <v>4.6392746955203146</v>
      </c>
      <c r="AM148" s="12">
        <f t="shared" si="69"/>
        <v>4.5104059539780836</v>
      </c>
      <c r="AN148" s="12">
        <f t="shared" si="69"/>
        <v>4.3815372124358527</v>
      </c>
      <c r="AO148" s="12">
        <f t="shared" si="69"/>
        <v>4.2526684708936218</v>
      </c>
      <c r="AP148" s="12">
        <f t="shared" si="69"/>
        <v>4.1237997293513908</v>
      </c>
      <c r="AQ148" s="12">
        <f t="shared" si="69"/>
        <v>3.9949309878091599</v>
      </c>
      <c r="AR148" s="12">
        <f t="shared" si="69"/>
        <v>3.866062246266929</v>
      </c>
      <c r="AS148" s="12">
        <f t="shared" si="69"/>
        <v>3.737193504724698</v>
      </c>
      <c r="AT148" s="69">
        <f t="shared" si="69"/>
        <v>3.6083247631824671</v>
      </c>
      <c r="AU148" s="152">
        <f t="shared" si="69"/>
        <v>3.4794560216402357</v>
      </c>
      <c r="AV148" s="12">
        <f t="shared" si="69"/>
        <v>3.3505872800980048</v>
      </c>
      <c r="AW148" s="12">
        <f t="shared" si="69"/>
        <v>3.2217185385557738</v>
      </c>
      <c r="AX148" s="12">
        <f t="shared" si="69"/>
        <v>3.0928497970135429</v>
      </c>
      <c r="AY148" s="12">
        <f t="shared" si="69"/>
        <v>2.963981055471312</v>
      </c>
      <c r="BA148" s="88" t="str">
        <f t="shared" ca="1" si="62"/>
        <v>Depreciation</v>
      </c>
      <c r="BB148" s="1" t="str">
        <f t="shared" si="63"/>
        <v>Sum of digits</v>
      </c>
      <c r="BC148" s="1" t="str">
        <f t="shared" si="65"/>
        <v>Depreciation</v>
      </c>
    </row>
    <row r="149" spans="5:55" x14ac:dyDescent="0.35">
      <c r="E149" s="2">
        <v>39903</v>
      </c>
      <c r="G149" t="str">
        <f t="shared" si="60"/>
        <v>£m 23/24 prices</v>
      </c>
      <c r="I149" s="27">
        <v>144.02328495601324</v>
      </c>
      <c r="J149" t="s">
        <v>13</v>
      </c>
      <c r="X149" s="12">
        <f t="shared" ref="X149:AY149" si="70">$I149*X85*(1-X$18)+$I149*X117*X$18</f>
        <v>0</v>
      </c>
      <c r="Y149" s="12">
        <f t="shared" si="70"/>
        <v>0</v>
      </c>
      <c r="Z149" s="12">
        <f t="shared" si="70"/>
        <v>0</v>
      </c>
      <c r="AA149" s="12">
        <f t="shared" si="70"/>
        <v>0</v>
      </c>
      <c r="AB149" s="12">
        <f t="shared" si="70"/>
        <v>0</v>
      </c>
      <c r="AC149" s="12">
        <f t="shared" si="70"/>
        <v>0</v>
      </c>
      <c r="AD149" s="12">
        <f t="shared" si="70"/>
        <v>6.2618819546092714</v>
      </c>
      <c r="AE149" s="12">
        <f t="shared" si="70"/>
        <v>6.1227290222846209</v>
      </c>
      <c r="AF149" s="12">
        <f t="shared" si="70"/>
        <v>5.9835760899599704</v>
      </c>
      <c r="AG149" s="12">
        <f t="shared" si="70"/>
        <v>5.8444231576353198</v>
      </c>
      <c r="AH149" s="12">
        <f t="shared" si="70"/>
        <v>5.7052702253106693</v>
      </c>
      <c r="AI149" s="12">
        <f t="shared" si="70"/>
        <v>5.5661172929860188</v>
      </c>
      <c r="AJ149" s="12">
        <f t="shared" si="70"/>
        <v>5.4269643606613691</v>
      </c>
      <c r="AK149" s="12">
        <f t="shared" si="70"/>
        <v>5.2878114283367177</v>
      </c>
      <c r="AL149" s="12">
        <f t="shared" si="70"/>
        <v>5.148658496012068</v>
      </c>
      <c r="AM149" s="12">
        <f t="shared" si="70"/>
        <v>5.0095055636874175</v>
      </c>
      <c r="AN149" s="12">
        <f t="shared" si="70"/>
        <v>4.8703526313627661</v>
      </c>
      <c r="AO149" s="12">
        <f t="shared" si="70"/>
        <v>4.7311996990381164</v>
      </c>
      <c r="AP149" s="12">
        <f t="shared" si="70"/>
        <v>4.5920467667134659</v>
      </c>
      <c r="AQ149" s="12">
        <f t="shared" si="70"/>
        <v>4.4528938343888154</v>
      </c>
      <c r="AR149" s="12">
        <f t="shared" si="70"/>
        <v>4.3137409020641648</v>
      </c>
      <c r="AS149" s="12">
        <f t="shared" si="70"/>
        <v>4.1745879697395143</v>
      </c>
      <c r="AT149" s="69">
        <f t="shared" si="70"/>
        <v>4.0354350374148638</v>
      </c>
      <c r="AU149" s="152">
        <f t="shared" si="70"/>
        <v>3.8962821050902137</v>
      </c>
      <c r="AV149" s="12">
        <f t="shared" si="70"/>
        <v>3.7571291727655627</v>
      </c>
      <c r="AW149" s="12">
        <f t="shared" si="70"/>
        <v>3.6179762404409122</v>
      </c>
      <c r="AX149" s="12">
        <f t="shared" si="70"/>
        <v>3.4788233081162621</v>
      </c>
      <c r="AY149" s="12">
        <f t="shared" si="70"/>
        <v>3.3396703757916115</v>
      </c>
      <c r="BA149" s="88" t="str">
        <f t="shared" ca="1" si="62"/>
        <v>Depreciation</v>
      </c>
      <c r="BB149" s="1" t="str">
        <f t="shared" si="63"/>
        <v>Sum of digits</v>
      </c>
      <c r="BC149" s="1" t="str">
        <f t="shared" si="65"/>
        <v>Depreciation</v>
      </c>
    </row>
    <row r="150" spans="5:55" x14ac:dyDescent="0.35">
      <c r="E150" s="2">
        <v>40268</v>
      </c>
      <c r="G150" t="str">
        <f t="shared" si="60"/>
        <v>£m 23/24 prices</v>
      </c>
      <c r="I150" s="27">
        <v>189.59720839926936</v>
      </c>
      <c r="J150" t="s">
        <v>13</v>
      </c>
      <c r="X150" s="12">
        <f t="shared" ref="X150:AY150" si="71">$I150*X86*(1-X$18)+$I150*X118*X$18</f>
        <v>0</v>
      </c>
      <c r="Y150" s="12">
        <f t="shared" si="71"/>
        <v>0</v>
      </c>
      <c r="Z150" s="12">
        <f t="shared" si="71"/>
        <v>0</v>
      </c>
      <c r="AA150" s="12">
        <f t="shared" si="71"/>
        <v>0</v>
      </c>
      <c r="AB150" s="12">
        <f t="shared" si="71"/>
        <v>0</v>
      </c>
      <c r="AC150" s="12">
        <f t="shared" si="71"/>
        <v>0</v>
      </c>
      <c r="AD150" s="12">
        <f t="shared" si="71"/>
        <v>0</v>
      </c>
      <c r="AE150" s="12">
        <f t="shared" si="71"/>
        <v>8.2433568869247544</v>
      </c>
      <c r="AF150" s="12">
        <f t="shared" si="71"/>
        <v>8.0601711783264278</v>
      </c>
      <c r="AG150" s="12">
        <f t="shared" si="71"/>
        <v>7.8769854697280994</v>
      </c>
      <c r="AH150" s="12">
        <f t="shared" si="71"/>
        <v>7.693799761129771</v>
      </c>
      <c r="AI150" s="12">
        <f t="shared" si="71"/>
        <v>7.5106140525314435</v>
      </c>
      <c r="AJ150" s="12">
        <f t="shared" si="71"/>
        <v>7.3274283439331152</v>
      </c>
      <c r="AK150" s="12">
        <f t="shared" si="71"/>
        <v>7.1442426353347876</v>
      </c>
      <c r="AL150" s="12">
        <f t="shared" si="71"/>
        <v>6.9610569267364593</v>
      </c>
      <c r="AM150" s="12">
        <f t="shared" si="71"/>
        <v>6.7778712181381326</v>
      </c>
      <c r="AN150" s="12">
        <f t="shared" si="71"/>
        <v>6.5946855095398043</v>
      </c>
      <c r="AO150" s="12">
        <f t="shared" si="71"/>
        <v>6.4114998009414759</v>
      </c>
      <c r="AP150" s="12">
        <f t="shared" si="71"/>
        <v>6.2283140923431484</v>
      </c>
      <c r="AQ150" s="12">
        <f t="shared" si="71"/>
        <v>6.04512838374482</v>
      </c>
      <c r="AR150" s="12">
        <f t="shared" si="71"/>
        <v>5.8619426751464925</v>
      </c>
      <c r="AS150" s="12">
        <f t="shared" si="71"/>
        <v>5.6787569665481641</v>
      </c>
      <c r="AT150" s="69">
        <f t="shared" si="71"/>
        <v>5.4955712579498366</v>
      </c>
      <c r="AU150" s="152">
        <f t="shared" si="71"/>
        <v>5.3123855493515091</v>
      </c>
      <c r="AV150" s="12">
        <f t="shared" si="71"/>
        <v>5.1291998407531807</v>
      </c>
      <c r="AW150" s="12">
        <f t="shared" si="71"/>
        <v>4.9460141321548523</v>
      </c>
      <c r="AX150" s="12">
        <f t="shared" si="71"/>
        <v>4.7628284235565248</v>
      </c>
      <c r="AY150" s="12">
        <f t="shared" si="71"/>
        <v>4.5796427149581973</v>
      </c>
      <c r="BA150" s="88" t="str">
        <f t="shared" ca="1" si="62"/>
        <v>Depreciation</v>
      </c>
      <c r="BB150" s="1" t="str">
        <f t="shared" si="63"/>
        <v>Sum of digits</v>
      </c>
      <c r="BC150" s="1" t="str">
        <f t="shared" si="65"/>
        <v>Depreciation</v>
      </c>
    </row>
    <row r="151" spans="5:55" x14ac:dyDescent="0.35">
      <c r="E151" s="2">
        <v>40633</v>
      </c>
      <c r="G151" t="str">
        <f t="shared" si="60"/>
        <v>£m 23/24 prices</v>
      </c>
      <c r="I151" s="27">
        <v>197.52068254319832</v>
      </c>
      <c r="J151" t="s">
        <v>13</v>
      </c>
      <c r="X151" s="12">
        <f t="shared" ref="X151:AY151" si="72">$I151*X87*(1-X$18)+$I151*X119*X$18</f>
        <v>0</v>
      </c>
      <c r="Y151" s="12">
        <f t="shared" si="72"/>
        <v>0</v>
      </c>
      <c r="Z151" s="12">
        <f t="shared" si="72"/>
        <v>0</v>
      </c>
      <c r="AA151" s="12">
        <f t="shared" si="72"/>
        <v>0</v>
      </c>
      <c r="AB151" s="12">
        <f t="shared" si="72"/>
        <v>0</v>
      </c>
      <c r="AC151" s="12">
        <f t="shared" si="72"/>
        <v>0</v>
      </c>
      <c r="AD151" s="12">
        <f t="shared" si="72"/>
        <v>0</v>
      </c>
      <c r="AE151" s="12">
        <f t="shared" si="72"/>
        <v>0</v>
      </c>
      <c r="AF151" s="12">
        <f t="shared" si="72"/>
        <v>8.5878557627477523</v>
      </c>
      <c r="AG151" s="12">
        <f t="shared" si="72"/>
        <v>8.3970145235755815</v>
      </c>
      <c r="AH151" s="12">
        <f t="shared" si="72"/>
        <v>8.206173284403409</v>
      </c>
      <c r="AI151" s="12">
        <f t="shared" si="72"/>
        <v>8.0153320452312364</v>
      </c>
      <c r="AJ151" s="12">
        <f t="shared" si="72"/>
        <v>7.8244908060590639</v>
      </c>
      <c r="AK151" s="12">
        <f t="shared" si="72"/>
        <v>7.6336495668868913</v>
      </c>
      <c r="AL151" s="12">
        <f t="shared" si="72"/>
        <v>7.4428083277147197</v>
      </c>
      <c r="AM151" s="12">
        <f t="shared" si="72"/>
        <v>7.2519670885425471</v>
      </c>
      <c r="AN151" s="12">
        <f t="shared" si="72"/>
        <v>7.0611258493703755</v>
      </c>
      <c r="AO151" s="12">
        <f t="shared" si="72"/>
        <v>6.8702846101982029</v>
      </c>
      <c r="AP151" s="12">
        <f t="shared" si="72"/>
        <v>6.6794433710260295</v>
      </c>
      <c r="AQ151" s="12">
        <f t="shared" si="72"/>
        <v>6.4886021318538578</v>
      </c>
      <c r="AR151" s="12">
        <f t="shared" si="72"/>
        <v>6.2977608926816853</v>
      </c>
      <c r="AS151" s="12">
        <f t="shared" si="72"/>
        <v>6.1069196535095127</v>
      </c>
      <c r="AT151" s="69">
        <f t="shared" si="72"/>
        <v>5.9160784143373411</v>
      </c>
      <c r="AU151" s="152">
        <f t="shared" si="72"/>
        <v>5.7252371751651685</v>
      </c>
      <c r="AV151" s="12">
        <f t="shared" si="72"/>
        <v>5.5343959359929968</v>
      </c>
      <c r="AW151" s="12">
        <f t="shared" si="72"/>
        <v>5.3435546968208243</v>
      </c>
      <c r="AX151" s="12">
        <f t="shared" si="72"/>
        <v>5.1527134576486517</v>
      </c>
      <c r="AY151" s="12">
        <f t="shared" si="72"/>
        <v>4.9618722184764792</v>
      </c>
      <c r="BA151" s="88" t="str">
        <f t="shared" ca="1" si="62"/>
        <v>Depreciation</v>
      </c>
      <c r="BB151" s="1" t="str">
        <f t="shared" si="63"/>
        <v>Sum of digits</v>
      </c>
      <c r="BC151" s="1" t="str">
        <f t="shared" si="65"/>
        <v>Depreciation</v>
      </c>
    </row>
    <row r="152" spans="5:55" x14ac:dyDescent="0.35">
      <c r="E152" s="2">
        <v>40999</v>
      </c>
      <c r="G152" t="str">
        <f t="shared" si="60"/>
        <v>£m 23/24 prices</v>
      </c>
      <c r="I152" s="27">
        <v>177.25045037918576</v>
      </c>
      <c r="J152" t="s">
        <v>13</v>
      </c>
      <c r="X152" s="12">
        <f t="shared" ref="X152:AY152" si="73">$I152*X88*(1-X$18)+$I152*X120*X$18</f>
        <v>0</v>
      </c>
      <c r="Y152" s="12">
        <f t="shared" si="73"/>
        <v>0</v>
      </c>
      <c r="Z152" s="12">
        <f t="shared" si="73"/>
        <v>0</v>
      </c>
      <c r="AA152" s="12">
        <f t="shared" si="73"/>
        <v>0</v>
      </c>
      <c r="AB152" s="12">
        <f t="shared" si="73"/>
        <v>0</v>
      </c>
      <c r="AC152" s="12">
        <f t="shared" si="73"/>
        <v>0</v>
      </c>
      <c r="AD152" s="12">
        <f t="shared" si="73"/>
        <v>0</v>
      </c>
      <c r="AE152" s="12">
        <f t="shared" si="73"/>
        <v>0</v>
      </c>
      <c r="AF152" s="12">
        <f t="shared" si="73"/>
        <v>0</v>
      </c>
      <c r="AG152" s="12">
        <f t="shared" si="73"/>
        <v>7.7065413208341633</v>
      </c>
      <c r="AH152" s="12">
        <f t="shared" si="73"/>
        <v>7.5352848470378495</v>
      </c>
      <c r="AI152" s="12">
        <f t="shared" si="73"/>
        <v>7.3640283732415339</v>
      </c>
      <c r="AJ152" s="12">
        <f t="shared" si="73"/>
        <v>7.1927718994452192</v>
      </c>
      <c r="AK152" s="12">
        <f t="shared" si="73"/>
        <v>7.0215154256489045</v>
      </c>
      <c r="AL152" s="12">
        <f t="shared" si="73"/>
        <v>6.8502589518525898</v>
      </c>
      <c r="AM152" s="12">
        <f t="shared" si="73"/>
        <v>6.679002478056276</v>
      </c>
      <c r="AN152" s="12">
        <f t="shared" si="73"/>
        <v>6.5077460042599604</v>
      </c>
      <c r="AO152" s="12">
        <f t="shared" si="73"/>
        <v>6.3364895304636466</v>
      </c>
      <c r="AP152" s="12">
        <f t="shared" si="73"/>
        <v>6.165233056667331</v>
      </c>
      <c r="AQ152" s="12">
        <f t="shared" si="73"/>
        <v>5.9939765828710154</v>
      </c>
      <c r="AR152" s="12">
        <f t="shared" si="73"/>
        <v>5.8227201090747016</v>
      </c>
      <c r="AS152" s="12">
        <f t="shared" si="73"/>
        <v>5.651463635278386</v>
      </c>
      <c r="AT152" s="69">
        <f t="shared" si="73"/>
        <v>5.4802071614820722</v>
      </c>
      <c r="AU152" s="152">
        <f t="shared" si="73"/>
        <v>5.3089506876857575</v>
      </c>
      <c r="AV152" s="12">
        <f t="shared" si="73"/>
        <v>5.1376942138894428</v>
      </c>
      <c r="AW152" s="12">
        <f t="shared" si="73"/>
        <v>4.9664377400931281</v>
      </c>
      <c r="AX152" s="12">
        <f t="shared" si="73"/>
        <v>4.7951812662968134</v>
      </c>
      <c r="AY152" s="12">
        <f t="shared" si="73"/>
        <v>4.6239247925004978</v>
      </c>
      <c r="BA152" s="88" t="str">
        <f t="shared" ca="1" si="62"/>
        <v>Depreciation</v>
      </c>
      <c r="BB152" s="1" t="str">
        <f t="shared" si="63"/>
        <v>Sum of digits</v>
      </c>
      <c r="BC152" s="1" t="str">
        <f t="shared" si="65"/>
        <v>Depreciation</v>
      </c>
    </row>
    <row r="153" spans="5:55" x14ac:dyDescent="0.35">
      <c r="E153" s="2">
        <v>41364</v>
      </c>
      <c r="G153" t="str">
        <f t="shared" si="60"/>
        <v>£m 23/24 prices</v>
      </c>
      <c r="I153" s="27">
        <v>110.81029182430835</v>
      </c>
      <c r="J153" t="s">
        <v>13</v>
      </c>
      <c r="X153" s="12">
        <f t="shared" ref="X153:AY153" si="74">$I153*X89*(1-X$18)+$I153*X121*X$18</f>
        <v>0</v>
      </c>
      <c r="Y153" s="12">
        <f t="shared" si="74"/>
        <v>0</v>
      </c>
      <c r="Z153" s="12">
        <f t="shared" si="74"/>
        <v>0</v>
      </c>
      <c r="AA153" s="12">
        <f t="shared" si="74"/>
        <v>0</v>
      </c>
      <c r="AB153" s="12">
        <f t="shared" si="74"/>
        <v>0</v>
      </c>
      <c r="AC153" s="12">
        <f t="shared" si="74"/>
        <v>0</v>
      </c>
      <c r="AD153" s="12">
        <f t="shared" si="74"/>
        <v>0</v>
      </c>
      <c r="AE153" s="12">
        <f t="shared" si="74"/>
        <v>0</v>
      </c>
      <c r="AF153" s="12">
        <f t="shared" si="74"/>
        <v>0</v>
      </c>
      <c r="AG153" s="12">
        <f t="shared" si="74"/>
        <v>0</v>
      </c>
      <c r="AH153" s="12">
        <f t="shared" si="74"/>
        <v>4.8178387749699283</v>
      </c>
      <c r="AI153" s="12">
        <f t="shared" si="74"/>
        <v>4.7107756910817082</v>
      </c>
      <c r="AJ153" s="12">
        <f t="shared" si="74"/>
        <v>4.6037126071934873</v>
      </c>
      <c r="AK153" s="12">
        <f t="shared" si="74"/>
        <v>4.4966495233052663</v>
      </c>
      <c r="AL153" s="12">
        <f t="shared" si="74"/>
        <v>4.3895864394170463</v>
      </c>
      <c r="AM153" s="12">
        <f t="shared" si="74"/>
        <v>4.2825233555288253</v>
      </c>
      <c r="AN153" s="12">
        <f t="shared" si="74"/>
        <v>4.1754602716406044</v>
      </c>
      <c r="AO153" s="12">
        <f t="shared" si="74"/>
        <v>4.0683971877523835</v>
      </c>
      <c r="AP153" s="12">
        <f t="shared" si="74"/>
        <v>3.9613341038641638</v>
      </c>
      <c r="AQ153" s="12">
        <f t="shared" si="74"/>
        <v>3.8542710199759429</v>
      </c>
      <c r="AR153" s="12">
        <f t="shared" si="74"/>
        <v>3.7472079360877215</v>
      </c>
      <c r="AS153" s="12">
        <f t="shared" si="74"/>
        <v>3.6401448521995015</v>
      </c>
      <c r="AT153" s="69">
        <f t="shared" si="74"/>
        <v>3.5330817683112805</v>
      </c>
      <c r="AU153" s="152">
        <f t="shared" si="74"/>
        <v>3.42601868442306</v>
      </c>
      <c r="AV153" s="12">
        <f t="shared" si="74"/>
        <v>3.3189556005348395</v>
      </c>
      <c r="AW153" s="12">
        <f t="shared" si="74"/>
        <v>3.211892516646619</v>
      </c>
      <c r="AX153" s="12">
        <f t="shared" si="74"/>
        <v>3.1048294327583985</v>
      </c>
      <c r="AY153" s="12">
        <f t="shared" si="74"/>
        <v>2.9977663488701776</v>
      </c>
      <c r="BA153" s="88" t="str">
        <f t="shared" ca="1" si="62"/>
        <v>Depreciation</v>
      </c>
      <c r="BB153" s="1" t="str">
        <f t="shared" si="63"/>
        <v>Sum of digits</v>
      </c>
      <c r="BC153" s="1" t="str">
        <f t="shared" si="65"/>
        <v>Depreciation</v>
      </c>
    </row>
    <row r="154" spans="5:55" x14ac:dyDescent="0.35">
      <c r="E154" s="2">
        <v>41729</v>
      </c>
      <c r="G154" t="str">
        <f t="shared" si="60"/>
        <v>£m 23/24 prices</v>
      </c>
      <c r="I154" s="27">
        <v>113.32221010949328</v>
      </c>
      <c r="J154" t="s">
        <v>13</v>
      </c>
      <c r="X154" s="12">
        <f t="shared" ref="X154:AY154" si="75">$I154*X90*(1-X$18)+$I154*X122*X$18</f>
        <v>0</v>
      </c>
      <c r="Y154" s="12">
        <f t="shared" si="75"/>
        <v>0</v>
      </c>
      <c r="Z154" s="12">
        <f t="shared" si="75"/>
        <v>0</v>
      </c>
      <c r="AA154" s="12">
        <f t="shared" si="75"/>
        <v>0</v>
      </c>
      <c r="AB154" s="12">
        <f t="shared" si="75"/>
        <v>0</v>
      </c>
      <c r="AC154" s="12">
        <f t="shared" si="75"/>
        <v>0</v>
      </c>
      <c r="AD154" s="12">
        <f t="shared" si="75"/>
        <v>0</v>
      </c>
      <c r="AE154" s="12">
        <f t="shared" si="75"/>
        <v>0</v>
      </c>
      <c r="AF154" s="12">
        <f t="shared" si="75"/>
        <v>0</v>
      </c>
      <c r="AG154" s="12">
        <f t="shared" si="75"/>
        <v>0</v>
      </c>
      <c r="AH154" s="12">
        <f t="shared" si="75"/>
        <v>0</v>
      </c>
      <c r="AI154" s="12">
        <f t="shared" si="75"/>
        <v>4.9270526134562296</v>
      </c>
      <c r="AJ154" s="12">
        <f t="shared" si="75"/>
        <v>4.8175625553794248</v>
      </c>
      <c r="AK154" s="12">
        <f t="shared" si="75"/>
        <v>4.7080724973026191</v>
      </c>
      <c r="AL154" s="12">
        <f t="shared" si="75"/>
        <v>4.5985824392258143</v>
      </c>
      <c r="AM154" s="12">
        <f t="shared" si="75"/>
        <v>4.4890923811490095</v>
      </c>
      <c r="AN154" s="12">
        <f t="shared" si="75"/>
        <v>4.3796023230722039</v>
      </c>
      <c r="AO154" s="12">
        <f t="shared" si="75"/>
        <v>4.2701122649953991</v>
      </c>
      <c r="AP154" s="12">
        <f t="shared" si="75"/>
        <v>4.1606222069185943</v>
      </c>
      <c r="AQ154" s="12">
        <f t="shared" si="75"/>
        <v>4.0511321488417895</v>
      </c>
      <c r="AR154" s="12">
        <f t="shared" si="75"/>
        <v>3.9416420907649838</v>
      </c>
      <c r="AS154" s="12">
        <f t="shared" si="75"/>
        <v>3.8321520326881786</v>
      </c>
      <c r="AT154" s="69">
        <f t="shared" si="75"/>
        <v>3.7226619746113738</v>
      </c>
      <c r="AU154" s="152">
        <f t="shared" si="75"/>
        <v>3.6131719165345682</v>
      </c>
      <c r="AV154" s="12">
        <f t="shared" si="75"/>
        <v>3.5036818584577634</v>
      </c>
      <c r="AW154" s="12">
        <f t="shared" si="75"/>
        <v>3.3941918003809581</v>
      </c>
      <c r="AX154" s="12">
        <f t="shared" si="75"/>
        <v>3.2847017423041533</v>
      </c>
      <c r="AY154" s="12">
        <f t="shared" si="75"/>
        <v>3.1752116842273481</v>
      </c>
      <c r="BA154" s="88" t="str">
        <f t="shared" ca="1" si="62"/>
        <v>Depreciation</v>
      </c>
      <c r="BB154" s="1" t="str">
        <f t="shared" si="63"/>
        <v>Sum of digits</v>
      </c>
      <c r="BC154" s="1" t="str">
        <f t="shared" si="65"/>
        <v>Depreciation</v>
      </c>
    </row>
    <row r="155" spans="5:55" x14ac:dyDescent="0.35">
      <c r="E155" s="2">
        <v>42094</v>
      </c>
      <c r="G155" t="str">
        <f t="shared" si="60"/>
        <v>£m 23/24 prices</v>
      </c>
      <c r="I155" s="27">
        <v>109.76500366917041</v>
      </c>
      <c r="J155" t="s">
        <v>13</v>
      </c>
      <c r="X155" s="12">
        <f t="shared" ref="X155:AY155" si="76">$I155*X91*(1-X$18)+$I155*X123*X$18</f>
        <v>0</v>
      </c>
      <c r="Y155" s="12">
        <f t="shared" si="76"/>
        <v>0</v>
      </c>
      <c r="Z155" s="12">
        <f t="shared" si="76"/>
        <v>0</v>
      </c>
      <c r="AA155" s="12">
        <f t="shared" si="76"/>
        <v>0</v>
      </c>
      <c r="AB155" s="12">
        <f t="shared" si="76"/>
        <v>0</v>
      </c>
      <c r="AC155" s="12">
        <f t="shared" si="76"/>
        <v>0</v>
      </c>
      <c r="AD155" s="12">
        <f t="shared" si="76"/>
        <v>0</v>
      </c>
      <c r="AE155" s="12">
        <f t="shared" si="76"/>
        <v>0</v>
      </c>
      <c r="AF155" s="12">
        <f t="shared" si="76"/>
        <v>0</v>
      </c>
      <c r="AG155" s="12">
        <f t="shared" si="76"/>
        <v>0</v>
      </c>
      <c r="AH155" s="12">
        <f t="shared" si="76"/>
        <v>0</v>
      </c>
      <c r="AI155" s="12">
        <f t="shared" si="76"/>
        <v>0</v>
      </c>
      <c r="AJ155" s="12">
        <f t="shared" si="76"/>
        <v>4.772391463876974</v>
      </c>
      <c r="AK155" s="12">
        <f t="shared" si="76"/>
        <v>4.6663383202352646</v>
      </c>
      <c r="AL155" s="12">
        <f t="shared" si="76"/>
        <v>4.5602851765935535</v>
      </c>
      <c r="AM155" s="12">
        <f t="shared" si="76"/>
        <v>4.4542320329518423</v>
      </c>
      <c r="AN155" s="12">
        <f t="shared" si="76"/>
        <v>4.3481788893101321</v>
      </c>
      <c r="AO155" s="12">
        <f t="shared" si="76"/>
        <v>4.2421257456684218</v>
      </c>
      <c r="AP155" s="12">
        <f t="shared" si="76"/>
        <v>4.1360726020267116</v>
      </c>
      <c r="AQ155" s="12">
        <f t="shared" si="76"/>
        <v>4.0300194583850004</v>
      </c>
      <c r="AR155" s="12">
        <f t="shared" si="76"/>
        <v>3.9239663147432906</v>
      </c>
      <c r="AS155" s="12">
        <f t="shared" si="76"/>
        <v>3.8179131711015795</v>
      </c>
      <c r="AT155" s="69">
        <f t="shared" si="76"/>
        <v>3.7118600274598688</v>
      </c>
      <c r="AU155" s="152">
        <f t="shared" si="76"/>
        <v>3.6058068838181585</v>
      </c>
      <c r="AV155" s="12">
        <f t="shared" si="76"/>
        <v>3.4997537401764478</v>
      </c>
      <c r="AW155" s="12">
        <f t="shared" si="76"/>
        <v>3.3937005965347371</v>
      </c>
      <c r="AX155" s="12">
        <f t="shared" si="76"/>
        <v>3.2876474528930268</v>
      </c>
      <c r="AY155" s="12">
        <f t="shared" si="76"/>
        <v>3.1815943092513161</v>
      </c>
      <c r="BA155" s="88" t="str">
        <f t="shared" ca="1" si="62"/>
        <v>Depreciation</v>
      </c>
      <c r="BB155" s="1" t="str">
        <f t="shared" si="63"/>
        <v>Sum of digits</v>
      </c>
      <c r="BC155" s="1" t="str">
        <f t="shared" si="65"/>
        <v>Depreciation</v>
      </c>
    </row>
    <row r="156" spans="5:55" x14ac:dyDescent="0.35">
      <c r="E156" s="2">
        <v>42460</v>
      </c>
      <c r="G156" t="str">
        <f t="shared" si="60"/>
        <v>£m 23/24 prices</v>
      </c>
      <c r="I156" s="27">
        <v>114.22336322517508</v>
      </c>
      <c r="J156" t="s">
        <v>13</v>
      </c>
      <c r="X156" s="12">
        <f t="shared" ref="X156:AY156" si="77">$I156*X92*(1-X$18)+$I156*X124*X$18</f>
        <v>0</v>
      </c>
      <c r="Y156" s="12">
        <f t="shared" si="77"/>
        <v>0</v>
      </c>
      <c r="Z156" s="12">
        <f t="shared" si="77"/>
        <v>0</v>
      </c>
      <c r="AA156" s="12">
        <f t="shared" si="77"/>
        <v>0</v>
      </c>
      <c r="AB156" s="12">
        <f t="shared" si="77"/>
        <v>0</v>
      </c>
      <c r="AC156" s="12">
        <f t="shared" si="77"/>
        <v>0</v>
      </c>
      <c r="AD156" s="12">
        <f t="shared" si="77"/>
        <v>0</v>
      </c>
      <c r="AE156" s="12">
        <f t="shared" si="77"/>
        <v>0</v>
      </c>
      <c r="AF156" s="12">
        <f t="shared" si="77"/>
        <v>0</v>
      </c>
      <c r="AG156" s="12">
        <f t="shared" si="77"/>
        <v>0</v>
      </c>
      <c r="AH156" s="12">
        <f t="shared" si="77"/>
        <v>0</v>
      </c>
      <c r="AI156" s="12">
        <f t="shared" si="77"/>
        <v>0</v>
      </c>
      <c r="AJ156" s="12">
        <f t="shared" si="77"/>
        <v>0</v>
      </c>
      <c r="AK156" s="12">
        <f t="shared" si="77"/>
        <v>4.9662331837032641</v>
      </c>
      <c r="AL156" s="12">
        <f t="shared" si="77"/>
        <v>4.8558724462876368</v>
      </c>
      <c r="AM156" s="12">
        <f t="shared" si="77"/>
        <v>4.7455117088720078</v>
      </c>
      <c r="AN156" s="12">
        <f t="shared" si="77"/>
        <v>4.6351509714563797</v>
      </c>
      <c r="AO156" s="12">
        <f t="shared" si="77"/>
        <v>4.5247902340407524</v>
      </c>
      <c r="AP156" s="12">
        <f t="shared" si="77"/>
        <v>4.4144294966251234</v>
      </c>
      <c r="AQ156" s="12">
        <f t="shared" si="77"/>
        <v>4.3040687592094962</v>
      </c>
      <c r="AR156" s="12">
        <f t="shared" si="77"/>
        <v>4.1937080217938671</v>
      </c>
      <c r="AS156" s="12">
        <f t="shared" si="77"/>
        <v>4.0833472843782399</v>
      </c>
      <c r="AT156" s="69">
        <f t="shared" si="77"/>
        <v>3.9729865469626113</v>
      </c>
      <c r="AU156" s="152">
        <f t="shared" si="77"/>
        <v>3.8626258095469832</v>
      </c>
      <c r="AV156" s="12">
        <f t="shared" si="77"/>
        <v>3.7522650721313555</v>
      </c>
      <c r="AW156" s="12">
        <f t="shared" si="77"/>
        <v>3.6419043347157269</v>
      </c>
      <c r="AX156" s="12">
        <f t="shared" si="77"/>
        <v>3.5315435973000988</v>
      </c>
      <c r="AY156" s="12">
        <f t="shared" si="77"/>
        <v>3.4211828598844707</v>
      </c>
      <c r="BA156" s="88" t="str">
        <f t="shared" ca="1" si="62"/>
        <v>Depreciation</v>
      </c>
      <c r="BB156" s="1" t="str">
        <f t="shared" si="63"/>
        <v>Sum of digits</v>
      </c>
      <c r="BC156" s="1" t="str">
        <f t="shared" si="65"/>
        <v>Depreciation</v>
      </c>
    </row>
    <row r="157" spans="5:55" x14ac:dyDescent="0.35">
      <c r="E157" s="2">
        <v>42825</v>
      </c>
      <c r="G157" t="str">
        <f t="shared" si="60"/>
        <v>£m 23/24 prices</v>
      </c>
      <c r="I157" s="27">
        <v>127.54784733053384</v>
      </c>
      <c r="J157" t="s">
        <v>13</v>
      </c>
      <c r="X157" s="12">
        <f t="shared" ref="X157:AY157" si="78">$I157*X93*(1-X$18)+$I157*X125*X$18</f>
        <v>0</v>
      </c>
      <c r="Y157" s="12">
        <f t="shared" si="78"/>
        <v>0</v>
      </c>
      <c r="Z157" s="12">
        <f t="shared" si="78"/>
        <v>0</v>
      </c>
      <c r="AA157" s="12">
        <f t="shared" si="78"/>
        <v>0</v>
      </c>
      <c r="AB157" s="12">
        <f t="shared" si="78"/>
        <v>0</v>
      </c>
      <c r="AC157" s="12">
        <f t="shared" si="78"/>
        <v>0</v>
      </c>
      <c r="AD157" s="12">
        <f t="shared" si="78"/>
        <v>0</v>
      </c>
      <c r="AE157" s="12">
        <f t="shared" si="78"/>
        <v>0</v>
      </c>
      <c r="AF157" s="12">
        <f t="shared" si="78"/>
        <v>0</v>
      </c>
      <c r="AG157" s="12">
        <f t="shared" si="78"/>
        <v>0</v>
      </c>
      <c r="AH157" s="12">
        <f t="shared" si="78"/>
        <v>0</v>
      </c>
      <c r="AI157" s="12">
        <f t="shared" si="78"/>
        <v>0</v>
      </c>
      <c r="AJ157" s="12">
        <f t="shared" si="78"/>
        <v>0</v>
      </c>
      <c r="AK157" s="12">
        <f t="shared" si="78"/>
        <v>0</v>
      </c>
      <c r="AL157" s="12">
        <f t="shared" si="78"/>
        <v>5.5455585795884277</v>
      </c>
      <c r="AM157" s="12">
        <f t="shared" si="78"/>
        <v>5.4223239444864628</v>
      </c>
      <c r="AN157" s="12">
        <f t="shared" si="78"/>
        <v>5.299089309384498</v>
      </c>
      <c r="AO157" s="12">
        <f t="shared" si="78"/>
        <v>5.1758546742825322</v>
      </c>
      <c r="AP157" s="12">
        <f t="shared" si="78"/>
        <v>5.0526200391805673</v>
      </c>
      <c r="AQ157" s="12">
        <f t="shared" si="78"/>
        <v>4.9293854040786025</v>
      </c>
      <c r="AR157" s="12">
        <f t="shared" si="78"/>
        <v>4.8061507689766376</v>
      </c>
      <c r="AS157" s="12">
        <f t="shared" si="78"/>
        <v>4.6829161338746728</v>
      </c>
      <c r="AT157" s="69">
        <f t="shared" si="78"/>
        <v>4.5596814987727079</v>
      </c>
      <c r="AU157" s="152">
        <f t="shared" si="78"/>
        <v>4.4364468636707421</v>
      </c>
      <c r="AV157" s="12">
        <f t="shared" si="78"/>
        <v>4.3132122285687773</v>
      </c>
      <c r="AW157" s="12">
        <f t="shared" si="78"/>
        <v>4.1899775934668124</v>
      </c>
      <c r="AX157" s="12">
        <f t="shared" si="78"/>
        <v>4.0667429583648467</v>
      </c>
      <c r="AY157" s="12">
        <f t="shared" si="78"/>
        <v>3.9435083232628818</v>
      </c>
      <c r="BA157" s="88" t="str">
        <f t="shared" ca="1" si="62"/>
        <v>Depreciation</v>
      </c>
      <c r="BB157" s="1" t="str">
        <f t="shared" si="63"/>
        <v>Sum of digits</v>
      </c>
      <c r="BC157" s="1" t="str">
        <f t="shared" si="65"/>
        <v>Depreciation</v>
      </c>
    </row>
    <row r="158" spans="5:55" x14ac:dyDescent="0.35">
      <c r="E158" s="2">
        <v>43190</v>
      </c>
      <c r="G158" t="str">
        <f t="shared" si="60"/>
        <v>£m 23/24 prices</v>
      </c>
      <c r="I158" s="27">
        <v>128.38622713335945</v>
      </c>
      <c r="J158" t="s">
        <v>13</v>
      </c>
      <c r="X158" s="12">
        <f t="shared" ref="X158:AY158" si="79">$I158*X94*(1-X$18)+$I158*X126*X$18</f>
        <v>0</v>
      </c>
      <c r="Y158" s="12">
        <f t="shared" si="79"/>
        <v>0</v>
      </c>
      <c r="Z158" s="12">
        <f t="shared" si="79"/>
        <v>0</v>
      </c>
      <c r="AA158" s="12">
        <f t="shared" si="79"/>
        <v>0</v>
      </c>
      <c r="AB158" s="12">
        <f t="shared" si="79"/>
        <v>0</v>
      </c>
      <c r="AC158" s="12">
        <f t="shared" si="79"/>
        <v>0</v>
      </c>
      <c r="AD158" s="12">
        <f t="shared" si="79"/>
        <v>0</v>
      </c>
      <c r="AE158" s="12">
        <f t="shared" si="79"/>
        <v>0</v>
      </c>
      <c r="AF158" s="12">
        <f t="shared" si="79"/>
        <v>0</v>
      </c>
      <c r="AG158" s="12">
        <f t="shared" si="79"/>
        <v>0</v>
      </c>
      <c r="AH158" s="12">
        <f t="shared" si="79"/>
        <v>0</v>
      </c>
      <c r="AI158" s="12">
        <f t="shared" si="79"/>
        <v>0</v>
      </c>
      <c r="AJ158" s="12">
        <f t="shared" si="79"/>
        <v>0</v>
      </c>
      <c r="AK158" s="12">
        <f t="shared" si="79"/>
        <v>0</v>
      </c>
      <c r="AL158" s="12">
        <f t="shared" si="79"/>
        <v>0</v>
      </c>
      <c r="AM158" s="12">
        <f t="shared" si="79"/>
        <v>5.5820098753634548</v>
      </c>
      <c r="AN158" s="12">
        <f t="shared" si="79"/>
        <v>5.4579652114664894</v>
      </c>
      <c r="AO158" s="12">
        <f t="shared" si="79"/>
        <v>5.3339205475695231</v>
      </c>
      <c r="AP158" s="12">
        <f t="shared" si="79"/>
        <v>5.2098758836725576</v>
      </c>
      <c r="AQ158" s="12">
        <f t="shared" si="79"/>
        <v>5.0858312197755922</v>
      </c>
      <c r="AR158" s="12">
        <f t="shared" si="79"/>
        <v>4.9617865558786258</v>
      </c>
      <c r="AS158" s="12">
        <f t="shared" si="79"/>
        <v>4.8377418919816613</v>
      </c>
      <c r="AT158" s="69">
        <f t="shared" si="79"/>
        <v>4.7136972280846949</v>
      </c>
      <c r="AU158" s="152">
        <f t="shared" si="79"/>
        <v>4.5896525641877295</v>
      </c>
      <c r="AV158" s="12">
        <f t="shared" si="79"/>
        <v>4.465607900290764</v>
      </c>
      <c r="AW158" s="12">
        <f t="shared" si="79"/>
        <v>4.3415632363937977</v>
      </c>
      <c r="AX158" s="12">
        <f t="shared" si="79"/>
        <v>4.2175185724968323</v>
      </c>
      <c r="AY158" s="12">
        <f t="shared" si="79"/>
        <v>4.0934739085998668</v>
      </c>
      <c r="BA158" s="88" t="str">
        <f t="shared" ca="1" si="62"/>
        <v>Depreciation</v>
      </c>
      <c r="BB158" s="1" t="str">
        <f t="shared" si="63"/>
        <v>Sum of digits</v>
      </c>
      <c r="BC158" s="1" t="str">
        <f t="shared" si="65"/>
        <v>Depreciation</v>
      </c>
    </row>
    <row r="159" spans="5:55" x14ac:dyDescent="0.35">
      <c r="E159" s="2">
        <v>43555</v>
      </c>
      <c r="G159" t="str">
        <f t="shared" si="60"/>
        <v>£m 23/24 prices</v>
      </c>
      <c r="I159" s="27">
        <v>141.61228861219638</v>
      </c>
      <c r="J159" t="s">
        <v>13</v>
      </c>
      <c r="X159" s="12">
        <f t="shared" ref="X159:AY159" si="80">$I159*X95*(1-X$18)+$I159*X127*X$18</f>
        <v>0</v>
      </c>
      <c r="Y159" s="12">
        <f t="shared" si="80"/>
        <v>0</v>
      </c>
      <c r="Z159" s="12">
        <f t="shared" si="80"/>
        <v>0</v>
      </c>
      <c r="AA159" s="12">
        <f t="shared" si="80"/>
        <v>0</v>
      </c>
      <c r="AB159" s="12">
        <f t="shared" si="80"/>
        <v>0</v>
      </c>
      <c r="AC159" s="12">
        <f t="shared" si="80"/>
        <v>0</v>
      </c>
      <c r="AD159" s="12">
        <f t="shared" si="80"/>
        <v>0</v>
      </c>
      <c r="AE159" s="12">
        <f t="shared" si="80"/>
        <v>0</v>
      </c>
      <c r="AF159" s="12">
        <f t="shared" si="80"/>
        <v>0</v>
      </c>
      <c r="AG159" s="12">
        <f t="shared" si="80"/>
        <v>0</v>
      </c>
      <c r="AH159" s="12">
        <f t="shared" si="80"/>
        <v>0</v>
      </c>
      <c r="AI159" s="12">
        <f t="shared" si="80"/>
        <v>0</v>
      </c>
      <c r="AJ159" s="12">
        <f t="shared" si="80"/>
        <v>0</v>
      </c>
      <c r="AK159" s="12">
        <f t="shared" si="80"/>
        <v>0</v>
      </c>
      <c r="AL159" s="12">
        <f t="shared" si="80"/>
        <v>0</v>
      </c>
      <c r="AM159" s="12">
        <f t="shared" si="80"/>
        <v>0</v>
      </c>
      <c r="AN159" s="12">
        <f t="shared" si="80"/>
        <v>6.1570560266172336</v>
      </c>
      <c r="AO159" s="12">
        <f t="shared" si="80"/>
        <v>6.0202325593590738</v>
      </c>
      <c r="AP159" s="12">
        <f t="shared" si="80"/>
        <v>5.8834090921009121</v>
      </c>
      <c r="AQ159" s="12">
        <f t="shared" si="80"/>
        <v>5.7465856248427514</v>
      </c>
      <c r="AR159" s="12">
        <f t="shared" si="80"/>
        <v>5.6097621575845906</v>
      </c>
      <c r="AS159" s="12">
        <f t="shared" si="80"/>
        <v>5.4729386903264299</v>
      </c>
      <c r="AT159" s="69">
        <f t="shared" si="80"/>
        <v>5.33611522306827</v>
      </c>
      <c r="AU159" s="152">
        <f t="shared" si="80"/>
        <v>5.1992917558101084</v>
      </c>
      <c r="AV159" s="12">
        <f t="shared" si="80"/>
        <v>5.0624682885519485</v>
      </c>
      <c r="AW159" s="12">
        <f t="shared" si="80"/>
        <v>4.9256448212937869</v>
      </c>
      <c r="AX159" s="12">
        <f t="shared" si="80"/>
        <v>4.7888213540356261</v>
      </c>
      <c r="AY159" s="12">
        <f t="shared" si="80"/>
        <v>4.6519978867774663</v>
      </c>
      <c r="BA159" s="88" t="str">
        <f t="shared" ca="1" si="62"/>
        <v>Depreciation</v>
      </c>
      <c r="BB159" s="1" t="str">
        <f t="shared" si="63"/>
        <v>Sum of digits</v>
      </c>
      <c r="BC159" s="1" t="str">
        <f t="shared" si="65"/>
        <v>Depreciation</v>
      </c>
    </row>
    <row r="160" spans="5:55" x14ac:dyDescent="0.35">
      <c r="E160" s="2">
        <v>43921</v>
      </c>
      <c r="G160" t="str">
        <f t="shared" si="60"/>
        <v>£m 23/24 prices</v>
      </c>
      <c r="I160" s="27">
        <v>135.54680984121518</v>
      </c>
      <c r="J160" t="s">
        <v>13</v>
      </c>
      <c r="X160" s="12">
        <f t="shared" ref="X160:AY160" si="81">$I160*X96*(1-X$18)+$I160*X128*X$18</f>
        <v>0</v>
      </c>
      <c r="Y160" s="12">
        <f t="shared" si="81"/>
        <v>0</v>
      </c>
      <c r="Z160" s="12">
        <f t="shared" si="81"/>
        <v>0</v>
      </c>
      <c r="AA160" s="12">
        <f t="shared" si="81"/>
        <v>0</v>
      </c>
      <c r="AB160" s="12">
        <f t="shared" si="81"/>
        <v>0</v>
      </c>
      <c r="AC160" s="12">
        <f t="shared" si="81"/>
        <v>0</v>
      </c>
      <c r="AD160" s="12">
        <f t="shared" si="81"/>
        <v>0</v>
      </c>
      <c r="AE160" s="12">
        <f t="shared" si="81"/>
        <v>0</v>
      </c>
      <c r="AF160" s="12">
        <f t="shared" si="81"/>
        <v>0</v>
      </c>
      <c r="AG160" s="12">
        <f t="shared" si="81"/>
        <v>0</v>
      </c>
      <c r="AH160" s="12">
        <f t="shared" si="81"/>
        <v>0</v>
      </c>
      <c r="AI160" s="12">
        <f t="shared" si="81"/>
        <v>0</v>
      </c>
      <c r="AJ160" s="12">
        <f t="shared" si="81"/>
        <v>0</v>
      </c>
      <c r="AK160" s="12">
        <f t="shared" si="81"/>
        <v>0</v>
      </c>
      <c r="AL160" s="12">
        <f t="shared" si="81"/>
        <v>0</v>
      </c>
      <c r="AM160" s="12">
        <f t="shared" si="81"/>
        <v>0</v>
      </c>
      <c r="AN160" s="12">
        <f t="shared" si="81"/>
        <v>0</v>
      </c>
      <c r="AO160" s="12">
        <f t="shared" si="81"/>
        <v>5.8933395583137029</v>
      </c>
      <c r="AP160" s="12">
        <f t="shared" si="81"/>
        <v>5.7623764570178437</v>
      </c>
      <c r="AQ160" s="12">
        <f t="shared" si="81"/>
        <v>5.6314133557219836</v>
      </c>
      <c r="AR160" s="12">
        <f t="shared" si="81"/>
        <v>5.5004502544261227</v>
      </c>
      <c r="AS160" s="12">
        <f t="shared" si="81"/>
        <v>5.3694871531302635</v>
      </c>
      <c r="AT160" s="69">
        <f t="shared" si="81"/>
        <v>5.2385240518344025</v>
      </c>
      <c r="AU160" s="152">
        <f t="shared" si="81"/>
        <v>5.1075609505385433</v>
      </c>
      <c r="AV160" s="12">
        <f t="shared" si="81"/>
        <v>4.9765978492426832</v>
      </c>
      <c r="AW160" s="12">
        <f t="shared" si="81"/>
        <v>4.8456347479468231</v>
      </c>
      <c r="AX160" s="12">
        <f t="shared" si="81"/>
        <v>4.7146716466509631</v>
      </c>
      <c r="AY160" s="12">
        <f t="shared" si="81"/>
        <v>4.5837085453551021</v>
      </c>
      <c r="BA160" s="88" t="str">
        <f t="shared" ca="1" si="62"/>
        <v>Depreciation</v>
      </c>
      <c r="BB160" s="1" t="str">
        <f t="shared" si="63"/>
        <v>Sum of digits</v>
      </c>
      <c r="BC160" s="1" t="str">
        <f t="shared" si="65"/>
        <v>Depreciation</v>
      </c>
    </row>
    <row r="161" spans="1:55" x14ac:dyDescent="0.35">
      <c r="E161" s="2">
        <v>44286</v>
      </c>
      <c r="G161" t="str">
        <f t="shared" si="60"/>
        <v>£m 23/24 prices</v>
      </c>
      <c r="I161" s="27">
        <v>131.03123438949584</v>
      </c>
      <c r="J161" t="s">
        <v>13</v>
      </c>
      <c r="X161" s="12">
        <f t="shared" ref="X161:AY161" si="82">$I161*X97*(1-X$18)+$I161*X129*X$18</f>
        <v>0</v>
      </c>
      <c r="Y161" s="12">
        <f t="shared" si="82"/>
        <v>0</v>
      </c>
      <c r="Z161" s="12">
        <f t="shared" si="82"/>
        <v>0</v>
      </c>
      <c r="AA161" s="12">
        <f t="shared" si="82"/>
        <v>0</v>
      </c>
      <c r="AB161" s="12">
        <f t="shared" si="82"/>
        <v>0</v>
      </c>
      <c r="AC161" s="12">
        <f t="shared" si="82"/>
        <v>0</v>
      </c>
      <c r="AD161" s="12">
        <f t="shared" si="82"/>
        <v>0</v>
      </c>
      <c r="AE161" s="12">
        <f t="shared" si="82"/>
        <v>0</v>
      </c>
      <c r="AF161" s="12">
        <f t="shared" si="82"/>
        <v>0</v>
      </c>
      <c r="AG161" s="12">
        <f t="shared" si="82"/>
        <v>0</v>
      </c>
      <c r="AH161" s="12">
        <f t="shared" si="82"/>
        <v>0</v>
      </c>
      <c r="AI161" s="12">
        <f t="shared" si="82"/>
        <v>0</v>
      </c>
      <c r="AJ161" s="12">
        <f t="shared" si="82"/>
        <v>0</v>
      </c>
      <c r="AK161" s="12">
        <f t="shared" si="82"/>
        <v>0</v>
      </c>
      <c r="AL161" s="12">
        <f t="shared" si="82"/>
        <v>0</v>
      </c>
      <c r="AM161" s="12">
        <f t="shared" si="82"/>
        <v>0</v>
      </c>
      <c r="AN161" s="12">
        <f t="shared" si="82"/>
        <v>0</v>
      </c>
      <c r="AO161" s="12">
        <f t="shared" si="82"/>
        <v>0</v>
      </c>
      <c r="AP161" s="12">
        <f t="shared" si="82"/>
        <v>5.6970101908476449</v>
      </c>
      <c r="AQ161" s="12">
        <f t="shared" si="82"/>
        <v>5.5704099643843641</v>
      </c>
      <c r="AR161" s="12">
        <f t="shared" si="82"/>
        <v>5.4438097379210832</v>
      </c>
      <c r="AS161" s="12">
        <f t="shared" si="82"/>
        <v>5.3172095114578015</v>
      </c>
      <c r="AT161" s="69">
        <f t="shared" si="82"/>
        <v>5.1906092849945216</v>
      </c>
      <c r="AU161" s="152">
        <f t="shared" si="82"/>
        <v>5.0640090585312398</v>
      </c>
      <c r="AV161" s="12">
        <f t="shared" si="82"/>
        <v>4.937408832067959</v>
      </c>
      <c r="AW161" s="12">
        <f t="shared" si="82"/>
        <v>4.8108086056046782</v>
      </c>
      <c r="AX161" s="12">
        <f t="shared" si="82"/>
        <v>4.6842083791413973</v>
      </c>
      <c r="AY161" s="12">
        <f t="shared" si="82"/>
        <v>4.5576081526781165</v>
      </c>
      <c r="BA161" s="88" t="str">
        <f t="shared" ca="1" si="62"/>
        <v>Depreciation</v>
      </c>
      <c r="BB161" s="1" t="str">
        <f t="shared" si="63"/>
        <v>Sum of digits</v>
      </c>
      <c r="BC161" s="1" t="str">
        <f t="shared" si="65"/>
        <v>Depreciation</v>
      </c>
    </row>
    <row r="162" spans="1:55" x14ac:dyDescent="0.35">
      <c r="E162" s="2">
        <v>44651</v>
      </c>
      <c r="G162" t="str">
        <f t="shared" si="60"/>
        <v>£m 23/24 prices</v>
      </c>
      <c r="I162" s="27">
        <v>127.80430836953926</v>
      </c>
      <c r="J162" t="s">
        <v>13</v>
      </c>
      <c r="X162" s="12">
        <f t="shared" ref="X162:AY162" si="83">$I162*X98*(1-X$18)+$I162*X130*X$18</f>
        <v>0</v>
      </c>
      <c r="Y162" s="12">
        <f t="shared" si="83"/>
        <v>0</v>
      </c>
      <c r="Z162" s="12">
        <f t="shared" si="83"/>
        <v>0</v>
      </c>
      <c r="AA162" s="12">
        <f t="shared" si="83"/>
        <v>0</v>
      </c>
      <c r="AB162" s="12">
        <f t="shared" si="83"/>
        <v>0</v>
      </c>
      <c r="AC162" s="12">
        <f t="shared" si="83"/>
        <v>0</v>
      </c>
      <c r="AD162" s="12">
        <f t="shared" si="83"/>
        <v>0</v>
      </c>
      <c r="AE162" s="12">
        <f t="shared" si="83"/>
        <v>0</v>
      </c>
      <c r="AF162" s="12">
        <f t="shared" si="83"/>
        <v>0</v>
      </c>
      <c r="AG162" s="12">
        <f t="shared" si="83"/>
        <v>0</v>
      </c>
      <c r="AH162" s="12">
        <f t="shared" si="83"/>
        <v>0</v>
      </c>
      <c r="AI162" s="12">
        <f t="shared" si="83"/>
        <v>0</v>
      </c>
      <c r="AJ162" s="12">
        <f t="shared" si="83"/>
        <v>0</v>
      </c>
      <c r="AK162" s="12">
        <f t="shared" si="83"/>
        <v>0</v>
      </c>
      <c r="AL162" s="12">
        <f t="shared" si="83"/>
        <v>0</v>
      </c>
      <c r="AM162" s="12">
        <f t="shared" si="83"/>
        <v>0</v>
      </c>
      <c r="AN162" s="12">
        <f t="shared" si="83"/>
        <v>0</v>
      </c>
      <c r="AO162" s="12">
        <f t="shared" si="83"/>
        <v>0</v>
      </c>
      <c r="AP162" s="12">
        <f t="shared" si="83"/>
        <v>0</v>
      </c>
      <c r="AQ162" s="12">
        <f t="shared" si="83"/>
        <v>5.5567090595451853</v>
      </c>
      <c r="AR162" s="12">
        <f t="shared" si="83"/>
        <v>5.4332266359997368</v>
      </c>
      <c r="AS162" s="12">
        <f t="shared" si="83"/>
        <v>5.3097442124542882</v>
      </c>
      <c r="AT162" s="69">
        <f t="shared" si="83"/>
        <v>5.1862617889088387</v>
      </c>
      <c r="AU162" s="152">
        <f t="shared" si="83"/>
        <v>5.062779365363391</v>
      </c>
      <c r="AV162" s="12">
        <f t="shared" si="83"/>
        <v>4.9392969418179424</v>
      </c>
      <c r="AW162" s="12">
        <f t="shared" si="83"/>
        <v>4.8158145182724938</v>
      </c>
      <c r="AX162" s="12">
        <f t="shared" si="83"/>
        <v>4.6923320947270453</v>
      </c>
      <c r="AY162" s="12">
        <f t="shared" si="83"/>
        <v>4.5688496711815967</v>
      </c>
      <c r="BA162" s="88" t="str">
        <f t="shared" ca="1" si="62"/>
        <v>Depreciation</v>
      </c>
      <c r="BB162" s="1" t="str">
        <f t="shared" si="63"/>
        <v>Sum of digits</v>
      </c>
      <c r="BC162" s="1" t="str">
        <f t="shared" si="65"/>
        <v>Depreciation</v>
      </c>
    </row>
    <row r="163" spans="1:55" x14ac:dyDescent="0.35">
      <c r="E163" s="2">
        <v>45016</v>
      </c>
      <c r="G163" t="str">
        <f t="shared" si="60"/>
        <v>£m 23/24 prices</v>
      </c>
      <c r="I163" s="27">
        <v>139.25083719589287</v>
      </c>
      <c r="J163" t="s">
        <v>13</v>
      </c>
      <c r="X163" s="12">
        <f t="shared" ref="X163:AY163" si="84">$I163*X99*(1-X$18)+$I163*X131*X$18</f>
        <v>0</v>
      </c>
      <c r="Y163" s="12">
        <f t="shared" si="84"/>
        <v>0</v>
      </c>
      <c r="Z163" s="12">
        <f t="shared" si="84"/>
        <v>0</v>
      </c>
      <c r="AA163" s="12">
        <f t="shared" si="84"/>
        <v>0</v>
      </c>
      <c r="AB163" s="12">
        <f t="shared" si="84"/>
        <v>0</v>
      </c>
      <c r="AC163" s="12">
        <f t="shared" si="84"/>
        <v>0</v>
      </c>
      <c r="AD163" s="12">
        <f t="shared" si="84"/>
        <v>0</v>
      </c>
      <c r="AE163" s="12">
        <f t="shared" si="84"/>
        <v>0</v>
      </c>
      <c r="AF163" s="12">
        <f t="shared" si="84"/>
        <v>0</v>
      </c>
      <c r="AG163" s="12">
        <f t="shared" si="84"/>
        <v>0</v>
      </c>
      <c r="AH163" s="12">
        <f t="shared" si="84"/>
        <v>0</v>
      </c>
      <c r="AI163" s="12">
        <f t="shared" si="84"/>
        <v>0</v>
      </c>
      <c r="AJ163" s="12">
        <f t="shared" si="84"/>
        <v>0</v>
      </c>
      <c r="AK163" s="12">
        <f t="shared" si="84"/>
        <v>0</v>
      </c>
      <c r="AL163" s="12">
        <f t="shared" si="84"/>
        <v>0</v>
      </c>
      <c r="AM163" s="12">
        <f t="shared" si="84"/>
        <v>0</v>
      </c>
      <c r="AN163" s="12">
        <f t="shared" si="84"/>
        <v>0</v>
      </c>
      <c r="AO163" s="12">
        <f t="shared" si="84"/>
        <v>0</v>
      </c>
      <c r="AP163" s="12">
        <f t="shared" si="84"/>
        <v>0</v>
      </c>
      <c r="AQ163" s="12">
        <f t="shared" si="84"/>
        <v>0</v>
      </c>
      <c r="AR163" s="12">
        <f t="shared" si="84"/>
        <v>6.0543842259083851</v>
      </c>
      <c r="AS163" s="12">
        <f t="shared" si="84"/>
        <v>5.919842354221533</v>
      </c>
      <c r="AT163" s="69">
        <f t="shared" si="84"/>
        <v>5.7853004825346792</v>
      </c>
      <c r="AU163" s="152">
        <f t="shared" si="84"/>
        <v>5.6507586108478263</v>
      </c>
      <c r="AV163" s="12">
        <f t="shared" si="84"/>
        <v>5.5162167391609733</v>
      </c>
      <c r="AW163" s="12">
        <f t="shared" si="84"/>
        <v>5.3816748674741204</v>
      </c>
      <c r="AX163" s="12">
        <f t="shared" si="84"/>
        <v>5.2471329957872683</v>
      </c>
      <c r="AY163" s="12">
        <f t="shared" si="84"/>
        <v>5.1125911241004145</v>
      </c>
      <c r="BA163" s="88" t="str">
        <f t="shared" ca="1" si="62"/>
        <v>Depreciation</v>
      </c>
      <c r="BB163" s="1" t="str">
        <f t="shared" si="63"/>
        <v>Sum of digits</v>
      </c>
      <c r="BC163" s="1" t="str">
        <f t="shared" si="65"/>
        <v>Depreciation</v>
      </c>
    </row>
    <row r="164" spans="1:55" x14ac:dyDescent="0.35">
      <c r="E164" s="2">
        <v>45382</v>
      </c>
      <c r="G164" t="str">
        <f t="shared" si="60"/>
        <v>£m 23/24 prices</v>
      </c>
      <c r="I164" s="27">
        <v>156.62287921155232</v>
      </c>
      <c r="J164" t="s">
        <v>13</v>
      </c>
      <c r="X164" s="12">
        <f t="shared" ref="X164:AY164" si="85">$I164*X100*(1-X$18)+$I164*X132*X$18</f>
        <v>0</v>
      </c>
      <c r="Y164" s="12">
        <f t="shared" si="85"/>
        <v>0</v>
      </c>
      <c r="Z164" s="12">
        <f t="shared" si="85"/>
        <v>0</v>
      </c>
      <c r="AA164" s="12">
        <f t="shared" si="85"/>
        <v>0</v>
      </c>
      <c r="AB164" s="12">
        <f t="shared" si="85"/>
        <v>0</v>
      </c>
      <c r="AC164" s="12">
        <f t="shared" si="85"/>
        <v>0</v>
      </c>
      <c r="AD164" s="12">
        <f t="shared" si="85"/>
        <v>0</v>
      </c>
      <c r="AE164" s="12">
        <f t="shared" si="85"/>
        <v>0</v>
      </c>
      <c r="AF164" s="12">
        <f t="shared" si="85"/>
        <v>0</v>
      </c>
      <c r="AG164" s="12">
        <f t="shared" si="85"/>
        <v>0</v>
      </c>
      <c r="AH164" s="12">
        <f t="shared" si="85"/>
        <v>0</v>
      </c>
      <c r="AI164" s="12">
        <f t="shared" si="85"/>
        <v>0</v>
      </c>
      <c r="AJ164" s="12">
        <f t="shared" si="85"/>
        <v>0</v>
      </c>
      <c r="AK164" s="12">
        <f t="shared" si="85"/>
        <v>0</v>
      </c>
      <c r="AL164" s="12">
        <f t="shared" si="85"/>
        <v>0</v>
      </c>
      <c r="AM164" s="12">
        <f t="shared" si="85"/>
        <v>0</v>
      </c>
      <c r="AN164" s="12">
        <f t="shared" si="85"/>
        <v>0</v>
      </c>
      <c r="AO164" s="12">
        <f t="shared" si="85"/>
        <v>0</v>
      </c>
      <c r="AP164" s="12">
        <f t="shared" si="85"/>
        <v>0</v>
      </c>
      <c r="AQ164" s="12">
        <f t="shared" si="85"/>
        <v>0</v>
      </c>
      <c r="AR164" s="12">
        <f t="shared" si="85"/>
        <v>0</v>
      </c>
      <c r="AS164" s="12">
        <f t="shared" si="85"/>
        <v>6.8096904005022747</v>
      </c>
      <c r="AT164" s="69">
        <f t="shared" si="85"/>
        <v>6.6583639471577802</v>
      </c>
      <c r="AU164" s="152">
        <f t="shared" si="85"/>
        <v>6.5070374938132849</v>
      </c>
      <c r="AV164" s="12">
        <f t="shared" si="85"/>
        <v>6.3557110404687895</v>
      </c>
      <c r="AW164" s="12">
        <f t="shared" si="85"/>
        <v>6.2043845871242951</v>
      </c>
      <c r="AX164" s="12">
        <f t="shared" si="85"/>
        <v>6.0530581337797997</v>
      </c>
      <c r="AY164" s="12">
        <f t="shared" si="85"/>
        <v>5.9017316804353053</v>
      </c>
      <c r="BA164" s="88" t="str">
        <f t="shared" ca="1" si="62"/>
        <v>Depreciation</v>
      </c>
      <c r="BB164" s="1" t="str">
        <f t="shared" si="63"/>
        <v>Sum of digits</v>
      </c>
      <c r="BC164" s="1" t="str">
        <f t="shared" si="65"/>
        <v>Depreciation</v>
      </c>
    </row>
    <row r="165" spans="1:55" x14ac:dyDescent="0.35">
      <c r="E165" s="2">
        <v>45747</v>
      </c>
      <c r="G165" t="str">
        <f t="shared" si="60"/>
        <v>£m 23/24 prices</v>
      </c>
      <c r="I165" s="27">
        <v>155.47122631923617</v>
      </c>
      <c r="J165" t="s">
        <v>13</v>
      </c>
      <c r="X165" s="12">
        <f t="shared" ref="X165:AY165" si="86">$I165*X101*(1-X$18)+$I165*X133*X$18</f>
        <v>0</v>
      </c>
      <c r="Y165" s="12">
        <f t="shared" si="86"/>
        <v>0</v>
      </c>
      <c r="Z165" s="12">
        <f t="shared" si="86"/>
        <v>0</v>
      </c>
      <c r="AA165" s="12">
        <f t="shared" si="86"/>
        <v>0</v>
      </c>
      <c r="AB165" s="12">
        <f t="shared" si="86"/>
        <v>0</v>
      </c>
      <c r="AC165" s="12">
        <f t="shared" si="86"/>
        <v>0</v>
      </c>
      <c r="AD165" s="12">
        <f t="shared" si="86"/>
        <v>0</v>
      </c>
      <c r="AE165" s="12">
        <f t="shared" si="86"/>
        <v>0</v>
      </c>
      <c r="AF165" s="12">
        <f t="shared" si="86"/>
        <v>0</v>
      </c>
      <c r="AG165" s="12">
        <f t="shared" si="86"/>
        <v>0</v>
      </c>
      <c r="AH165" s="12">
        <f t="shared" si="86"/>
        <v>0</v>
      </c>
      <c r="AI165" s="12">
        <f t="shared" si="86"/>
        <v>0</v>
      </c>
      <c r="AJ165" s="12">
        <f t="shared" si="86"/>
        <v>0</v>
      </c>
      <c r="AK165" s="12">
        <f t="shared" si="86"/>
        <v>0</v>
      </c>
      <c r="AL165" s="12">
        <f t="shared" si="86"/>
        <v>0</v>
      </c>
      <c r="AM165" s="12">
        <f t="shared" si="86"/>
        <v>0</v>
      </c>
      <c r="AN165" s="12">
        <f t="shared" si="86"/>
        <v>0</v>
      </c>
      <c r="AO165" s="12">
        <f t="shared" si="86"/>
        <v>0</v>
      </c>
      <c r="AP165" s="12">
        <f t="shared" si="86"/>
        <v>0</v>
      </c>
      <c r="AQ165" s="12">
        <f t="shared" si="86"/>
        <v>0</v>
      </c>
      <c r="AR165" s="12">
        <f t="shared" si="86"/>
        <v>0</v>
      </c>
      <c r="AS165" s="12">
        <f t="shared" si="86"/>
        <v>0</v>
      </c>
      <c r="AT165" s="69">
        <f t="shared" si="86"/>
        <v>6.759618535618964</v>
      </c>
      <c r="AU165" s="152">
        <f t="shared" si="86"/>
        <v>6.6094047903829871</v>
      </c>
      <c r="AV165" s="12">
        <f t="shared" si="86"/>
        <v>6.4591910451470094</v>
      </c>
      <c r="AW165" s="12">
        <f t="shared" si="86"/>
        <v>6.3089772999110325</v>
      </c>
      <c r="AX165" s="12">
        <f t="shared" si="86"/>
        <v>6.1587635546750557</v>
      </c>
      <c r="AY165" s="12">
        <f t="shared" si="86"/>
        <v>6.0085498094390788</v>
      </c>
      <c r="BA165" s="88" t="str">
        <f t="shared" ca="1" si="62"/>
        <v>Depreciation</v>
      </c>
      <c r="BB165" s="1" t="str">
        <f t="shared" si="63"/>
        <v>Sum of digits</v>
      </c>
      <c r="BC165" s="1" t="str">
        <f t="shared" si="65"/>
        <v>Depreciation</v>
      </c>
    </row>
    <row r="166" spans="1:55" x14ac:dyDescent="0.35">
      <c r="E166" s="2">
        <v>46112</v>
      </c>
      <c r="G166" t="str">
        <f t="shared" si="60"/>
        <v>£m 23/24 prices</v>
      </c>
      <c r="I166" s="27">
        <v>165.11064032006806</v>
      </c>
      <c r="J166" t="s">
        <v>13</v>
      </c>
      <c r="X166" s="12">
        <f t="shared" ref="X166:AY166" si="87">$I166*X102*(1-X$18)+$I166*X134*X$18</f>
        <v>0</v>
      </c>
      <c r="Y166" s="12">
        <f t="shared" si="87"/>
        <v>0</v>
      </c>
      <c r="Z166" s="12">
        <f t="shared" si="87"/>
        <v>0</v>
      </c>
      <c r="AA166" s="12">
        <f t="shared" si="87"/>
        <v>0</v>
      </c>
      <c r="AB166" s="12">
        <f t="shared" si="87"/>
        <v>0</v>
      </c>
      <c r="AC166" s="12">
        <f t="shared" si="87"/>
        <v>0</v>
      </c>
      <c r="AD166" s="12">
        <f t="shared" si="87"/>
        <v>0</v>
      </c>
      <c r="AE166" s="12">
        <f t="shared" si="87"/>
        <v>0</v>
      </c>
      <c r="AF166" s="12">
        <f t="shared" si="87"/>
        <v>0</v>
      </c>
      <c r="AG166" s="12">
        <f t="shared" si="87"/>
        <v>0</v>
      </c>
      <c r="AH166" s="12">
        <f t="shared" si="87"/>
        <v>0</v>
      </c>
      <c r="AI166" s="12">
        <f t="shared" si="87"/>
        <v>0</v>
      </c>
      <c r="AJ166" s="12">
        <f t="shared" si="87"/>
        <v>0</v>
      </c>
      <c r="AK166" s="12">
        <f t="shared" si="87"/>
        <v>0</v>
      </c>
      <c r="AL166" s="12">
        <f t="shared" si="87"/>
        <v>0</v>
      </c>
      <c r="AM166" s="12">
        <f t="shared" si="87"/>
        <v>0</v>
      </c>
      <c r="AN166" s="12">
        <f t="shared" si="87"/>
        <v>0</v>
      </c>
      <c r="AO166" s="12">
        <f t="shared" si="87"/>
        <v>0</v>
      </c>
      <c r="AP166" s="12">
        <f t="shared" si="87"/>
        <v>0</v>
      </c>
      <c r="AQ166" s="12">
        <f t="shared" si="87"/>
        <v>0</v>
      </c>
      <c r="AR166" s="12">
        <f t="shared" si="87"/>
        <v>0</v>
      </c>
      <c r="AS166" s="12">
        <f t="shared" si="87"/>
        <v>0</v>
      </c>
      <c r="AT166" s="69">
        <f t="shared" si="87"/>
        <v>0</v>
      </c>
      <c r="AU166" s="152">
        <f t="shared" si="87"/>
        <v>7.1787234921768714</v>
      </c>
      <c r="AV166" s="12">
        <f t="shared" si="87"/>
        <v>7.0191963034618308</v>
      </c>
      <c r="AW166" s="12">
        <f t="shared" si="87"/>
        <v>6.8596691147467892</v>
      </c>
      <c r="AX166" s="12">
        <f t="shared" si="87"/>
        <v>6.7001419260317467</v>
      </c>
      <c r="AY166" s="12">
        <f t="shared" si="87"/>
        <v>6.5406147373167061</v>
      </c>
      <c r="BA166" s="88" t="str">
        <f t="shared" ca="1" si="62"/>
        <v>Depreciation</v>
      </c>
      <c r="BB166" s="1" t="str">
        <f t="shared" si="63"/>
        <v>Sum of digits</v>
      </c>
      <c r="BC166" s="1" t="str">
        <f t="shared" si="65"/>
        <v>Depreciation</v>
      </c>
    </row>
    <row r="167" spans="1:55" x14ac:dyDescent="0.35">
      <c r="E167" s="2">
        <v>46477</v>
      </c>
      <c r="G167" t="str">
        <f t="shared" si="60"/>
        <v>£m 23/24 prices</v>
      </c>
      <c r="I167" s="27">
        <v>141.10107924986119</v>
      </c>
      <c r="J167" t="s">
        <v>13</v>
      </c>
      <c r="X167" s="12">
        <f t="shared" ref="X167:AY167" si="88">$I167*X103*(1-X$18)+$I167*X135*X$18</f>
        <v>0</v>
      </c>
      <c r="Y167" s="12">
        <f t="shared" si="88"/>
        <v>0</v>
      </c>
      <c r="Z167" s="12">
        <f t="shared" si="88"/>
        <v>0</v>
      </c>
      <c r="AA167" s="12">
        <f t="shared" si="88"/>
        <v>0</v>
      </c>
      <c r="AB167" s="12">
        <f t="shared" si="88"/>
        <v>0</v>
      </c>
      <c r="AC167" s="12">
        <f t="shared" si="88"/>
        <v>0</v>
      </c>
      <c r="AD167" s="12">
        <f t="shared" si="88"/>
        <v>0</v>
      </c>
      <c r="AE167" s="12">
        <f t="shared" si="88"/>
        <v>0</v>
      </c>
      <c r="AF167" s="12">
        <f t="shared" si="88"/>
        <v>0</v>
      </c>
      <c r="AG167" s="12">
        <f t="shared" si="88"/>
        <v>0</v>
      </c>
      <c r="AH167" s="12">
        <f t="shared" si="88"/>
        <v>0</v>
      </c>
      <c r="AI167" s="12">
        <f t="shared" si="88"/>
        <v>0</v>
      </c>
      <c r="AJ167" s="12">
        <f t="shared" si="88"/>
        <v>0</v>
      </c>
      <c r="AK167" s="12">
        <f t="shared" si="88"/>
        <v>0</v>
      </c>
      <c r="AL167" s="12">
        <f t="shared" si="88"/>
        <v>0</v>
      </c>
      <c r="AM167" s="12">
        <f t="shared" si="88"/>
        <v>0</v>
      </c>
      <c r="AN167" s="12">
        <f t="shared" si="88"/>
        <v>0</v>
      </c>
      <c r="AO167" s="12">
        <f t="shared" si="88"/>
        <v>0</v>
      </c>
      <c r="AP167" s="12">
        <f t="shared" si="88"/>
        <v>0</v>
      </c>
      <c r="AQ167" s="12">
        <f t="shared" si="88"/>
        <v>0</v>
      </c>
      <c r="AR167" s="12">
        <f t="shared" si="88"/>
        <v>0</v>
      </c>
      <c r="AS167" s="12">
        <f t="shared" si="88"/>
        <v>0</v>
      </c>
      <c r="AT167" s="69">
        <f t="shared" si="88"/>
        <v>0</v>
      </c>
      <c r="AU167" s="152">
        <f t="shared" si="88"/>
        <v>0</v>
      </c>
      <c r="AV167" s="12">
        <f t="shared" si="88"/>
        <v>11.758423270821766</v>
      </c>
      <c r="AW167" s="12">
        <f t="shared" si="88"/>
        <v>11.24718747643821</v>
      </c>
      <c r="AX167" s="12">
        <f t="shared" si="88"/>
        <v>10.735951682054656</v>
      </c>
      <c r="AY167" s="12">
        <f t="shared" si="88"/>
        <v>10.224715887671101</v>
      </c>
      <c r="BA167" s="88" t="str">
        <f t="shared" ca="1" si="62"/>
        <v>Depreciation</v>
      </c>
      <c r="BB167" s="1" t="str">
        <f t="shared" si="63"/>
        <v>Sum of digits</v>
      </c>
      <c r="BC167" s="1" t="str">
        <f t="shared" si="65"/>
        <v>Depreciation</v>
      </c>
    </row>
    <row r="168" spans="1:55" x14ac:dyDescent="0.35">
      <c r="E168" s="2">
        <v>46843</v>
      </c>
      <c r="G168" t="str">
        <f t="shared" si="60"/>
        <v>£m 23/24 prices</v>
      </c>
      <c r="I168" s="27">
        <v>150.03052575401802</v>
      </c>
      <c r="J168" t="s">
        <v>13</v>
      </c>
      <c r="X168" s="12">
        <f t="shared" ref="X168:AY168" si="89">$I168*X104*(1-X$18)+$I168*X136*X$18</f>
        <v>0</v>
      </c>
      <c r="Y168" s="12">
        <f t="shared" si="89"/>
        <v>0</v>
      </c>
      <c r="Z168" s="12">
        <f t="shared" si="89"/>
        <v>0</v>
      </c>
      <c r="AA168" s="12">
        <f t="shared" si="89"/>
        <v>0</v>
      </c>
      <c r="AB168" s="12">
        <f t="shared" si="89"/>
        <v>0</v>
      </c>
      <c r="AC168" s="12">
        <f t="shared" si="89"/>
        <v>0</v>
      </c>
      <c r="AD168" s="12">
        <f t="shared" si="89"/>
        <v>0</v>
      </c>
      <c r="AE168" s="12">
        <f t="shared" si="89"/>
        <v>0</v>
      </c>
      <c r="AF168" s="12">
        <f t="shared" si="89"/>
        <v>0</v>
      </c>
      <c r="AG168" s="12">
        <f t="shared" si="89"/>
        <v>0</v>
      </c>
      <c r="AH168" s="12">
        <f t="shared" si="89"/>
        <v>0</v>
      </c>
      <c r="AI168" s="12">
        <f t="shared" si="89"/>
        <v>0</v>
      </c>
      <c r="AJ168" s="12">
        <f t="shared" si="89"/>
        <v>0</v>
      </c>
      <c r="AK168" s="12">
        <f t="shared" si="89"/>
        <v>0</v>
      </c>
      <c r="AL168" s="12">
        <f t="shared" si="89"/>
        <v>0</v>
      </c>
      <c r="AM168" s="12">
        <f t="shared" si="89"/>
        <v>0</v>
      </c>
      <c r="AN168" s="12">
        <f t="shared" si="89"/>
        <v>0</v>
      </c>
      <c r="AO168" s="12">
        <f t="shared" si="89"/>
        <v>0</v>
      </c>
      <c r="AP168" s="12">
        <f t="shared" si="89"/>
        <v>0</v>
      </c>
      <c r="AQ168" s="12">
        <f t="shared" si="89"/>
        <v>0</v>
      </c>
      <c r="AR168" s="12">
        <f t="shared" si="89"/>
        <v>0</v>
      </c>
      <c r="AS168" s="12">
        <f t="shared" si="89"/>
        <v>0</v>
      </c>
      <c r="AT168" s="69">
        <f t="shared" si="89"/>
        <v>0</v>
      </c>
      <c r="AU168" s="152">
        <f t="shared" si="89"/>
        <v>0</v>
      </c>
      <c r="AV168" s="12">
        <f t="shared" si="89"/>
        <v>0</v>
      </c>
      <c r="AW168" s="12">
        <f t="shared" si="89"/>
        <v>13.046132674262436</v>
      </c>
      <c r="AX168" s="12">
        <f t="shared" si="89"/>
        <v>12.453126643614144</v>
      </c>
      <c r="AY168" s="12">
        <f t="shared" si="89"/>
        <v>11.860120612965851</v>
      </c>
      <c r="BA168" s="88" t="str">
        <f t="shared" ca="1" si="62"/>
        <v>Depreciation</v>
      </c>
      <c r="BB168" s="1" t="str">
        <f t="shared" si="63"/>
        <v>Sum of digits</v>
      </c>
      <c r="BC168" s="1" t="str">
        <f t="shared" si="65"/>
        <v>Depreciation</v>
      </c>
    </row>
    <row r="169" spans="1:55" x14ac:dyDescent="0.35">
      <c r="E169" s="2">
        <v>47208</v>
      </c>
      <c r="G169" t="str">
        <f t="shared" si="60"/>
        <v>£m 23/24 prices</v>
      </c>
      <c r="I169" s="27">
        <v>148.88047451639065</v>
      </c>
      <c r="J169" t="s">
        <v>13</v>
      </c>
      <c r="X169" s="12">
        <f t="shared" ref="X169:AY169" si="90">$I169*X105*(1-X$18)+$I169*X137*X$18</f>
        <v>0</v>
      </c>
      <c r="Y169" s="12">
        <f t="shared" si="90"/>
        <v>0</v>
      </c>
      <c r="Z169" s="12">
        <f t="shared" si="90"/>
        <v>0</v>
      </c>
      <c r="AA169" s="12">
        <f t="shared" si="90"/>
        <v>0</v>
      </c>
      <c r="AB169" s="12">
        <f t="shared" si="90"/>
        <v>0</v>
      </c>
      <c r="AC169" s="12">
        <f t="shared" si="90"/>
        <v>0</v>
      </c>
      <c r="AD169" s="12">
        <f t="shared" si="90"/>
        <v>0</v>
      </c>
      <c r="AE169" s="12">
        <f t="shared" si="90"/>
        <v>0</v>
      </c>
      <c r="AF169" s="12">
        <f t="shared" si="90"/>
        <v>0</v>
      </c>
      <c r="AG169" s="12">
        <f t="shared" si="90"/>
        <v>0</v>
      </c>
      <c r="AH169" s="12">
        <f t="shared" si="90"/>
        <v>0</v>
      </c>
      <c r="AI169" s="12">
        <f t="shared" si="90"/>
        <v>0</v>
      </c>
      <c r="AJ169" s="12">
        <f t="shared" si="90"/>
        <v>0</v>
      </c>
      <c r="AK169" s="12">
        <f t="shared" si="90"/>
        <v>0</v>
      </c>
      <c r="AL169" s="12">
        <f t="shared" si="90"/>
        <v>0</v>
      </c>
      <c r="AM169" s="12">
        <f t="shared" si="90"/>
        <v>0</v>
      </c>
      <c r="AN169" s="12">
        <f t="shared" si="90"/>
        <v>0</v>
      </c>
      <c r="AO169" s="12">
        <f t="shared" si="90"/>
        <v>0</v>
      </c>
      <c r="AP169" s="12">
        <f t="shared" si="90"/>
        <v>0</v>
      </c>
      <c r="AQ169" s="12">
        <f t="shared" si="90"/>
        <v>0</v>
      </c>
      <c r="AR169" s="12">
        <f t="shared" si="90"/>
        <v>0</v>
      </c>
      <c r="AS169" s="12">
        <f t="shared" si="90"/>
        <v>0</v>
      </c>
      <c r="AT169" s="69">
        <f t="shared" si="90"/>
        <v>0</v>
      </c>
      <c r="AU169" s="152">
        <f t="shared" si="90"/>
        <v>0</v>
      </c>
      <c r="AV169" s="12">
        <f t="shared" si="90"/>
        <v>0</v>
      </c>
      <c r="AW169" s="12">
        <f t="shared" si="90"/>
        <v>0</v>
      </c>
      <c r="AX169" s="12">
        <f t="shared" si="90"/>
        <v>13.53458859239915</v>
      </c>
      <c r="AY169" s="12">
        <f t="shared" si="90"/>
        <v>12.890084373713476</v>
      </c>
      <c r="BA169" s="88" t="str">
        <f t="shared" ca="1" si="62"/>
        <v>Depreciation</v>
      </c>
      <c r="BB169" s="1" t="str">
        <f t="shared" si="63"/>
        <v>Sum of digits</v>
      </c>
      <c r="BC169" s="1" t="str">
        <f t="shared" si="65"/>
        <v>Depreciation</v>
      </c>
    </row>
    <row r="170" spans="1:55" x14ac:dyDescent="0.35">
      <c r="E170" s="2">
        <v>47573</v>
      </c>
      <c r="G170" t="str">
        <f t="shared" si="60"/>
        <v>£m 23/24 prices</v>
      </c>
      <c r="I170" s="27">
        <v>145.57159215483762</v>
      </c>
      <c r="J170" t="s">
        <v>13</v>
      </c>
      <c r="X170" s="12">
        <f t="shared" ref="X170:AY170" si="91">$I170*X106*(1-X$18)+$I170*X138*X$18</f>
        <v>0</v>
      </c>
      <c r="Y170" s="12">
        <f t="shared" si="91"/>
        <v>0</v>
      </c>
      <c r="Z170" s="12">
        <f t="shared" si="91"/>
        <v>0</v>
      </c>
      <c r="AA170" s="12">
        <f t="shared" si="91"/>
        <v>0</v>
      </c>
      <c r="AB170" s="12">
        <f t="shared" si="91"/>
        <v>0</v>
      </c>
      <c r="AC170" s="12">
        <f t="shared" si="91"/>
        <v>0</v>
      </c>
      <c r="AD170" s="12">
        <f t="shared" si="91"/>
        <v>0</v>
      </c>
      <c r="AE170" s="12">
        <f t="shared" si="91"/>
        <v>0</v>
      </c>
      <c r="AF170" s="12">
        <f t="shared" si="91"/>
        <v>0</v>
      </c>
      <c r="AG170" s="12">
        <f t="shared" si="91"/>
        <v>0</v>
      </c>
      <c r="AH170" s="12">
        <f t="shared" si="91"/>
        <v>0</v>
      </c>
      <c r="AI170" s="12">
        <f t="shared" si="91"/>
        <v>0</v>
      </c>
      <c r="AJ170" s="12">
        <f t="shared" si="91"/>
        <v>0</v>
      </c>
      <c r="AK170" s="12">
        <f t="shared" si="91"/>
        <v>0</v>
      </c>
      <c r="AL170" s="12">
        <f t="shared" si="91"/>
        <v>0</v>
      </c>
      <c r="AM170" s="12">
        <f t="shared" si="91"/>
        <v>0</v>
      </c>
      <c r="AN170" s="12">
        <f t="shared" si="91"/>
        <v>0</v>
      </c>
      <c r="AO170" s="12">
        <f t="shared" si="91"/>
        <v>0</v>
      </c>
      <c r="AP170" s="12">
        <f t="shared" si="91"/>
        <v>0</v>
      </c>
      <c r="AQ170" s="12">
        <f t="shared" si="91"/>
        <v>0</v>
      </c>
      <c r="AR170" s="12">
        <f t="shared" si="91"/>
        <v>0</v>
      </c>
      <c r="AS170" s="12">
        <f t="shared" si="91"/>
        <v>0</v>
      </c>
      <c r="AT170" s="69">
        <f t="shared" si="91"/>
        <v>0</v>
      </c>
      <c r="AU170" s="152">
        <f t="shared" si="91"/>
        <v>0</v>
      </c>
      <c r="AV170" s="12">
        <f t="shared" si="91"/>
        <v>0</v>
      </c>
      <c r="AW170" s="12">
        <f t="shared" si="91"/>
        <v>0</v>
      </c>
      <c r="AX170" s="12">
        <f t="shared" si="91"/>
        <v>0</v>
      </c>
      <c r="AY170" s="12">
        <f t="shared" si="91"/>
        <v>13.863961157603581</v>
      </c>
      <c r="BA170" s="88" t="str">
        <f t="shared" ca="1" si="62"/>
        <v>Depreciation</v>
      </c>
      <c r="BB170" s="1" t="str">
        <f t="shared" si="63"/>
        <v>Sum of digits</v>
      </c>
      <c r="BC170" s="1" t="str">
        <f t="shared" si="65"/>
        <v>Depreciation</v>
      </c>
    </row>
    <row r="171" spans="1:55" x14ac:dyDescent="0.35">
      <c r="E171" s="2">
        <v>47938</v>
      </c>
      <c r="G171" t="str">
        <f t="shared" si="60"/>
        <v>£m 23/24 prices</v>
      </c>
      <c r="I171" s="27">
        <v>141.08046857352724</v>
      </c>
      <c r="J171" t="s">
        <v>13</v>
      </c>
      <c r="X171" s="12">
        <f t="shared" ref="X171:AY171" si="92">$I171*X107*(1-X$18)+$I171*X139*X$18</f>
        <v>0</v>
      </c>
      <c r="Y171" s="12">
        <f t="shared" si="92"/>
        <v>0</v>
      </c>
      <c r="Z171" s="12">
        <f t="shared" si="92"/>
        <v>0</v>
      </c>
      <c r="AA171" s="12">
        <f t="shared" si="92"/>
        <v>0</v>
      </c>
      <c r="AB171" s="12">
        <f t="shared" si="92"/>
        <v>0</v>
      </c>
      <c r="AC171" s="12">
        <f t="shared" si="92"/>
        <v>0</v>
      </c>
      <c r="AD171" s="12">
        <f t="shared" si="92"/>
        <v>0</v>
      </c>
      <c r="AE171" s="12">
        <f t="shared" si="92"/>
        <v>0</v>
      </c>
      <c r="AF171" s="12">
        <f t="shared" si="92"/>
        <v>0</v>
      </c>
      <c r="AG171" s="12">
        <f t="shared" si="92"/>
        <v>0</v>
      </c>
      <c r="AH171" s="12">
        <f t="shared" si="92"/>
        <v>0</v>
      </c>
      <c r="AI171" s="12">
        <f t="shared" si="92"/>
        <v>0</v>
      </c>
      <c r="AJ171" s="12">
        <f t="shared" si="92"/>
        <v>0</v>
      </c>
      <c r="AK171" s="12">
        <f t="shared" si="92"/>
        <v>0</v>
      </c>
      <c r="AL171" s="12">
        <f t="shared" si="92"/>
        <v>0</v>
      </c>
      <c r="AM171" s="12">
        <f t="shared" si="92"/>
        <v>0</v>
      </c>
      <c r="AN171" s="12">
        <f t="shared" si="92"/>
        <v>0</v>
      </c>
      <c r="AO171" s="12">
        <f t="shared" si="92"/>
        <v>0</v>
      </c>
      <c r="AP171" s="12">
        <f t="shared" si="92"/>
        <v>0</v>
      </c>
      <c r="AQ171" s="12">
        <f t="shared" si="92"/>
        <v>0</v>
      </c>
      <c r="AR171" s="12">
        <f t="shared" si="92"/>
        <v>0</v>
      </c>
      <c r="AS171" s="12">
        <f t="shared" si="92"/>
        <v>0</v>
      </c>
      <c r="AT171" s="69">
        <f t="shared" si="92"/>
        <v>0</v>
      </c>
      <c r="AU171" s="152">
        <f t="shared" si="92"/>
        <v>0</v>
      </c>
      <c r="AV171" s="12">
        <f t="shared" si="92"/>
        <v>0</v>
      </c>
      <c r="AW171" s="12">
        <f t="shared" si="92"/>
        <v>0</v>
      </c>
      <c r="AX171" s="12">
        <f t="shared" si="92"/>
        <v>0</v>
      </c>
      <c r="AY171" s="12">
        <f t="shared" si="92"/>
        <v>0</v>
      </c>
      <c r="BA171" s="88" t="str">
        <f t="shared" ca="1" si="62"/>
        <v>Depreciation</v>
      </c>
      <c r="BB171" s="1" t="str">
        <f t="shared" si="63"/>
        <v>Sum of digits</v>
      </c>
      <c r="BC171" s="1" t="str">
        <f t="shared" si="65"/>
        <v>Depreciation</v>
      </c>
    </row>
    <row r="172" spans="1:55" x14ac:dyDescent="0.35"/>
    <row r="173" spans="1:55" x14ac:dyDescent="0.35"/>
    <row r="174" spans="1:55" x14ac:dyDescent="0.35"/>
    <row r="175" spans="1:55" ht="20" thickBot="1" x14ac:dyDescent="0.5">
      <c r="A175" s="13" t="s">
        <v>489</v>
      </c>
    </row>
    <row r="176" spans="1:55" ht="18" thickTop="1" thickBot="1" x14ac:dyDescent="0.45">
      <c r="B176" s="15" t="s">
        <v>293</v>
      </c>
    </row>
    <row r="177" spans="5:55" ht="15" thickTop="1" x14ac:dyDescent="0.35">
      <c r="E177" s="2">
        <v>37711</v>
      </c>
      <c r="G177" t="str">
        <f t="shared" ref="G177:G205" si="93">price_label</f>
        <v>£m 23/24 prices</v>
      </c>
      <c r="I177" s="27" cm="1">
        <f t="array" ref="I177:I205">TRANSPOSE(W31:AY31)</f>
        <v>91.905465427581476</v>
      </c>
      <c r="J177" t="s">
        <v>13</v>
      </c>
      <c r="X177" s="12">
        <f>IF(AND(YEAR(X$4)&gt;YEAR($E177),$I177&gt;0),MIN($I177/$I$8,$I177-SUM($W177:W177)),0)</f>
        <v>2.0423436761684775</v>
      </c>
      <c r="Y177" s="12">
        <f>IF(AND(YEAR(Y$4)&gt;YEAR($E177),$I177&gt;0),MIN($I177/$I$8,$I177-SUM($W177:X177)),0)</f>
        <v>2.0423436761684775</v>
      </c>
      <c r="Z177" s="12">
        <f>IF(AND(YEAR(Z$4)&gt;YEAR($E177),$I177&gt;0),MIN($I177/$I$8,$I177-SUM($W177:Y177)),0)</f>
        <v>2.0423436761684775</v>
      </c>
      <c r="AA177" s="12">
        <f>IF(AND(YEAR(AA$4)&gt;YEAR($E177),$I177&gt;0),MIN($I177/$I$8,$I177-SUM($W177:Z177)),0)</f>
        <v>2.0423436761684775</v>
      </c>
      <c r="AB177" s="12">
        <f>IF(AND(YEAR(AB$4)&gt;YEAR($E177),$I177&gt;0),MIN($I177/$I$8,$I177-SUM($W177:AA177)),0)</f>
        <v>2.0423436761684775</v>
      </c>
      <c r="AC177" s="12">
        <f>IF(AND(YEAR(AC$4)&gt;YEAR($E177),$I177&gt;0),MIN($I177/$I$8,$I177-SUM($W177:AB177)),0)</f>
        <v>2.0423436761684775</v>
      </c>
      <c r="AD177" s="12">
        <f>IF(AND(YEAR(AD$4)&gt;YEAR($E177),$I177&gt;0),MIN($I177/$I$8,$I177-SUM($W177:AC177)),0)</f>
        <v>2.0423436761684775</v>
      </c>
      <c r="AE177" s="12">
        <f>IF(AND(YEAR(AE$4)&gt;YEAR($E177),$I177&gt;0),MIN($I177/$I$8,$I177-SUM($W177:AD177)),0)</f>
        <v>2.0423436761684775</v>
      </c>
      <c r="AF177" s="12">
        <f>IF(AND(YEAR(AF$4)&gt;YEAR($E177),$I177&gt;0),MIN($I177/$I$8,$I177-SUM($W177:AE177)),0)</f>
        <v>2.0423436761684775</v>
      </c>
      <c r="AG177" s="12">
        <f>IF(AND(YEAR(AG$4)&gt;YEAR($E177),$I177&gt;0),MIN($I177/$I$8,$I177-SUM($W177:AF177)),0)</f>
        <v>2.0423436761684775</v>
      </c>
      <c r="AH177" s="12">
        <f>IF(AND(YEAR(AH$4)&gt;YEAR($E177),$I177&gt;0),MIN($I177/$I$8,$I177-SUM($W177:AG177)),0)</f>
        <v>2.0423436761684775</v>
      </c>
      <c r="AI177" s="12">
        <f>IF(AND(YEAR(AI$4)&gt;YEAR($E177),$I177&gt;0),MIN($I177/$I$8,$I177-SUM($W177:AH177)),0)</f>
        <v>2.0423436761684775</v>
      </c>
      <c r="AJ177" s="12">
        <f>IF(AND(YEAR(AJ$4)&gt;YEAR($E177),$I177&gt;0),MIN($I177/$I$8,$I177-SUM($W177:AI177)),0)</f>
        <v>2.0423436761684775</v>
      </c>
      <c r="AK177" s="12">
        <f>IF(AND(YEAR(AK$4)&gt;YEAR($E177),$I177&gt;0),MIN($I177/$I$8,$I177-SUM($W177:AJ177)),0)</f>
        <v>2.0423436761684775</v>
      </c>
      <c r="AL177" s="12">
        <f>IF(AND(YEAR(AL$4)&gt;YEAR($E177),$I177&gt;0),MIN($I177/$I$8,$I177-SUM($W177:AK177)),0)</f>
        <v>2.0423436761684775</v>
      </c>
      <c r="AM177" s="12">
        <f>IF(AND(YEAR(AM$4)&gt;YEAR($E177),$I177&gt;0),MIN($I177/$I$8,$I177-SUM($W177:AL177)),0)</f>
        <v>2.0423436761684775</v>
      </c>
      <c r="AN177" s="12">
        <f>IF(AND(YEAR(AN$4)&gt;YEAR($E177),$I177&gt;0),MIN($I177/$I$8,$I177-SUM($W177:AM177)),0)</f>
        <v>2.0423436761684775</v>
      </c>
      <c r="AO177" s="12">
        <f>IF(AND(YEAR(AO$4)&gt;YEAR($E177),$I177&gt;0),MIN($I177/$I$8,$I177-SUM($W177:AN177)),0)</f>
        <v>2.0423436761684775</v>
      </c>
      <c r="AP177" s="12">
        <f>IF(AND(YEAR(AP$4)&gt;YEAR($E177),$I177&gt;0),MIN($I177/$I$8,$I177-SUM($W177:AO177)),0)</f>
        <v>2.0423436761684775</v>
      </c>
      <c r="AQ177" s="12">
        <f>IF(AND(YEAR(AQ$4)&gt;YEAR($E177),$I177&gt;0),MIN($I177/$I$8,$I177-SUM($W177:AP177)),0)</f>
        <v>2.0423436761684775</v>
      </c>
      <c r="AR177" s="12">
        <f>IF(AND(YEAR(AR$4)&gt;YEAR($E177),$I177&gt;0),MIN($I177/$I$8,$I177-SUM($W177:AQ177)),0)</f>
        <v>2.0423436761684775</v>
      </c>
      <c r="AS177" s="12">
        <f>IF(AND(YEAR(AS$4)&gt;YEAR($E177),$I177&gt;0),MIN($I177/$I$8,$I177-SUM($W177:AR177)),0)</f>
        <v>2.0423436761684775</v>
      </c>
      <c r="AT177" s="69">
        <f>IF(AND(YEAR(AT$4)&gt;YEAR($E177),$I177&gt;0),MIN($I177/$I$8,$I177-SUM($W177:AS177)),0)</f>
        <v>2.0423436761684775</v>
      </c>
      <c r="AU177" s="152">
        <f>IF(AND(YEAR(AU$4)&gt;YEAR($E177),$I177&gt;0),MIN($I177/$I$8,$I177-SUM($W177:AT177)),0)</f>
        <v>2.0423436761684775</v>
      </c>
      <c r="AV177" s="12">
        <f>IF(AND(YEAR(AV$4)&gt;YEAR($E177),$I177&gt;0),MIN($I177/$I$8,$I177-SUM($W177:AU177)),0)</f>
        <v>2.0423436761684775</v>
      </c>
      <c r="AW177" s="12">
        <f>IF(AND(YEAR(AW$4)&gt;YEAR($E177),$I177&gt;0),MIN($I177/$I$8,$I177-SUM($W177:AV177)),0)</f>
        <v>2.0423436761684775</v>
      </c>
      <c r="AX177" s="12">
        <f>IF(AND(YEAR(AX$4)&gt;YEAR($E177),$I177&gt;0),MIN($I177/$I$8,$I177-SUM($W177:AW177)),0)</f>
        <v>2.0423436761684775</v>
      </c>
      <c r="AY177" s="12">
        <f>IF(AND(YEAR(AY$4)&gt;YEAR($E177),$I177&gt;0),MIN($I177/$I$8,$I177-SUM($W177:AX177)),0)</f>
        <v>2.0423436761684775</v>
      </c>
      <c r="BA177" s="88" t="str">
        <f t="shared" ref="BA177:BA205" ca="1" si="94">$A$1</f>
        <v>Depreciation</v>
      </c>
      <c r="BB177" s="1" t="str">
        <f>$A$175</f>
        <v>Straight line</v>
      </c>
      <c r="BC177" s="1" t="str">
        <f>$B$176</f>
        <v>Depreciation</v>
      </c>
    </row>
    <row r="178" spans="5:55" x14ac:dyDescent="0.35">
      <c r="E178" s="2">
        <v>38077</v>
      </c>
      <c r="G178" t="str">
        <f t="shared" si="93"/>
        <v>£m 23/24 prices</v>
      </c>
      <c r="I178" s="27">
        <v>79.115440417778871</v>
      </c>
      <c r="J178" t="s">
        <v>13</v>
      </c>
      <c r="X178" s="12">
        <f>IF(AND(YEAR(X$4)&gt;YEAR($E178),$I178&gt;0),MIN($I178/$I$8,$I178-SUM($W178:W178)),0)</f>
        <v>0</v>
      </c>
      <c r="Y178" s="12">
        <f>IF(AND(YEAR(Y$4)&gt;YEAR($E178),$I178&gt;0),MIN($I178/$I$8,$I178-SUM($W178:X178)),0)</f>
        <v>1.7581208981728638</v>
      </c>
      <c r="Z178" s="12">
        <f>IF(AND(YEAR(Z$4)&gt;YEAR($E178),$I178&gt;0),MIN($I178/$I$8,$I178-SUM($W178:Y178)),0)</f>
        <v>1.7581208981728638</v>
      </c>
      <c r="AA178" s="12">
        <f>IF(AND(YEAR(AA$4)&gt;YEAR($E178),$I178&gt;0),MIN($I178/$I$8,$I178-SUM($W178:Z178)),0)</f>
        <v>1.7581208981728638</v>
      </c>
      <c r="AB178" s="12">
        <f>IF(AND(YEAR(AB$4)&gt;YEAR($E178),$I178&gt;0),MIN($I178/$I$8,$I178-SUM($W178:AA178)),0)</f>
        <v>1.7581208981728638</v>
      </c>
      <c r="AC178" s="12">
        <f>IF(AND(YEAR(AC$4)&gt;YEAR($E178),$I178&gt;0),MIN($I178/$I$8,$I178-SUM($W178:AB178)),0)</f>
        <v>1.7581208981728638</v>
      </c>
      <c r="AD178" s="12">
        <f>IF(AND(YEAR(AD$4)&gt;YEAR($E178),$I178&gt;0),MIN($I178/$I$8,$I178-SUM($W178:AC178)),0)</f>
        <v>1.7581208981728638</v>
      </c>
      <c r="AE178" s="12">
        <f>IF(AND(YEAR(AE$4)&gt;YEAR($E178),$I178&gt;0),MIN($I178/$I$8,$I178-SUM($W178:AD178)),0)</f>
        <v>1.7581208981728638</v>
      </c>
      <c r="AF178" s="12">
        <f>IF(AND(YEAR(AF$4)&gt;YEAR($E178),$I178&gt;0),MIN($I178/$I$8,$I178-SUM($W178:AE178)),0)</f>
        <v>1.7581208981728638</v>
      </c>
      <c r="AG178" s="12">
        <f>IF(AND(YEAR(AG$4)&gt;YEAR($E178),$I178&gt;0),MIN($I178/$I$8,$I178-SUM($W178:AF178)),0)</f>
        <v>1.7581208981728638</v>
      </c>
      <c r="AH178" s="12">
        <f>IF(AND(YEAR(AH$4)&gt;YEAR($E178),$I178&gt;0),MIN($I178/$I$8,$I178-SUM($W178:AG178)),0)</f>
        <v>1.7581208981728638</v>
      </c>
      <c r="AI178" s="12">
        <f>IF(AND(YEAR(AI$4)&gt;YEAR($E178),$I178&gt;0),MIN($I178/$I$8,$I178-SUM($W178:AH178)),0)</f>
        <v>1.7581208981728638</v>
      </c>
      <c r="AJ178" s="12">
        <f>IF(AND(YEAR(AJ$4)&gt;YEAR($E178),$I178&gt;0),MIN($I178/$I$8,$I178-SUM($W178:AI178)),0)</f>
        <v>1.7581208981728638</v>
      </c>
      <c r="AK178" s="12">
        <f>IF(AND(YEAR(AK$4)&gt;YEAR($E178),$I178&gt;0),MIN($I178/$I$8,$I178-SUM($W178:AJ178)),0)</f>
        <v>1.7581208981728638</v>
      </c>
      <c r="AL178" s="12">
        <f>IF(AND(YEAR(AL$4)&gt;YEAR($E178),$I178&gt;0),MIN($I178/$I$8,$I178-SUM($W178:AK178)),0)</f>
        <v>1.7581208981728638</v>
      </c>
      <c r="AM178" s="12">
        <f>IF(AND(YEAR(AM$4)&gt;YEAR($E178),$I178&gt;0),MIN($I178/$I$8,$I178-SUM($W178:AL178)),0)</f>
        <v>1.7581208981728638</v>
      </c>
      <c r="AN178" s="12">
        <f>IF(AND(YEAR(AN$4)&gt;YEAR($E178),$I178&gt;0),MIN($I178/$I$8,$I178-SUM($W178:AM178)),0)</f>
        <v>1.7581208981728638</v>
      </c>
      <c r="AO178" s="12">
        <f>IF(AND(YEAR(AO$4)&gt;YEAR($E178),$I178&gt;0),MIN($I178/$I$8,$I178-SUM($W178:AN178)),0)</f>
        <v>1.7581208981728638</v>
      </c>
      <c r="AP178" s="12">
        <f>IF(AND(YEAR(AP$4)&gt;YEAR($E178),$I178&gt;0),MIN($I178/$I$8,$I178-SUM($W178:AO178)),0)</f>
        <v>1.7581208981728638</v>
      </c>
      <c r="AQ178" s="12">
        <f>IF(AND(YEAR(AQ$4)&gt;YEAR($E178),$I178&gt;0),MIN($I178/$I$8,$I178-SUM($W178:AP178)),0)</f>
        <v>1.7581208981728638</v>
      </c>
      <c r="AR178" s="12">
        <f>IF(AND(YEAR(AR$4)&gt;YEAR($E178),$I178&gt;0),MIN($I178/$I$8,$I178-SUM($W178:AQ178)),0)</f>
        <v>1.7581208981728638</v>
      </c>
      <c r="AS178" s="12">
        <f>IF(AND(YEAR(AS$4)&gt;YEAR($E178),$I178&gt;0),MIN($I178/$I$8,$I178-SUM($W178:AR178)),0)</f>
        <v>1.7581208981728638</v>
      </c>
      <c r="AT178" s="69">
        <f>IF(AND(YEAR(AT$4)&gt;YEAR($E178),$I178&gt;0),MIN($I178/$I$8,$I178-SUM($W178:AS178)),0)</f>
        <v>1.7581208981728638</v>
      </c>
      <c r="AU178" s="152">
        <f>IF(AND(YEAR(AU$4)&gt;YEAR($E178),$I178&gt;0),MIN($I178/$I$8,$I178-SUM($W178:AT178)),0)</f>
        <v>1.7581208981728638</v>
      </c>
      <c r="AV178" s="12">
        <f>IF(AND(YEAR(AV$4)&gt;YEAR($E178),$I178&gt;0),MIN($I178/$I$8,$I178-SUM($W178:AU178)),0)</f>
        <v>1.7581208981728638</v>
      </c>
      <c r="AW178" s="12">
        <f>IF(AND(YEAR(AW$4)&gt;YEAR($E178),$I178&gt;0),MIN($I178/$I$8,$I178-SUM($W178:AV178)),0)</f>
        <v>1.7581208981728638</v>
      </c>
      <c r="AX178" s="12">
        <f>IF(AND(YEAR(AX$4)&gt;YEAR($E178),$I178&gt;0),MIN($I178/$I$8,$I178-SUM($W178:AW178)),0)</f>
        <v>1.7581208981728638</v>
      </c>
      <c r="AY178" s="12">
        <f>IF(AND(YEAR(AY$4)&gt;YEAR($E178),$I178&gt;0),MIN($I178/$I$8,$I178-SUM($W178:AX178)),0)</f>
        <v>1.7581208981728638</v>
      </c>
      <c r="BA178" s="88" t="str">
        <f t="shared" ca="1" si="94"/>
        <v>Depreciation</v>
      </c>
      <c r="BB178" s="1" t="str">
        <f t="shared" ref="BB178:BB205" si="95">$A$175</f>
        <v>Straight line</v>
      </c>
      <c r="BC178" s="1" t="str">
        <f t="shared" ref="BC178:BC205" si="96">$B$176</f>
        <v>Depreciation</v>
      </c>
    </row>
    <row r="179" spans="5:55" x14ac:dyDescent="0.35">
      <c r="E179" s="2">
        <v>38442</v>
      </c>
      <c r="G179" t="str">
        <f t="shared" si="93"/>
        <v>£m 23/24 prices</v>
      </c>
      <c r="I179" s="27">
        <v>57.28104057961589</v>
      </c>
      <c r="J179" t="s">
        <v>13</v>
      </c>
      <c r="X179" s="12">
        <f>IF(AND(YEAR(X$4)&gt;YEAR($E179),$I179&gt;0),MIN($I179/$I$8,$I179-SUM($W179:W179)),0)</f>
        <v>0</v>
      </c>
      <c r="Y179" s="12">
        <f>IF(AND(YEAR(Y$4)&gt;YEAR($E179),$I179&gt;0),MIN($I179/$I$8,$I179-SUM($W179:X179)),0)</f>
        <v>0</v>
      </c>
      <c r="Z179" s="12">
        <f>IF(AND(YEAR(Z$4)&gt;YEAR($E179),$I179&gt;0),MIN($I179/$I$8,$I179-SUM($W179:Y179)),0)</f>
        <v>1.272912012880353</v>
      </c>
      <c r="AA179" s="12">
        <f>IF(AND(YEAR(AA$4)&gt;YEAR($E179),$I179&gt;0),MIN($I179/$I$8,$I179-SUM($W179:Z179)),0)</f>
        <v>1.272912012880353</v>
      </c>
      <c r="AB179" s="12">
        <f>IF(AND(YEAR(AB$4)&gt;YEAR($E179),$I179&gt;0),MIN($I179/$I$8,$I179-SUM($W179:AA179)),0)</f>
        <v>1.272912012880353</v>
      </c>
      <c r="AC179" s="12">
        <f>IF(AND(YEAR(AC$4)&gt;YEAR($E179),$I179&gt;0),MIN($I179/$I$8,$I179-SUM($W179:AB179)),0)</f>
        <v>1.272912012880353</v>
      </c>
      <c r="AD179" s="12">
        <f>IF(AND(YEAR(AD$4)&gt;YEAR($E179),$I179&gt;0),MIN($I179/$I$8,$I179-SUM($W179:AC179)),0)</f>
        <v>1.272912012880353</v>
      </c>
      <c r="AE179" s="12">
        <f>IF(AND(YEAR(AE$4)&gt;YEAR($E179),$I179&gt;0),MIN($I179/$I$8,$I179-SUM($W179:AD179)),0)</f>
        <v>1.272912012880353</v>
      </c>
      <c r="AF179" s="12">
        <f>IF(AND(YEAR(AF$4)&gt;YEAR($E179),$I179&gt;0),MIN($I179/$I$8,$I179-SUM($W179:AE179)),0)</f>
        <v>1.272912012880353</v>
      </c>
      <c r="AG179" s="12">
        <f>IF(AND(YEAR(AG$4)&gt;YEAR($E179),$I179&gt;0),MIN($I179/$I$8,$I179-SUM($W179:AF179)),0)</f>
        <v>1.272912012880353</v>
      </c>
      <c r="AH179" s="12">
        <f>IF(AND(YEAR(AH$4)&gt;YEAR($E179),$I179&gt;0),MIN($I179/$I$8,$I179-SUM($W179:AG179)),0)</f>
        <v>1.272912012880353</v>
      </c>
      <c r="AI179" s="12">
        <f>IF(AND(YEAR(AI$4)&gt;YEAR($E179),$I179&gt;0),MIN($I179/$I$8,$I179-SUM($W179:AH179)),0)</f>
        <v>1.272912012880353</v>
      </c>
      <c r="AJ179" s="12">
        <f>IF(AND(YEAR(AJ$4)&gt;YEAR($E179),$I179&gt;0),MIN($I179/$I$8,$I179-SUM($W179:AI179)),0)</f>
        <v>1.272912012880353</v>
      </c>
      <c r="AK179" s="12">
        <f>IF(AND(YEAR(AK$4)&gt;YEAR($E179),$I179&gt;0),MIN($I179/$I$8,$I179-SUM($W179:AJ179)),0)</f>
        <v>1.272912012880353</v>
      </c>
      <c r="AL179" s="12">
        <f>IF(AND(YEAR(AL$4)&gt;YEAR($E179),$I179&gt;0),MIN($I179/$I$8,$I179-SUM($W179:AK179)),0)</f>
        <v>1.272912012880353</v>
      </c>
      <c r="AM179" s="12">
        <f>IF(AND(YEAR(AM$4)&gt;YEAR($E179),$I179&gt;0),MIN($I179/$I$8,$I179-SUM($W179:AL179)),0)</f>
        <v>1.272912012880353</v>
      </c>
      <c r="AN179" s="12">
        <f>IF(AND(YEAR(AN$4)&gt;YEAR($E179),$I179&gt;0),MIN($I179/$I$8,$I179-SUM($W179:AM179)),0)</f>
        <v>1.272912012880353</v>
      </c>
      <c r="AO179" s="12">
        <f>IF(AND(YEAR(AO$4)&gt;YEAR($E179),$I179&gt;0),MIN($I179/$I$8,$I179-SUM($W179:AN179)),0)</f>
        <v>1.272912012880353</v>
      </c>
      <c r="AP179" s="12">
        <f>IF(AND(YEAR(AP$4)&gt;YEAR($E179),$I179&gt;0),MIN($I179/$I$8,$I179-SUM($W179:AO179)),0)</f>
        <v>1.272912012880353</v>
      </c>
      <c r="AQ179" s="12">
        <f>IF(AND(YEAR(AQ$4)&gt;YEAR($E179),$I179&gt;0),MIN($I179/$I$8,$I179-SUM($W179:AP179)),0)</f>
        <v>1.272912012880353</v>
      </c>
      <c r="AR179" s="12">
        <f>IF(AND(YEAR(AR$4)&gt;YEAR($E179),$I179&gt;0),MIN($I179/$I$8,$I179-SUM($W179:AQ179)),0)</f>
        <v>1.272912012880353</v>
      </c>
      <c r="AS179" s="12">
        <f>IF(AND(YEAR(AS$4)&gt;YEAR($E179),$I179&gt;0),MIN($I179/$I$8,$I179-SUM($W179:AR179)),0)</f>
        <v>1.272912012880353</v>
      </c>
      <c r="AT179" s="69">
        <f>IF(AND(YEAR(AT$4)&gt;YEAR($E179),$I179&gt;0),MIN($I179/$I$8,$I179-SUM($W179:AS179)),0)</f>
        <v>1.272912012880353</v>
      </c>
      <c r="AU179" s="152">
        <f>IF(AND(YEAR(AU$4)&gt;YEAR($E179),$I179&gt;0),MIN($I179/$I$8,$I179-SUM($W179:AT179)),0)</f>
        <v>1.272912012880353</v>
      </c>
      <c r="AV179" s="12">
        <f>IF(AND(YEAR(AV$4)&gt;YEAR($E179),$I179&gt;0),MIN($I179/$I$8,$I179-SUM($W179:AU179)),0)</f>
        <v>1.272912012880353</v>
      </c>
      <c r="AW179" s="12">
        <f>IF(AND(YEAR(AW$4)&gt;YEAR($E179),$I179&gt;0),MIN($I179/$I$8,$I179-SUM($W179:AV179)),0)</f>
        <v>1.272912012880353</v>
      </c>
      <c r="AX179" s="12">
        <f>IF(AND(YEAR(AX$4)&gt;YEAR($E179),$I179&gt;0),MIN($I179/$I$8,$I179-SUM($W179:AW179)),0)</f>
        <v>1.272912012880353</v>
      </c>
      <c r="AY179" s="12">
        <f>IF(AND(YEAR(AY$4)&gt;YEAR($E179),$I179&gt;0),MIN($I179/$I$8,$I179-SUM($W179:AX179)),0)</f>
        <v>1.272912012880353</v>
      </c>
      <c r="BA179" s="88" t="str">
        <f t="shared" ca="1" si="94"/>
        <v>Depreciation</v>
      </c>
      <c r="BB179" s="1" t="str">
        <f t="shared" si="95"/>
        <v>Straight line</v>
      </c>
      <c r="BC179" s="1" t="str">
        <f t="shared" si="96"/>
        <v>Depreciation</v>
      </c>
    </row>
    <row r="180" spans="5:55" x14ac:dyDescent="0.35">
      <c r="E180" s="2">
        <v>38807</v>
      </c>
      <c r="G180" t="str">
        <f t="shared" si="93"/>
        <v>£m 23/24 prices</v>
      </c>
      <c r="I180" s="27">
        <v>66.994243886430311</v>
      </c>
      <c r="J180" t="s">
        <v>13</v>
      </c>
      <c r="X180" s="12">
        <f>IF(AND(YEAR(X$4)&gt;YEAR($E180),$I180&gt;0),MIN($I180/$I$8,$I180-SUM($W180:W180)),0)</f>
        <v>0</v>
      </c>
      <c r="Y180" s="12">
        <f>IF(AND(YEAR(Y$4)&gt;YEAR($E180),$I180&gt;0),MIN($I180/$I$8,$I180-SUM($W180:X180)),0)</f>
        <v>0</v>
      </c>
      <c r="Z180" s="12">
        <f>IF(AND(YEAR(Z$4)&gt;YEAR($E180),$I180&gt;0),MIN($I180/$I$8,$I180-SUM($W180:Y180)),0)</f>
        <v>0</v>
      </c>
      <c r="AA180" s="12">
        <f>IF(AND(YEAR(AA$4)&gt;YEAR($E180),$I180&gt;0),MIN($I180/$I$8,$I180-SUM($W180:Z180)),0)</f>
        <v>1.488760975254007</v>
      </c>
      <c r="AB180" s="12">
        <f>IF(AND(YEAR(AB$4)&gt;YEAR($E180),$I180&gt;0),MIN($I180/$I$8,$I180-SUM($W180:AA180)),0)</f>
        <v>1.488760975254007</v>
      </c>
      <c r="AC180" s="12">
        <f>IF(AND(YEAR(AC$4)&gt;YEAR($E180),$I180&gt;0),MIN($I180/$I$8,$I180-SUM($W180:AB180)),0)</f>
        <v>1.488760975254007</v>
      </c>
      <c r="AD180" s="12">
        <f>IF(AND(YEAR(AD$4)&gt;YEAR($E180),$I180&gt;0),MIN($I180/$I$8,$I180-SUM($W180:AC180)),0)</f>
        <v>1.488760975254007</v>
      </c>
      <c r="AE180" s="12">
        <f>IF(AND(YEAR(AE$4)&gt;YEAR($E180),$I180&gt;0),MIN($I180/$I$8,$I180-SUM($W180:AD180)),0)</f>
        <v>1.488760975254007</v>
      </c>
      <c r="AF180" s="12">
        <f>IF(AND(YEAR(AF$4)&gt;YEAR($E180),$I180&gt;0),MIN($I180/$I$8,$I180-SUM($W180:AE180)),0)</f>
        <v>1.488760975254007</v>
      </c>
      <c r="AG180" s="12">
        <f>IF(AND(YEAR(AG$4)&gt;YEAR($E180),$I180&gt;0),MIN($I180/$I$8,$I180-SUM($W180:AF180)),0)</f>
        <v>1.488760975254007</v>
      </c>
      <c r="AH180" s="12">
        <f>IF(AND(YEAR(AH$4)&gt;YEAR($E180),$I180&gt;0),MIN($I180/$I$8,$I180-SUM($W180:AG180)),0)</f>
        <v>1.488760975254007</v>
      </c>
      <c r="AI180" s="12">
        <f>IF(AND(YEAR(AI$4)&gt;YEAR($E180),$I180&gt;0),MIN($I180/$I$8,$I180-SUM($W180:AH180)),0)</f>
        <v>1.488760975254007</v>
      </c>
      <c r="AJ180" s="12">
        <f>IF(AND(YEAR(AJ$4)&gt;YEAR($E180),$I180&gt;0),MIN($I180/$I$8,$I180-SUM($W180:AI180)),0)</f>
        <v>1.488760975254007</v>
      </c>
      <c r="AK180" s="12">
        <f>IF(AND(YEAR(AK$4)&gt;YEAR($E180),$I180&gt;0),MIN($I180/$I$8,$I180-SUM($W180:AJ180)),0)</f>
        <v>1.488760975254007</v>
      </c>
      <c r="AL180" s="12">
        <f>IF(AND(YEAR(AL$4)&gt;YEAR($E180),$I180&gt;0),MIN($I180/$I$8,$I180-SUM($W180:AK180)),0)</f>
        <v>1.488760975254007</v>
      </c>
      <c r="AM180" s="12">
        <f>IF(AND(YEAR(AM$4)&gt;YEAR($E180),$I180&gt;0),MIN($I180/$I$8,$I180-SUM($W180:AL180)),0)</f>
        <v>1.488760975254007</v>
      </c>
      <c r="AN180" s="12">
        <f>IF(AND(YEAR(AN$4)&gt;YEAR($E180),$I180&gt;0),MIN($I180/$I$8,$I180-SUM($W180:AM180)),0)</f>
        <v>1.488760975254007</v>
      </c>
      <c r="AO180" s="12">
        <f>IF(AND(YEAR(AO$4)&gt;YEAR($E180),$I180&gt;0),MIN($I180/$I$8,$I180-SUM($W180:AN180)),0)</f>
        <v>1.488760975254007</v>
      </c>
      <c r="AP180" s="12">
        <f>IF(AND(YEAR(AP$4)&gt;YEAR($E180),$I180&gt;0),MIN($I180/$I$8,$I180-SUM($W180:AO180)),0)</f>
        <v>1.488760975254007</v>
      </c>
      <c r="AQ180" s="12">
        <f>IF(AND(YEAR(AQ$4)&gt;YEAR($E180),$I180&gt;0),MIN($I180/$I$8,$I180-SUM($W180:AP180)),0)</f>
        <v>1.488760975254007</v>
      </c>
      <c r="AR180" s="12">
        <f>IF(AND(YEAR(AR$4)&gt;YEAR($E180),$I180&gt;0),MIN($I180/$I$8,$I180-SUM($W180:AQ180)),0)</f>
        <v>1.488760975254007</v>
      </c>
      <c r="AS180" s="12">
        <f>IF(AND(YEAR(AS$4)&gt;YEAR($E180),$I180&gt;0),MIN($I180/$I$8,$I180-SUM($W180:AR180)),0)</f>
        <v>1.488760975254007</v>
      </c>
      <c r="AT180" s="69">
        <f>IF(AND(YEAR(AT$4)&gt;YEAR($E180),$I180&gt;0),MIN($I180/$I$8,$I180-SUM($W180:AS180)),0)</f>
        <v>1.488760975254007</v>
      </c>
      <c r="AU180" s="152">
        <f>IF(AND(YEAR(AU$4)&gt;YEAR($E180),$I180&gt;0),MIN($I180/$I$8,$I180-SUM($W180:AT180)),0)</f>
        <v>1.488760975254007</v>
      </c>
      <c r="AV180" s="12">
        <f>IF(AND(YEAR(AV$4)&gt;YEAR($E180),$I180&gt;0),MIN($I180/$I$8,$I180-SUM($W180:AU180)),0)</f>
        <v>1.488760975254007</v>
      </c>
      <c r="AW180" s="12">
        <f>IF(AND(YEAR(AW$4)&gt;YEAR($E180),$I180&gt;0),MIN($I180/$I$8,$I180-SUM($W180:AV180)),0)</f>
        <v>1.488760975254007</v>
      </c>
      <c r="AX180" s="12">
        <f>IF(AND(YEAR(AX$4)&gt;YEAR($E180),$I180&gt;0),MIN($I180/$I$8,$I180-SUM($W180:AW180)),0)</f>
        <v>1.488760975254007</v>
      </c>
      <c r="AY180" s="12">
        <f>IF(AND(YEAR(AY$4)&gt;YEAR($E180),$I180&gt;0),MIN($I180/$I$8,$I180-SUM($W180:AX180)),0)</f>
        <v>1.488760975254007</v>
      </c>
      <c r="BA180" s="88" t="str">
        <f t="shared" ca="1" si="94"/>
        <v>Depreciation</v>
      </c>
      <c r="BB180" s="1" t="str">
        <f t="shared" si="95"/>
        <v>Straight line</v>
      </c>
      <c r="BC180" s="1" t="str">
        <f t="shared" si="96"/>
        <v>Depreciation</v>
      </c>
    </row>
    <row r="181" spans="5:55" x14ac:dyDescent="0.35">
      <c r="E181" s="2">
        <v>39172</v>
      </c>
      <c r="G181" t="str">
        <f t="shared" si="93"/>
        <v>£m 23/24 prices</v>
      </c>
      <c r="I181" s="27">
        <v>49.644047772208971</v>
      </c>
      <c r="J181" t="s">
        <v>13</v>
      </c>
      <c r="X181" s="12">
        <f>IF(AND(YEAR(X$4)&gt;YEAR($E181),$I181&gt;0),MIN($I181/$I$8,$I181-SUM($W181:W181)),0)</f>
        <v>0</v>
      </c>
      <c r="Y181" s="12">
        <f>IF(AND(YEAR(Y$4)&gt;YEAR($E181),$I181&gt;0),MIN($I181/$I$8,$I181-SUM($W181:X181)),0)</f>
        <v>0</v>
      </c>
      <c r="Z181" s="12">
        <f>IF(AND(YEAR(Z$4)&gt;YEAR($E181),$I181&gt;0),MIN($I181/$I$8,$I181-SUM($W181:Y181)),0)</f>
        <v>0</v>
      </c>
      <c r="AA181" s="12">
        <f>IF(AND(YEAR(AA$4)&gt;YEAR($E181),$I181&gt;0),MIN($I181/$I$8,$I181-SUM($W181:Z181)),0)</f>
        <v>0</v>
      </c>
      <c r="AB181" s="12">
        <f>IF(AND(YEAR(AB$4)&gt;YEAR($E181),$I181&gt;0),MIN($I181/$I$8,$I181-SUM($W181:AA181)),0)</f>
        <v>1.1032010616046437</v>
      </c>
      <c r="AC181" s="12">
        <f>IF(AND(YEAR(AC$4)&gt;YEAR($E181),$I181&gt;0),MIN($I181/$I$8,$I181-SUM($W181:AB181)),0)</f>
        <v>1.1032010616046437</v>
      </c>
      <c r="AD181" s="12">
        <f>IF(AND(YEAR(AD$4)&gt;YEAR($E181),$I181&gt;0),MIN($I181/$I$8,$I181-SUM($W181:AC181)),0)</f>
        <v>1.1032010616046437</v>
      </c>
      <c r="AE181" s="12">
        <f>IF(AND(YEAR(AE$4)&gt;YEAR($E181),$I181&gt;0),MIN($I181/$I$8,$I181-SUM($W181:AD181)),0)</f>
        <v>1.1032010616046437</v>
      </c>
      <c r="AF181" s="12">
        <f>IF(AND(YEAR(AF$4)&gt;YEAR($E181),$I181&gt;0),MIN($I181/$I$8,$I181-SUM($W181:AE181)),0)</f>
        <v>1.1032010616046437</v>
      </c>
      <c r="AG181" s="12">
        <f>IF(AND(YEAR(AG$4)&gt;YEAR($E181),$I181&gt;0),MIN($I181/$I$8,$I181-SUM($W181:AF181)),0)</f>
        <v>1.1032010616046437</v>
      </c>
      <c r="AH181" s="12">
        <f>IF(AND(YEAR(AH$4)&gt;YEAR($E181),$I181&gt;0),MIN($I181/$I$8,$I181-SUM($W181:AG181)),0)</f>
        <v>1.1032010616046437</v>
      </c>
      <c r="AI181" s="12">
        <f>IF(AND(YEAR(AI$4)&gt;YEAR($E181),$I181&gt;0),MIN($I181/$I$8,$I181-SUM($W181:AH181)),0)</f>
        <v>1.1032010616046437</v>
      </c>
      <c r="AJ181" s="12">
        <f>IF(AND(YEAR(AJ$4)&gt;YEAR($E181),$I181&gt;0),MIN($I181/$I$8,$I181-SUM($W181:AI181)),0)</f>
        <v>1.1032010616046437</v>
      </c>
      <c r="AK181" s="12">
        <f>IF(AND(YEAR(AK$4)&gt;YEAR($E181),$I181&gt;0),MIN($I181/$I$8,$I181-SUM($W181:AJ181)),0)</f>
        <v>1.1032010616046437</v>
      </c>
      <c r="AL181" s="12">
        <f>IF(AND(YEAR(AL$4)&gt;YEAR($E181),$I181&gt;0),MIN($I181/$I$8,$I181-SUM($W181:AK181)),0)</f>
        <v>1.1032010616046437</v>
      </c>
      <c r="AM181" s="12">
        <f>IF(AND(YEAR(AM$4)&gt;YEAR($E181),$I181&gt;0),MIN($I181/$I$8,$I181-SUM($W181:AL181)),0)</f>
        <v>1.1032010616046437</v>
      </c>
      <c r="AN181" s="12">
        <f>IF(AND(YEAR(AN$4)&gt;YEAR($E181),$I181&gt;0),MIN($I181/$I$8,$I181-SUM($W181:AM181)),0)</f>
        <v>1.1032010616046437</v>
      </c>
      <c r="AO181" s="12">
        <f>IF(AND(YEAR(AO$4)&gt;YEAR($E181),$I181&gt;0),MIN($I181/$I$8,$I181-SUM($W181:AN181)),0)</f>
        <v>1.1032010616046437</v>
      </c>
      <c r="AP181" s="12">
        <f>IF(AND(YEAR(AP$4)&gt;YEAR($E181),$I181&gt;0),MIN($I181/$I$8,$I181-SUM($W181:AO181)),0)</f>
        <v>1.1032010616046437</v>
      </c>
      <c r="AQ181" s="12">
        <f>IF(AND(YEAR(AQ$4)&gt;YEAR($E181),$I181&gt;0),MIN($I181/$I$8,$I181-SUM($W181:AP181)),0)</f>
        <v>1.1032010616046437</v>
      </c>
      <c r="AR181" s="12">
        <f>IF(AND(YEAR(AR$4)&gt;YEAR($E181),$I181&gt;0),MIN($I181/$I$8,$I181-SUM($W181:AQ181)),0)</f>
        <v>1.1032010616046437</v>
      </c>
      <c r="AS181" s="12">
        <f>IF(AND(YEAR(AS$4)&gt;YEAR($E181),$I181&gt;0),MIN($I181/$I$8,$I181-SUM($W181:AR181)),0)</f>
        <v>1.1032010616046437</v>
      </c>
      <c r="AT181" s="69">
        <f>IF(AND(YEAR(AT$4)&gt;YEAR($E181),$I181&gt;0),MIN($I181/$I$8,$I181-SUM($W181:AS181)),0)</f>
        <v>1.1032010616046437</v>
      </c>
      <c r="AU181" s="152">
        <f>IF(AND(YEAR(AU$4)&gt;YEAR($E181),$I181&gt;0),MIN($I181/$I$8,$I181-SUM($W181:AT181)),0)</f>
        <v>1.1032010616046437</v>
      </c>
      <c r="AV181" s="12">
        <f>IF(AND(YEAR(AV$4)&gt;YEAR($E181),$I181&gt;0),MIN($I181/$I$8,$I181-SUM($W181:AU181)),0)</f>
        <v>1.1032010616046437</v>
      </c>
      <c r="AW181" s="12">
        <f>IF(AND(YEAR(AW$4)&gt;YEAR($E181),$I181&gt;0),MIN($I181/$I$8,$I181-SUM($W181:AV181)),0)</f>
        <v>1.1032010616046437</v>
      </c>
      <c r="AX181" s="12">
        <f>IF(AND(YEAR(AX$4)&gt;YEAR($E181),$I181&gt;0),MIN($I181/$I$8,$I181-SUM($W181:AW181)),0)</f>
        <v>1.1032010616046437</v>
      </c>
      <c r="AY181" s="12">
        <f>IF(AND(YEAR(AY$4)&gt;YEAR($E181),$I181&gt;0),MIN($I181/$I$8,$I181-SUM($W181:AX181)),0)</f>
        <v>1.1032010616046437</v>
      </c>
      <c r="BA181" s="88" t="str">
        <f t="shared" ca="1" si="94"/>
        <v>Depreciation</v>
      </c>
      <c r="BB181" s="1" t="str">
        <f t="shared" si="95"/>
        <v>Straight line</v>
      </c>
      <c r="BC181" s="1" t="str">
        <f t="shared" si="96"/>
        <v>Depreciation</v>
      </c>
    </row>
    <row r="182" spans="5:55" x14ac:dyDescent="0.35">
      <c r="E182" s="2">
        <v>39538</v>
      </c>
      <c r="G182" t="str">
        <f t="shared" si="93"/>
        <v>£m 23/24 prices</v>
      </c>
      <c r="I182" s="27">
        <v>133.37914749620904</v>
      </c>
      <c r="J182" t="s">
        <v>13</v>
      </c>
      <c r="X182" s="12">
        <f>IF(AND(YEAR(X$4)&gt;YEAR($E182),$I182&gt;0),MIN($I182/$I$8,$I182-SUM($W182:W182)),0)</f>
        <v>0</v>
      </c>
      <c r="Y182" s="12">
        <f>IF(AND(YEAR(Y$4)&gt;YEAR($E182),$I182&gt;0),MIN($I182/$I$8,$I182-SUM($W182:X182)),0)</f>
        <v>0</v>
      </c>
      <c r="Z182" s="12">
        <f>IF(AND(YEAR(Z$4)&gt;YEAR($E182),$I182&gt;0),MIN($I182/$I$8,$I182-SUM($W182:Y182)),0)</f>
        <v>0</v>
      </c>
      <c r="AA182" s="12">
        <f>IF(AND(YEAR(AA$4)&gt;YEAR($E182),$I182&gt;0),MIN($I182/$I$8,$I182-SUM($W182:Z182)),0)</f>
        <v>0</v>
      </c>
      <c r="AB182" s="12">
        <f>IF(AND(YEAR(AB$4)&gt;YEAR($E182),$I182&gt;0),MIN($I182/$I$8,$I182-SUM($W182:AA182)),0)</f>
        <v>0</v>
      </c>
      <c r="AC182" s="12">
        <f>IF(AND(YEAR(AC$4)&gt;YEAR($E182),$I182&gt;0),MIN($I182/$I$8,$I182-SUM($W182:AB182)),0)</f>
        <v>2.963981055471312</v>
      </c>
      <c r="AD182" s="12">
        <f>IF(AND(YEAR(AD$4)&gt;YEAR($E182),$I182&gt;0),MIN($I182/$I$8,$I182-SUM($W182:AC182)),0)</f>
        <v>2.963981055471312</v>
      </c>
      <c r="AE182" s="12">
        <f>IF(AND(YEAR(AE$4)&gt;YEAR($E182),$I182&gt;0),MIN($I182/$I$8,$I182-SUM($W182:AD182)),0)</f>
        <v>2.963981055471312</v>
      </c>
      <c r="AF182" s="12">
        <f>IF(AND(YEAR(AF$4)&gt;YEAR($E182),$I182&gt;0),MIN($I182/$I$8,$I182-SUM($W182:AE182)),0)</f>
        <v>2.963981055471312</v>
      </c>
      <c r="AG182" s="12">
        <f>IF(AND(YEAR(AG$4)&gt;YEAR($E182),$I182&gt;0),MIN($I182/$I$8,$I182-SUM($W182:AF182)),0)</f>
        <v>2.963981055471312</v>
      </c>
      <c r="AH182" s="12">
        <f>IF(AND(YEAR(AH$4)&gt;YEAR($E182),$I182&gt;0),MIN($I182/$I$8,$I182-SUM($W182:AG182)),0)</f>
        <v>2.963981055471312</v>
      </c>
      <c r="AI182" s="12">
        <f>IF(AND(YEAR(AI$4)&gt;YEAR($E182),$I182&gt;0),MIN($I182/$I$8,$I182-SUM($W182:AH182)),0)</f>
        <v>2.963981055471312</v>
      </c>
      <c r="AJ182" s="12">
        <f>IF(AND(YEAR(AJ$4)&gt;YEAR($E182),$I182&gt;0),MIN($I182/$I$8,$I182-SUM($W182:AI182)),0)</f>
        <v>2.963981055471312</v>
      </c>
      <c r="AK182" s="12">
        <f>IF(AND(YEAR(AK$4)&gt;YEAR($E182),$I182&gt;0),MIN($I182/$I$8,$I182-SUM($W182:AJ182)),0)</f>
        <v>2.963981055471312</v>
      </c>
      <c r="AL182" s="12">
        <f>IF(AND(YEAR(AL$4)&gt;YEAR($E182),$I182&gt;0),MIN($I182/$I$8,$I182-SUM($W182:AK182)),0)</f>
        <v>2.963981055471312</v>
      </c>
      <c r="AM182" s="12">
        <f>IF(AND(YEAR(AM$4)&gt;YEAR($E182),$I182&gt;0),MIN($I182/$I$8,$I182-SUM($W182:AL182)),0)</f>
        <v>2.963981055471312</v>
      </c>
      <c r="AN182" s="12">
        <f>IF(AND(YEAR(AN$4)&gt;YEAR($E182),$I182&gt;0),MIN($I182/$I$8,$I182-SUM($W182:AM182)),0)</f>
        <v>2.963981055471312</v>
      </c>
      <c r="AO182" s="12">
        <f>IF(AND(YEAR(AO$4)&gt;YEAR($E182),$I182&gt;0),MIN($I182/$I$8,$I182-SUM($W182:AN182)),0)</f>
        <v>2.963981055471312</v>
      </c>
      <c r="AP182" s="12">
        <f>IF(AND(YEAR(AP$4)&gt;YEAR($E182),$I182&gt;0),MIN($I182/$I$8,$I182-SUM($W182:AO182)),0)</f>
        <v>2.963981055471312</v>
      </c>
      <c r="AQ182" s="12">
        <f>IF(AND(YEAR(AQ$4)&gt;YEAR($E182),$I182&gt;0),MIN($I182/$I$8,$I182-SUM($W182:AP182)),0)</f>
        <v>2.963981055471312</v>
      </c>
      <c r="AR182" s="12">
        <f>IF(AND(YEAR(AR$4)&gt;YEAR($E182),$I182&gt;0),MIN($I182/$I$8,$I182-SUM($W182:AQ182)),0)</f>
        <v>2.963981055471312</v>
      </c>
      <c r="AS182" s="12">
        <f>IF(AND(YEAR(AS$4)&gt;YEAR($E182),$I182&gt;0),MIN($I182/$I$8,$I182-SUM($W182:AR182)),0)</f>
        <v>2.963981055471312</v>
      </c>
      <c r="AT182" s="69">
        <f>IF(AND(YEAR(AT$4)&gt;YEAR($E182),$I182&gt;0),MIN($I182/$I$8,$I182-SUM($W182:AS182)),0)</f>
        <v>2.963981055471312</v>
      </c>
      <c r="AU182" s="152">
        <f>IF(AND(YEAR(AU$4)&gt;YEAR($E182),$I182&gt;0),MIN($I182/$I$8,$I182-SUM($W182:AT182)),0)</f>
        <v>2.963981055471312</v>
      </c>
      <c r="AV182" s="12">
        <f>IF(AND(YEAR(AV$4)&gt;YEAR($E182),$I182&gt;0),MIN($I182/$I$8,$I182-SUM($W182:AU182)),0)</f>
        <v>2.963981055471312</v>
      </c>
      <c r="AW182" s="12">
        <f>IF(AND(YEAR(AW$4)&gt;YEAR($E182),$I182&gt;0),MIN($I182/$I$8,$I182-SUM($W182:AV182)),0)</f>
        <v>2.963981055471312</v>
      </c>
      <c r="AX182" s="12">
        <f>IF(AND(YEAR(AX$4)&gt;YEAR($E182),$I182&gt;0),MIN($I182/$I$8,$I182-SUM($W182:AW182)),0)</f>
        <v>2.963981055471312</v>
      </c>
      <c r="AY182" s="12">
        <f>IF(AND(YEAR(AY$4)&gt;YEAR($E182),$I182&gt;0),MIN($I182/$I$8,$I182-SUM($W182:AX182)),0)</f>
        <v>2.963981055471312</v>
      </c>
      <c r="BA182" s="88" t="str">
        <f t="shared" ca="1" si="94"/>
        <v>Depreciation</v>
      </c>
      <c r="BB182" s="1" t="str">
        <f t="shared" si="95"/>
        <v>Straight line</v>
      </c>
      <c r="BC182" s="1" t="str">
        <f t="shared" si="96"/>
        <v>Depreciation</v>
      </c>
    </row>
    <row r="183" spans="5:55" x14ac:dyDescent="0.35">
      <c r="E183" s="2">
        <v>39903</v>
      </c>
      <c r="G183" t="str">
        <f t="shared" si="93"/>
        <v>£m 23/24 prices</v>
      </c>
      <c r="I183" s="27">
        <v>144.02328495601324</v>
      </c>
      <c r="J183" t="s">
        <v>13</v>
      </c>
      <c r="X183" s="12">
        <f>IF(AND(YEAR(X$4)&gt;YEAR($E183),$I183&gt;0),MIN($I183/$I$8,$I183-SUM($W183:W183)),0)</f>
        <v>0</v>
      </c>
      <c r="Y183" s="12">
        <f>IF(AND(YEAR(Y$4)&gt;YEAR($E183),$I183&gt;0),MIN($I183/$I$8,$I183-SUM($W183:X183)),0)</f>
        <v>0</v>
      </c>
      <c r="Z183" s="12">
        <f>IF(AND(YEAR(Z$4)&gt;YEAR($E183),$I183&gt;0),MIN($I183/$I$8,$I183-SUM($W183:Y183)),0)</f>
        <v>0</v>
      </c>
      <c r="AA183" s="12">
        <f>IF(AND(YEAR(AA$4)&gt;YEAR($E183),$I183&gt;0),MIN($I183/$I$8,$I183-SUM($W183:Z183)),0)</f>
        <v>0</v>
      </c>
      <c r="AB183" s="12">
        <f>IF(AND(YEAR(AB$4)&gt;YEAR($E183),$I183&gt;0),MIN($I183/$I$8,$I183-SUM($W183:AA183)),0)</f>
        <v>0</v>
      </c>
      <c r="AC183" s="12">
        <f>IF(AND(YEAR(AC$4)&gt;YEAR($E183),$I183&gt;0),MIN($I183/$I$8,$I183-SUM($W183:AB183)),0)</f>
        <v>0</v>
      </c>
      <c r="AD183" s="12">
        <f>IF(AND(YEAR(AD$4)&gt;YEAR($E183),$I183&gt;0),MIN($I183/$I$8,$I183-SUM($W183:AC183)),0)</f>
        <v>3.200517443466961</v>
      </c>
      <c r="AE183" s="12">
        <f>IF(AND(YEAR(AE$4)&gt;YEAR($E183),$I183&gt;0),MIN($I183/$I$8,$I183-SUM($W183:AD183)),0)</f>
        <v>3.200517443466961</v>
      </c>
      <c r="AF183" s="12">
        <f>IF(AND(YEAR(AF$4)&gt;YEAR($E183),$I183&gt;0),MIN($I183/$I$8,$I183-SUM($W183:AE183)),0)</f>
        <v>3.200517443466961</v>
      </c>
      <c r="AG183" s="12">
        <f>IF(AND(YEAR(AG$4)&gt;YEAR($E183),$I183&gt;0),MIN($I183/$I$8,$I183-SUM($W183:AF183)),0)</f>
        <v>3.200517443466961</v>
      </c>
      <c r="AH183" s="12">
        <f>IF(AND(YEAR(AH$4)&gt;YEAR($E183),$I183&gt;0),MIN($I183/$I$8,$I183-SUM($W183:AG183)),0)</f>
        <v>3.200517443466961</v>
      </c>
      <c r="AI183" s="12">
        <f>IF(AND(YEAR(AI$4)&gt;YEAR($E183),$I183&gt;0),MIN($I183/$I$8,$I183-SUM($W183:AH183)),0)</f>
        <v>3.200517443466961</v>
      </c>
      <c r="AJ183" s="12">
        <f>IF(AND(YEAR(AJ$4)&gt;YEAR($E183),$I183&gt;0),MIN($I183/$I$8,$I183-SUM($W183:AI183)),0)</f>
        <v>3.200517443466961</v>
      </c>
      <c r="AK183" s="12">
        <f>IF(AND(YEAR(AK$4)&gt;YEAR($E183),$I183&gt;0),MIN($I183/$I$8,$I183-SUM($W183:AJ183)),0)</f>
        <v>3.200517443466961</v>
      </c>
      <c r="AL183" s="12">
        <f>IF(AND(YEAR(AL$4)&gt;YEAR($E183),$I183&gt;0),MIN($I183/$I$8,$I183-SUM($W183:AK183)),0)</f>
        <v>3.200517443466961</v>
      </c>
      <c r="AM183" s="12">
        <f>IF(AND(YEAR(AM$4)&gt;YEAR($E183),$I183&gt;0),MIN($I183/$I$8,$I183-SUM($W183:AL183)),0)</f>
        <v>3.200517443466961</v>
      </c>
      <c r="AN183" s="12">
        <f>IF(AND(YEAR(AN$4)&gt;YEAR($E183),$I183&gt;0),MIN($I183/$I$8,$I183-SUM($W183:AM183)),0)</f>
        <v>3.200517443466961</v>
      </c>
      <c r="AO183" s="12">
        <f>IF(AND(YEAR(AO$4)&gt;YEAR($E183),$I183&gt;0),MIN($I183/$I$8,$I183-SUM($W183:AN183)),0)</f>
        <v>3.200517443466961</v>
      </c>
      <c r="AP183" s="12">
        <f>IF(AND(YEAR(AP$4)&gt;YEAR($E183),$I183&gt;0),MIN($I183/$I$8,$I183-SUM($W183:AO183)),0)</f>
        <v>3.200517443466961</v>
      </c>
      <c r="AQ183" s="12">
        <f>IF(AND(YEAR(AQ$4)&gt;YEAR($E183),$I183&gt;0),MIN($I183/$I$8,$I183-SUM($W183:AP183)),0)</f>
        <v>3.200517443466961</v>
      </c>
      <c r="AR183" s="12">
        <f>IF(AND(YEAR(AR$4)&gt;YEAR($E183),$I183&gt;0),MIN($I183/$I$8,$I183-SUM($W183:AQ183)),0)</f>
        <v>3.200517443466961</v>
      </c>
      <c r="AS183" s="12">
        <f>IF(AND(YEAR(AS$4)&gt;YEAR($E183),$I183&gt;0),MIN($I183/$I$8,$I183-SUM($W183:AR183)),0)</f>
        <v>3.200517443466961</v>
      </c>
      <c r="AT183" s="69">
        <f>IF(AND(YEAR(AT$4)&gt;YEAR($E183),$I183&gt;0),MIN($I183/$I$8,$I183-SUM($W183:AS183)),0)</f>
        <v>3.200517443466961</v>
      </c>
      <c r="AU183" s="152">
        <f>IF(AND(YEAR(AU$4)&gt;YEAR($E183),$I183&gt;0),MIN($I183/$I$8,$I183-SUM($W183:AT183)),0)</f>
        <v>3.200517443466961</v>
      </c>
      <c r="AV183" s="12">
        <f>IF(AND(YEAR(AV$4)&gt;YEAR($E183),$I183&gt;0),MIN($I183/$I$8,$I183-SUM($W183:AU183)),0)</f>
        <v>3.200517443466961</v>
      </c>
      <c r="AW183" s="12">
        <f>IF(AND(YEAR(AW$4)&gt;YEAR($E183),$I183&gt;0),MIN($I183/$I$8,$I183-SUM($W183:AV183)),0)</f>
        <v>3.200517443466961</v>
      </c>
      <c r="AX183" s="12">
        <f>IF(AND(YEAR(AX$4)&gt;YEAR($E183),$I183&gt;0),MIN($I183/$I$8,$I183-SUM($W183:AW183)),0)</f>
        <v>3.200517443466961</v>
      </c>
      <c r="AY183" s="12">
        <f>IF(AND(YEAR(AY$4)&gt;YEAR($E183),$I183&gt;0),MIN($I183/$I$8,$I183-SUM($W183:AX183)),0)</f>
        <v>3.200517443466961</v>
      </c>
      <c r="BA183" s="88" t="str">
        <f t="shared" ca="1" si="94"/>
        <v>Depreciation</v>
      </c>
      <c r="BB183" s="1" t="str">
        <f t="shared" si="95"/>
        <v>Straight line</v>
      </c>
      <c r="BC183" s="1" t="str">
        <f t="shared" si="96"/>
        <v>Depreciation</v>
      </c>
    </row>
    <row r="184" spans="5:55" x14ac:dyDescent="0.35">
      <c r="E184" s="2">
        <v>40268</v>
      </c>
      <c r="G184" t="str">
        <f t="shared" si="93"/>
        <v>£m 23/24 prices</v>
      </c>
      <c r="I184" s="27">
        <v>189.59720839926936</v>
      </c>
      <c r="J184" t="s">
        <v>13</v>
      </c>
      <c r="X184" s="12">
        <f>IF(AND(YEAR(X$4)&gt;YEAR($E184),$I184&gt;0),MIN($I184/$I$8,$I184-SUM($W184:W184)),0)</f>
        <v>0</v>
      </c>
      <c r="Y184" s="12">
        <f>IF(AND(YEAR(Y$4)&gt;YEAR($E184),$I184&gt;0),MIN($I184/$I$8,$I184-SUM($W184:X184)),0)</f>
        <v>0</v>
      </c>
      <c r="Z184" s="12">
        <f>IF(AND(YEAR(Z$4)&gt;YEAR($E184),$I184&gt;0),MIN($I184/$I$8,$I184-SUM($W184:Y184)),0)</f>
        <v>0</v>
      </c>
      <c r="AA184" s="12">
        <f>IF(AND(YEAR(AA$4)&gt;YEAR($E184),$I184&gt;0),MIN($I184/$I$8,$I184-SUM($W184:Z184)),0)</f>
        <v>0</v>
      </c>
      <c r="AB184" s="12">
        <f>IF(AND(YEAR(AB$4)&gt;YEAR($E184),$I184&gt;0),MIN($I184/$I$8,$I184-SUM($W184:AA184)),0)</f>
        <v>0</v>
      </c>
      <c r="AC184" s="12">
        <f>IF(AND(YEAR(AC$4)&gt;YEAR($E184),$I184&gt;0),MIN($I184/$I$8,$I184-SUM($W184:AB184)),0)</f>
        <v>0</v>
      </c>
      <c r="AD184" s="12">
        <f>IF(AND(YEAR(AD$4)&gt;YEAR($E184),$I184&gt;0),MIN($I184/$I$8,$I184-SUM($W184:AC184)),0)</f>
        <v>0</v>
      </c>
      <c r="AE184" s="12">
        <f>IF(AND(YEAR(AE$4)&gt;YEAR($E184),$I184&gt;0),MIN($I184/$I$8,$I184-SUM($W184:AD184)),0)</f>
        <v>4.2132712977615414</v>
      </c>
      <c r="AF184" s="12">
        <f>IF(AND(YEAR(AF$4)&gt;YEAR($E184),$I184&gt;0),MIN($I184/$I$8,$I184-SUM($W184:AE184)),0)</f>
        <v>4.2132712977615414</v>
      </c>
      <c r="AG184" s="12">
        <f>IF(AND(YEAR(AG$4)&gt;YEAR($E184),$I184&gt;0),MIN($I184/$I$8,$I184-SUM($W184:AF184)),0)</f>
        <v>4.2132712977615414</v>
      </c>
      <c r="AH184" s="12">
        <f>IF(AND(YEAR(AH$4)&gt;YEAR($E184),$I184&gt;0),MIN($I184/$I$8,$I184-SUM($W184:AG184)),0)</f>
        <v>4.2132712977615414</v>
      </c>
      <c r="AI184" s="12">
        <f>IF(AND(YEAR(AI$4)&gt;YEAR($E184),$I184&gt;0),MIN($I184/$I$8,$I184-SUM($W184:AH184)),0)</f>
        <v>4.2132712977615414</v>
      </c>
      <c r="AJ184" s="12">
        <f>IF(AND(YEAR(AJ$4)&gt;YEAR($E184),$I184&gt;0),MIN($I184/$I$8,$I184-SUM($W184:AI184)),0)</f>
        <v>4.2132712977615414</v>
      </c>
      <c r="AK184" s="12">
        <f>IF(AND(YEAR(AK$4)&gt;YEAR($E184),$I184&gt;0),MIN($I184/$I$8,$I184-SUM($W184:AJ184)),0)</f>
        <v>4.2132712977615414</v>
      </c>
      <c r="AL184" s="12">
        <f>IF(AND(YEAR(AL$4)&gt;YEAR($E184),$I184&gt;0),MIN($I184/$I$8,$I184-SUM($W184:AK184)),0)</f>
        <v>4.2132712977615414</v>
      </c>
      <c r="AM184" s="12">
        <f>IF(AND(YEAR(AM$4)&gt;YEAR($E184),$I184&gt;0),MIN($I184/$I$8,$I184-SUM($W184:AL184)),0)</f>
        <v>4.2132712977615414</v>
      </c>
      <c r="AN184" s="12">
        <f>IF(AND(YEAR(AN$4)&gt;YEAR($E184),$I184&gt;0),MIN($I184/$I$8,$I184-SUM($W184:AM184)),0)</f>
        <v>4.2132712977615414</v>
      </c>
      <c r="AO184" s="12">
        <f>IF(AND(YEAR(AO$4)&gt;YEAR($E184),$I184&gt;0),MIN($I184/$I$8,$I184-SUM($W184:AN184)),0)</f>
        <v>4.2132712977615414</v>
      </c>
      <c r="AP184" s="12">
        <f>IF(AND(YEAR(AP$4)&gt;YEAR($E184),$I184&gt;0),MIN($I184/$I$8,$I184-SUM($W184:AO184)),0)</f>
        <v>4.2132712977615414</v>
      </c>
      <c r="AQ184" s="12">
        <f>IF(AND(YEAR(AQ$4)&gt;YEAR($E184),$I184&gt;0),MIN($I184/$I$8,$I184-SUM($W184:AP184)),0)</f>
        <v>4.2132712977615414</v>
      </c>
      <c r="AR184" s="12">
        <f>IF(AND(YEAR(AR$4)&gt;YEAR($E184),$I184&gt;0),MIN($I184/$I$8,$I184-SUM($W184:AQ184)),0)</f>
        <v>4.2132712977615414</v>
      </c>
      <c r="AS184" s="12">
        <f>IF(AND(YEAR(AS$4)&gt;YEAR($E184),$I184&gt;0),MIN($I184/$I$8,$I184-SUM($W184:AR184)),0)</f>
        <v>4.2132712977615414</v>
      </c>
      <c r="AT184" s="69">
        <f>IF(AND(YEAR(AT$4)&gt;YEAR($E184),$I184&gt;0),MIN($I184/$I$8,$I184-SUM($W184:AS184)),0)</f>
        <v>4.2132712977615414</v>
      </c>
      <c r="AU184" s="152">
        <f>IF(AND(YEAR(AU$4)&gt;YEAR($E184),$I184&gt;0),MIN($I184/$I$8,$I184-SUM($W184:AT184)),0)</f>
        <v>4.2132712977615414</v>
      </c>
      <c r="AV184" s="12">
        <f>IF(AND(YEAR(AV$4)&gt;YEAR($E184),$I184&gt;0),MIN($I184/$I$8,$I184-SUM($W184:AU184)),0)</f>
        <v>4.2132712977615414</v>
      </c>
      <c r="AW184" s="12">
        <f>IF(AND(YEAR(AW$4)&gt;YEAR($E184),$I184&gt;0),MIN($I184/$I$8,$I184-SUM($W184:AV184)),0)</f>
        <v>4.2132712977615414</v>
      </c>
      <c r="AX184" s="12">
        <f>IF(AND(YEAR(AX$4)&gt;YEAR($E184),$I184&gt;0),MIN($I184/$I$8,$I184-SUM($W184:AW184)),0)</f>
        <v>4.2132712977615414</v>
      </c>
      <c r="AY184" s="12">
        <f>IF(AND(YEAR(AY$4)&gt;YEAR($E184),$I184&gt;0),MIN($I184/$I$8,$I184-SUM($W184:AX184)),0)</f>
        <v>4.2132712977615414</v>
      </c>
      <c r="BA184" s="88" t="str">
        <f t="shared" ca="1" si="94"/>
        <v>Depreciation</v>
      </c>
      <c r="BB184" s="1" t="str">
        <f t="shared" si="95"/>
        <v>Straight line</v>
      </c>
      <c r="BC184" s="1" t="str">
        <f t="shared" si="96"/>
        <v>Depreciation</v>
      </c>
    </row>
    <row r="185" spans="5:55" x14ac:dyDescent="0.35">
      <c r="E185" s="2">
        <v>40633</v>
      </c>
      <c r="G185" t="str">
        <f t="shared" si="93"/>
        <v>£m 23/24 prices</v>
      </c>
      <c r="I185" s="27">
        <v>197.52068254319832</v>
      </c>
      <c r="J185" t="s">
        <v>13</v>
      </c>
      <c r="X185" s="12">
        <f>IF(AND(YEAR(X$4)&gt;YEAR($E185),$I185&gt;0),MIN($I185/$I$8,$I185-SUM($W185:W185)),0)</f>
        <v>0</v>
      </c>
      <c r="Y185" s="12">
        <f>IF(AND(YEAR(Y$4)&gt;YEAR($E185),$I185&gt;0),MIN($I185/$I$8,$I185-SUM($W185:X185)),0)</f>
        <v>0</v>
      </c>
      <c r="Z185" s="12">
        <f>IF(AND(YEAR(Z$4)&gt;YEAR($E185),$I185&gt;0),MIN($I185/$I$8,$I185-SUM($W185:Y185)),0)</f>
        <v>0</v>
      </c>
      <c r="AA185" s="12">
        <f>IF(AND(YEAR(AA$4)&gt;YEAR($E185),$I185&gt;0),MIN($I185/$I$8,$I185-SUM($W185:Z185)),0)</f>
        <v>0</v>
      </c>
      <c r="AB185" s="12">
        <f>IF(AND(YEAR(AB$4)&gt;YEAR($E185),$I185&gt;0),MIN($I185/$I$8,$I185-SUM($W185:AA185)),0)</f>
        <v>0</v>
      </c>
      <c r="AC185" s="12">
        <f>IF(AND(YEAR(AC$4)&gt;YEAR($E185),$I185&gt;0),MIN($I185/$I$8,$I185-SUM($W185:AB185)),0)</f>
        <v>0</v>
      </c>
      <c r="AD185" s="12">
        <f>IF(AND(YEAR(AD$4)&gt;YEAR($E185),$I185&gt;0),MIN($I185/$I$8,$I185-SUM($W185:AC185)),0)</f>
        <v>0</v>
      </c>
      <c r="AE185" s="12">
        <f>IF(AND(YEAR(AE$4)&gt;YEAR($E185),$I185&gt;0),MIN($I185/$I$8,$I185-SUM($W185:AD185)),0)</f>
        <v>0</v>
      </c>
      <c r="AF185" s="12">
        <f>IF(AND(YEAR(AF$4)&gt;YEAR($E185),$I185&gt;0),MIN($I185/$I$8,$I185-SUM($W185:AE185)),0)</f>
        <v>4.3893485009599624</v>
      </c>
      <c r="AG185" s="12">
        <f>IF(AND(YEAR(AG$4)&gt;YEAR($E185),$I185&gt;0),MIN($I185/$I$8,$I185-SUM($W185:AF185)),0)</f>
        <v>4.3893485009599624</v>
      </c>
      <c r="AH185" s="12">
        <f>IF(AND(YEAR(AH$4)&gt;YEAR($E185),$I185&gt;0),MIN($I185/$I$8,$I185-SUM($W185:AG185)),0)</f>
        <v>4.3893485009599624</v>
      </c>
      <c r="AI185" s="12">
        <f>IF(AND(YEAR(AI$4)&gt;YEAR($E185),$I185&gt;0),MIN($I185/$I$8,$I185-SUM($W185:AH185)),0)</f>
        <v>4.3893485009599624</v>
      </c>
      <c r="AJ185" s="12">
        <f>IF(AND(YEAR(AJ$4)&gt;YEAR($E185),$I185&gt;0),MIN($I185/$I$8,$I185-SUM($W185:AI185)),0)</f>
        <v>4.3893485009599624</v>
      </c>
      <c r="AK185" s="12">
        <f>IF(AND(YEAR(AK$4)&gt;YEAR($E185),$I185&gt;0),MIN($I185/$I$8,$I185-SUM($W185:AJ185)),0)</f>
        <v>4.3893485009599624</v>
      </c>
      <c r="AL185" s="12">
        <f>IF(AND(YEAR(AL$4)&gt;YEAR($E185),$I185&gt;0),MIN($I185/$I$8,$I185-SUM($W185:AK185)),0)</f>
        <v>4.3893485009599624</v>
      </c>
      <c r="AM185" s="12">
        <f>IF(AND(YEAR(AM$4)&gt;YEAR($E185),$I185&gt;0),MIN($I185/$I$8,$I185-SUM($W185:AL185)),0)</f>
        <v>4.3893485009599624</v>
      </c>
      <c r="AN185" s="12">
        <f>IF(AND(YEAR(AN$4)&gt;YEAR($E185),$I185&gt;0),MIN($I185/$I$8,$I185-SUM($W185:AM185)),0)</f>
        <v>4.3893485009599624</v>
      </c>
      <c r="AO185" s="12">
        <f>IF(AND(YEAR(AO$4)&gt;YEAR($E185),$I185&gt;0),MIN($I185/$I$8,$I185-SUM($W185:AN185)),0)</f>
        <v>4.3893485009599624</v>
      </c>
      <c r="AP185" s="12">
        <f>IF(AND(YEAR(AP$4)&gt;YEAR($E185),$I185&gt;0),MIN($I185/$I$8,$I185-SUM($W185:AO185)),0)</f>
        <v>4.3893485009599624</v>
      </c>
      <c r="AQ185" s="12">
        <f>IF(AND(YEAR(AQ$4)&gt;YEAR($E185),$I185&gt;0),MIN($I185/$I$8,$I185-SUM($W185:AP185)),0)</f>
        <v>4.3893485009599624</v>
      </c>
      <c r="AR185" s="12">
        <f>IF(AND(YEAR(AR$4)&gt;YEAR($E185),$I185&gt;0),MIN($I185/$I$8,$I185-SUM($W185:AQ185)),0)</f>
        <v>4.3893485009599624</v>
      </c>
      <c r="AS185" s="12">
        <f>IF(AND(YEAR(AS$4)&gt;YEAR($E185),$I185&gt;0),MIN($I185/$I$8,$I185-SUM($W185:AR185)),0)</f>
        <v>4.3893485009599624</v>
      </c>
      <c r="AT185" s="69">
        <f>IF(AND(YEAR(AT$4)&gt;YEAR($E185),$I185&gt;0),MIN($I185/$I$8,$I185-SUM($W185:AS185)),0)</f>
        <v>4.3893485009599624</v>
      </c>
      <c r="AU185" s="152">
        <f>IF(AND(YEAR(AU$4)&gt;YEAR($E185),$I185&gt;0),MIN($I185/$I$8,$I185-SUM($W185:AT185)),0)</f>
        <v>4.3893485009599624</v>
      </c>
      <c r="AV185" s="12">
        <f>IF(AND(YEAR(AV$4)&gt;YEAR($E185),$I185&gt;0),MIN($I185/$I$8,$I185-SUM($W185:AU185)),0)</f>
        <v>4.3893485009599624</v>
      </c>
      <c r="AW185" s="12">
        <f>IF(AND(YEAR(AW$4)&gt;YEAR($E185),$I185&gt;0),MIN($I185/$I$8,$I185-SUM($W185:AV185)),0)</f>
        <v>4.3893485009599624</v>
      </c>
      <c r="AX185" s="12">
        <f>IF(AND(YEAR(AX$4)&gt;YEAR($E185),$I185&gt;0),MIN($I185/$I$8,$I185-SUM($W185:AW185)),0)</f>
        <v>4.3893485009599624</v>
      </c>
      <c r="AY185" s="12">
        <f>IF(AND(YEAR(AY$4)&gt;YEAR($E185),$I185&gt;0),MIN($I185/$I$8,$I185-SUM($W185:AX185)),0)</f>
        <v>4.3893485009599624</v>
      </c>
      <c r="BA185" s="88" t="str">
        <f t="shared" ca="1" si="94"/>
        <v>Depreciation</v>
      </c>
      <c r="BB185" s="1" t="str">
        <f t="shared" si="95"/>
        <v>Straight line</v>
      </c>
      <c r="BC185" s="1" t="str">
        <f t="shared" si="96"/>
        <v>Depreciation</v>
      </c>
    </row>
    <row r="186" spans="5:55" x14ac:dyDescent="0.35">
      <c r="E186" s="2">
        <v>40999</v>
      </c>
      <c r="G186" t="str">
        <f t="shared" si="93"/>
        <v>£m 23/24 prices</v>
      </c>
      <c r="I186" s="27">
        <v>177.25045037918576</v>
      </c>
      <c r="J186" t="s">
        <v>13</v>
      </c>
      <c r="X186" s="12">
        <f>IF(AND(YEAR(X$4)&gt;YEAR($E186),$I186&gt;0),MIN($I186/$I$8,$I186-SUM($W186:W186)),0)</f>
        <v>0</v>
      </c>
      <c r="Y186" s="12">
        <f>IF(AND(YEAR(Y$4)&gt;YEAR($E186),$I186&gt;0),MIN($I186/$I$8,$I186-SUM($W186:X186)),0)</f>
        <v>0</v>
      </c>
      <c r="Z186" s="12">
        <f>IF(AND(YEAR(Z$4)&gt;YEAR($E186),$I186&gt;0),MIN($I186/$I$8,$I186-SUM($W186:Y186)),0)</f>
        <v>0</v>
      </c>
      <c r="AA186" s="12">
        <f>IF(AND(YEAR(AA$4)&gt;YEAR($E186),$I186&gt;0),MIN($I186/$I$8,$I186-SUM($W186:Z186)),0)</f>
        <v>0</v>
      </c>
      <c r="AB186" s="12">
        <f>IF(AND(YEAR(AB$4)&gt;YEAR($E186),$I186&gt;0),MIN($I186/$I$8,$I186-SUM($W186:AA186)),0)</f>
        <v>0</v>
      </c>
      <c r="AC186" s="12">
        <f>IF(AND(YEAR(AC$4)&gt;YEAR($E186),$I186&gt;0),MIN($I186/$I$8,$I186-SUM($W186:AB186)),0)</f>
        <v>0</v>
      </c>
      <c r="AD186" s="12">
        <f>IF(AND(YEAR(AD$4)&gt;YEAR($E186),$I186&gt;0),MIN($I186/$I$8,$I186-SUM($W186:AC186)),0)</f>
        <v>0</v>
      </c>
      <c r="AE186" s="12">
        <f>IF(AND(YEAR(AE$4)&gt;YEAR($E186),$I186&gt;0),MIN($I186/$I$8,$I186-SUM($W186:AD186)),0)</f>
        <v>0</v>
      </c>
      <c r="AF186" s="12">
        <f>IF(AND(YEAR(AF$4)&gt;YEAR($E186),$I186&gt;0),MIN($I186/$I$8,$I186-SUM($W186:AE186)),0)</f>
        <v>0</v>
      </c>
      <c r="AG186" s="12">
        <f>IF(AND(YEAR(AG$4)&gt;YEAR($E186),$I186&gt;0),MIN($I186/$I$8,$I186-SUM($W186:AF186)),0)</f>
        <v>3.938898897315239</v>
      </c>
      <c r="AH186" s="12">
        <f>IF(AND(YEAR(AH$4)&gt;YEAR($E186),$I186&gt;0),MIN($I186/$I$8,$I186-SUM($W186:AG186)),0)</f>
        <v>3.938898897315239</v>
      </c>
      <c r="AI186" s="12">
        <f>IF(AND(YEAR(AI$4)&gt;YEAR($E186),$I186&gt;0),MIN($I186/$I$8,$I186-SUM($W186:AH186)),0)</f>
        <v>3.938898897315239</v>
      </c>
      <c r="AJ186" s="12">
        <f>IF(AND(YEAR(AJ$4)&gt;YEAR($E186),$I186&gt;0),MIN($I186/$I$8,$I186-SUM($W186:AI186)),0)</f>
        <v>3.938898897315239</v>
      </c>
      <c r="AK186" s="12">
        <f>IF(AND(YEAR(AK$4)&gt;YEAR($E186),$I186&gt;0),MIN($I186/$I$8,$I186-SUM($W186:AJ186)),0)</f>
        <v>3.938898897315239</v>
      </c>
      <c r="AL186" s="12">
        <f>IF(AND(YEAR(AL$4)&gt;YEAR($E186),$I186&gt;0),MIN($I186/$I$8,$I186-SUM($W186:AK186)),0)</f>
        <v>3.938898897315239</v>
      </c>
      <c r="AM186" s="12">
        <f>IF(AND(YEAR(AM$4)&gt;YEAR($E186),$I186&gt;0),MIN($I186/$I$8,$I186-SUM($W186:AL186)),0)</f>
        <v>3.938898897315239</v>
      </c>
      <c r="AN186" s="12">
        <f>IF(AND(YEAR(AN$4)&gt;YEAR($E186),$I186&gt;0),MIN($I186/$I$8,$I186-SUM($W186:AM186)),0)</f>
        <v>3.938898897315239</v>
      </c>
      <c r="AO186" s="12">
        <f>IF(AND(YEAR(AO$4)&gt;YEAR($E186),$I186&gt;0),MIN($I186/$I$8,$I186-SUM($W186:AN186)),0)</f>
        <v>3.938898897315239</v>
      </c>
      <c r="AP186" s="12">
        <f>IF(AND(YEAR(AP$4)&gt;YEAR($E186),$I186&gt;0),MIN($I186/$I$8,$I186-SUM($W186:AO186)),0)</f>
        <v>3.938898897315239</v>
      </c>
      <c r="AQ186" s="12">
        <f>IF(AND(YEAR(AQ$4)&gt;YEAR($E186),$I186&gt;0),MIN($I186/$I$8,$I186-SUM($W186:AP186)),0)</f>
        <v>3.938898897315239</v>
      </c>
      <c r="AR186" s="12">
        <f>IF(AND(YEAR(AR$4)&gt;YEAR($E186),$I186&gt;0),MIN($I186/$I$8,$I186-SUM($W186:AQ186)),0)</f>
        <v>3.938898897315239</v>
      </c>
      <c r="AS186" s="12">
        <f>IF(AND(YEAR(AS$4)&gt;YEAR($E186),$I186&gt;0),MIN($I186/$I$8,$I186-SUM($W186:AR186)),0)</f>
        <v>3.938898897315239</v>
      </c>
      <c r="AT186" s="69">
        <f>IF(AND(YEAR(AT$4)&gt;YEAR($E186),$I186&gt;0),MIN($I186/$I$8,$I186-SUM($W186:AS186)),0)</f>
        <v>3.938898897315239</v>
      </c>
      <c r="AU186" s="152">
        <f>IF(AND(YEAR(AU$4)&gt;YEAR($E186),$I186&gt;0),MIN($I186/$I$8,$I186-SUM($W186:AT186)),0)</f>
        <v>3.938898897315239</v>
      </c>
      <c r="AV186" s="12">
        <f>IF(AND(YEAR(AV$4)&gt;YEAR($E186),$I186&gt;0),MIN($I186/$I$8,$I186-SUM($W186:AU186)),0)</f>
        <v>3.938898897315239</v>
      </c>
      <c r="AW186" s="12">
        <f>IF(AND(YEAR(AW$4)&gt;YEAR($E186),$I186&gt;0),MIN($I186/$I$8,$I186-SUM($W186:AV186)),0)</f>
        <v>3.938898897315239</v>
      </c>
      <c r="AX186" s="12">
        <f>IF(AND(YEAR(AX$4)&gt;YEAR($E186),$I186&gt;0),MIN($I186/$I$8,$I186-SUM($W186:AW186)),0)</f>
        <v>3.938898897315239</v>
      </c>
      <c r="AY186" s="12">
        <f>IF(AND(YEAR(AY$4)&gt;YEAR($E186),$I186&gt;0),MIN($I186/$I$8,$I186-SUM($W186:AX186)),0)</f>
        <v>3.938898897315239</v>
      </c>
      <c r="BA186" s="88" t="str">
        <f t="shared" ca="1" si="94"/>
        <v>Depreciation</v>
      </c>
      <c r="BB186" s="1" t="str">
        <f t="shared" si="95"/>
        <v>Straight line</v>
      </c>
      <c r="BC186" s="1" t="str">
        <f t="shared" si="96"/>
        <v>Depreciation</v>
      </c>
    </row>
    <row r="187" spans="5:55" x14ac:dyDescent="0.35">
      <c r="E187" s="2">
        <v>41364</v>
      </c>
      <c r="G187" t="str">
        <f t="shared" si="93"/>
        <v>£m 23/24 prices</v>
      </c>
      <c r="I187" s="27">
        <v>110.81029182430835</v>
      </c>
      <c r="J187" t="s">
        <v>13</v>
      </c>
      <c r="X187" s="12">
        <f>IF(AND(YEAR(X$4)&gt;YEAR($E187),$I187&gt;0),MIN($I187/$I$8,$I187-SUM($W187:W187)),0)</f>
        <v>0</v>
      </c>
      <c r="Y187" s="12">
        <f>IF(AND(YEAR(Y$4)&gt;YEAR($E187),$I187&gt;0),MIN($I187/$I$8,$I187-SUM($W187:X187)),0)</f>
        <v>0</v>
      </c>
      <c r="Z187" s="12">
        <f>IF(AND(YEAR(Z$4)&gt;YEAR($E187),$I187&gt;0),MIN($I187/$I$8,$I187-SUM($W187:Y187)),0)</f>
        <v>0</v>
      </c>
      <c r="AA187" s="12">
        <f>IF(AND(YEAR(AA$4)&gt;YEAR($E187),$I187&gt;0),MIN($I187/$I$8,$I187-SUM($W187:Z187)),0)</f>
        <v>0</v>
      </c>
      <c r="AB187" s="12">
        <f>IF(AND(YEAR(AB$4)&gt;YEAR($E187),$I187&gt;0),MIN($I187/$I$8,$I187-SUM($W187:AA187)),0)</f>
        <v>0</v>
      </c>
      <c r="AC187" s="12">
        <f>IF(AND(YEAR(AC$4)&gt;YEAR($E187),$I187&gt;0),MIN($I187/$I$8,$I187-SUM($W187:AB187)),0)</f>
        <v>0</v>
      </c>
      <c r="AD187" s="12">
        <f>IF(AND(YEAR(AD$4)&gt;YEAR($E187),$I187&gt;0),MIN($I187/$I$8,$I187-SUM($W187:AC187)),0)</f>
        <v>0</v>
      </c>
      <c r="AE187" s="12">
        <f>IF(AND(YEAR(AE$4)&gt;YEAR($E187),$I187&gt;0),MIN($I187/$I$8,$I187-SUM($W187:AD187)),0)</f>
        <v>0</v>
      </c>
      <c r="AF187" s="12">
        <f>IF(AND(YEAR(AF$4)&gt;YEAR($E187),$I187&gt;0),MIN($I187/$I$8,$I187-SUM($W187:AE187)),0)</f>
        <v>0</v>
      </c>
      <c r="AG187" s="12">
        <f>IF(AND(YEAR(AG$4)&gt;YEAR($E187),$I187&gt;0),MIN($I187/$I$8,$I187-SUM($W187:AF187)),0)</f>
        <v>0</v>
      </c>
      <c r="AH187" s="12">
        <f>IF(AND(YEAR(AH$4)&gt;YEAR($E187),$I187&gt;0),MIN($I187/$I$8,$I187-SUM($W187:AG187)),0)</f>
        <v>2.4624509294290746</v>
      </c>
      <c r="AI187" s="12">
        <f>IF(AND(YEAR(AI$4)&gt;YEAR($E187),$I187&gt;0),MIN($I187/$I$8,$I187-SUM($W187:AH187)),0)</f>
        <v>2.4624509294290746</v>
      </c>
      <c r="AJ187" s="12">
        <f>IF(AND(YEAR(AJ$4)&gt;YEAR($E187),$I187&gt;0),MIN($I187/$I$8,$I187-SUM($W187:AI187)),0)</f>
        <v>2.4624509294290746</v>
      </c>
      <c r="AK187" s="12">
        <f>IF(AND(YEAR(AK$4)&gt;YEAR($E187),$I187&gt;0),MIN($I187/$I$8,$I187-SUM($W187:AJ187)),0)</f>
        <v>2.4624509294290746</v>
      </c>
      <c r="AL187" s="12">
        <f>IF(AND(YEAR(AL$4)&gt;YEAR($E187),$I187&gt;0),MIN($I187/$I$8,$I187-SUM($W187:AK187)),0)</f>
        <v>2.4624509294290746</v>
      </c>
      <c r="AM187" s="12">
        <f>IF(AND(YEAR(AM$4)&gt;YEAR($E187),$I187&gt;0),MIN($I187/$I$8,$I187-SUM($W187:AL187)),0)</f>
        <v>2.4624509294290746</v>
      </c>
      <c r="AN187" s="12">
        <f>IF(AND(YEAR(AN$4)&gt;YEAR($E187),$I187&gt;0),MIN($I187/$I$8,$I187-SUM($W187:AM187)),0)</f>
        <v>2.4624509294290746</v>
      </c>
      <c r="AO187" s="12">
        <f>IF(AND(YEAR(AO$4)&gt;YEAR($E187),$I187&gt;0),MIN($I187/$I$8,$I187-SUM($W187:AN187)),0)</f>
        <v>2.4624509294290746</v>
      </c>
      <c r="AP187" s="12">
        <f>IF(AND(YEAR(AP$4)&gt;YEAR($E187),$I187&gt;0),MIN($I187/$I$8,$I187-SUM($W187:AO187)),0)</f>
        <v>2.4624509294290746</v>
      </c>
      <c r="AQ187" s="12">
        <f>IF(AND(YEAR(AQ$4)&gt;YEAR($E187),$I187&gt;0),MIN($I187/$I$8,$I187-SUM($W187:AP187)),0)</f>
        <v>2.4624509294290746</v>
      </c>
      <c r="AR187" s="12">
        <f>IF(AND(YEAR(AR$4)&gt;YEAR($E187),$I187&gt;0),MIN($I187/$I$8,$I187-SUM($W187:AQ187)),0)</f>
        <v>2.4624509294290746</v>
      </c>
      <c r="AS187" s="12">
        <f>IF(AND(YEAR(AS$4)&gt;YEAR($E187),$I187&gt;0),MIN($I187/$I$8,$I187-SUM($W187:AR187)),0)</f>
        <v>2.4624509294290746</v>
      </c>
      <c r="AT187" s="69">
        <f>IF(AND(YEAR(AT$4)&gt;YEAR($E187),$I187&gt;0),MIN($I187/$I$8,$I187-SUM($W187:AS187)),0)</f>
        <v>2.4624509294290746</v>
      </c>
      <c r="AU187" s="152">
        <f>IF(AND(YEAR(AU$4)&gt;YEAR($E187),$I187&gt;0),MIN($I187/$I$8,$I187-SUM($W187:AT187)),0)</f>
        <v>2.4624509294290746</v>
      </c>
      <c r="AV187" s="12">
        <f>IF(AND(YEAR(AV$4)&gt;YEAR($E187),$I187&gt;0),MIN($I187/$I$8,$I187-SUM($W187:AU187)),0)</f>
        <v>2.4624509294290746</v>
      </c>
      <c r="AW187" s="12">
        <f>IF(AND(YEAR(AW$4)&gt;YEAR($E187),$I187&gt;0),MIN($I187/$I$8,$I187-SUM($W187:AV187)),0)</f>
        <v>2.4624509294290746</v>
      </c>
      <c r="AX187" s="12">
        <f>IF(AND(YEAR(AX$4)&gt;YEAR($E187),$I187&gt;0),MIN($I187/$I$8,$I187-SUM($W187:AW187)),0)</f>
        <v>2.4624509294290746</v>
      </c>
      <c r="AY187" s="12">
        <f>IF(AND(YEAR(AY$4)&gt;YEAR($E187),$I187&gt;0),MIN($I187/$I$8,$I187-SUM($W187:AX187)),0)</f>
        <v>2.4624509294290746</v>
      </c>
      <c r="BA187" s="88" t="str">
        <f t="shared" ca="1" si="94"/>
        <v>Depreciation</v>
      </c>
      <c r="BB187" s="1" t="str">
        <f t="shared" si="95"/>
        <v>Straight line</v>
      </c>
      <c r="BC187" s="1" t="str">
        <f t="shared" si="96"/>
        <v>Depreciation</v>
      </c>
    </row>
    <row r="188" spans="5:55" x14ac:dyDescent="0.35">
      <c r="E188" s="2">
        <v>41729</v>
      </c>
      <c r="G188" t="str">
        <f t="shared" si="93"/>
        <v>£m 23/24 prices</v>
      </c>
      <c r="I188" s="27">
        <v>113.32221010949328</v>
      </c>
      <c r="J188" t="s">
        <v>13</v>
      </c>
      <c r="X188" s="12">
        <f>IF(AND(YEAR(X$4)&gt;YEAR($E188),$I188&gt;0),MIN($I188/$I$8,$I188-SUM($W188:W188)),0)</f>
        <v>0</v>
      </c>
      <c r="Y188" s="12">
        <f>IF(AND(YEAR(Y$4)&gt;YEAR($E188),$I188&gt;0),MIN($I188/$I$8,$I188-SUM($W188:X188)),0)</f>
        <v>0</v>
      </c>
      <c r="Z188" s="12">
        <f>IF(AND(YEAR(Z$4)&gt;YEAR($E188),$I188&gt;0),MIN($I188/$I$8,$I188-SUM($W188:Y188)),0)</f>
        <v>0</v>
      </c>
      <c r="AA188" s="12">
        <f>IF(AND(YEAR(AA$4)&gt;YEAR($E188),$I188&gt;0),MIN($I188/$I$8,$I188-SUM($W188:Z188)),0)</f>
        <v>0</v>
      </c>
      <c r="AB188" s="12">
        <f>IF(AND(YEAR(AB$4)&gt;YEAR($E188),$I188&gt;0),MIN($I188/$I$8,$I188-SUM($W188:AA188)),0)</f>
        <v>0</v>
      </c>
      <c r="AC188" s="12">
        <f>IF(AND(YEAR(AC$4)&gt;YEAR($E188),$I188&gt;0),MIN($I188/$I$8,$I188-SUM($W188:AB188)),0)</f>
        <v>0</v>
      </c>
      <c r="AD188" s="12">
        <f>IF(AND(YEAR(AD$4)&gt;YEAR($E188),$I188&gt;0),MIN($I188/$I$8,$I188-SUM($W188:AC188)),0)</f>
        <v>0</v>
      </c>
      <c r="AE188" s="12">
        <f>IF(AND(YEAR(AE$4)&gt;YEAR($E188),$I188&gt;0),MIN($I188/$I$8,$I188-SUM($W188:AD188)),0)</f>
        <v>0</v>
      </c>
      <c r="AF188" s="12">
        <f>IF(AND(YEAR(AF$4)&gt;YEAR($E188),$I188&gt;0),MIN($I188/$I$8,$I188-SUM($W188:AE188)),0)</f>
        <v>0</v>
      </c>
      <c r="AG188" s="12">
        <f>IF(AND(YEAR(AG$4)&gt;YEAR($E188),$I188&gt;0),MIN($I188/$I$8,$I188-SUM($W188:AF188)),0)</f>
        <v>0</v>
      </c>
      <c r="AH188" s="12">
        <f>IF(AND(YEAR(AH$4)&gt;YEAR($E188),$I188&gt;0),MIN($I188/$I$8,$I188-SUM($W188:AG188)),0)</f>
        <v>0</v>
      </c>
      <c r="AI188" s="12">
        <f>IF(AND(YEAR(AI$4)&gt;YEAR($E188),$I188&gt;0),MIN($I188/$I$8,$I188-SUM($W188:AH188)),0)</f>
        <v>2.5182713357665176</v>
      </c>
      <c r="AJ188" s="12">
        <f>IF(AND(YEAR(AJ$4)&gt;YEAR($E188),$I188&gt;0),MIN($I188/$I$8,$I188-SUM($W188:AI188)),0)</f>
        <v>2.5182713357665176</v>
      </c>
      <c r="AK188" s="12">
        <f>IF(AND(YEAR(AK$4)&gt;YEAR($E188),$I188&gt;0),MIN($I188/$I$8,$I188-SUM($W188:AJ188)),0)</f>
        <v>2.5182713357665176</v>
      </c>
      <c r="AL188" s="12">
        <f>IF(AND(YEAR(AL$4)&gt;YEAR($E188),$I188&gt;0),MIN($I188/$I$8,$I188-SUM($W188:AK188)),0)</f>
        <v>2.5182713357665176</v>
      </c>
      <c r="AM188" s="12">
        <f>IF(AND(YEAR(AM$4)&gt;YEAR($E188),$I188&gt;0),MIN($I188/$I$8,$I188-SUM($W188:AL188)),0)</f>
        <v>2.5182713357665176</v>
      </c>
      <c r="AN188" s="12">
        <f>IF(AND(YEAR(AN$4)&gt;YEAR($E188),$I188&gt;0),MIN($I188/$I$8,$I188-SUM($W188:AM188)),0)</f>
        <v>2.5182713357665176</v>
      </c>
      <c r="AO188" s="12">
        <f>IF(AND(YEAR(AO$4)&gt;YEAR($E188),$I188&gt;0),MIN($I188/$I$8,$I188-SUM($W188:AN188)),0)</f>
        <v>2.5182713357665176</v>
      </c>
      <c r="AP188" s="12">
        <f>IF(AND(YEAR(AP$4)&gt;YEAR($E188),$I188&gt;0),MIN($I188/$I$8,$I188-SUM($W188:AO188)),0)</f>
        <v>2.5182713357665176</v>
      </c>
      <c r="AQ188" s="12">
        <f>IF(AND(YEAR(AQ$4)&gt;YEAR($E188),$I188&gt;0),MIN($I188/$I$8,$I188-SUM($W188:AP188)),0)</f>
        <v>2.5182713357665176</v>
      </c>
      <c r="AR188" s="12">
        <f>IF(AND(YEAR(AR$4)&gt;YEAR($E188),$I188&gt;0),MIN($I188/$I$8,$I188-SUM($W188:AQ188)),0)</f>
        <v>2.5182713357665176</v>
      </c>
      <c r="AS188" s="12">
        <f>IF(AND(YEAR(AS$4)&gt;YEAR($E188),$I188&gt;0),MIN($I188/$I$8,$I188-SUM($W188:AR188)),0)</f>
        <v>2.5182713357665176</v>
      </c>
      <c r="AT188" s="69">
        <f>IF(AND(YEAR(AT$4)&gt;YEAR($E188),$I188&gt;0),MIN($I188/$I$8,$I188-SUM($W188:AS188)),0)</f>
        <v>2.5182713357665176</v>
      </c>
      <c r="AU188" s="152">
        <f>IF(AND(YEAR(AU$4)&gt;YEAR($E188),$I188&gt;0),MIN($I188/$I$8,$I188-SUM($W188:AT188)),0)</f>
        <v>2.5182713357665176</v>
      </c>
      <c r="AV188" s="12">
        <f>IF(AND(YEAR(AV$4)&gt;YEAR($E188),$I188&gt;0),MIN($I188/$I$8,$I188-SUM($W188:AU188)),0)</f>
        <v>2.5182713357665176</v>
      </c>
      <c r="AW188" s="12">
        <f>IF(AND(YEAR(AW$4)&gt;YEAR($E188),$I188&gt;0),MIN($I188/$I$8,$I188-SUM($W188:AV188)),0)</f>
        <v>2.5182713357665176</v>
      </c>
      <c r="AX188" s="12">
        <f>IF(AND(YEAR(AX$4)&gt;YEAR($E188),$I188&gt;0),MIN($I188/$I$8,$I188-SUM($W188:AW188)),0)</f>
        <v>2.5182713357665176</v>
      </c>
      <c r="AY188" s="12">
        <f>IF(AND(YEAR(AY$4)&gt;YEAR($E188),$I188&gt;0),MIN($I188/$I$8,$I188-SUM($W188:AX188)),0)</f>
        <v>2.5182713357665176</v>
      </c>
      <c r="BA188" s="88" t="str">
        <f t="shared" ca="1" si="94"/>
        <v>Depreciation</v>
      </c>
      <c r="BB188" s="1" t="str">
        <f t="shared" si="95"/>
        <v>Straight line</v>
      </c>
      <c r="BC188" s="1" t="str">
        <f t="shared" si="96"/>
        <v>Depreciation</v>
      </c>
    </row>
    <row r="189" spans="5:55" x14ac:dyDescent="0.35">
      <c r="E189" s="2">
        <v>42094</v>
      </c>
      <c r="G189" t="str">
        <f t="shared" si="93"/>
        <v>£m 23/24 prices</v>
      </c>
      <c r="I189" s="27">
        <v>109.76500366917041</v>
      </c>
      <c r="J189" t="s">
        <v>13</v>
      </c>
      <c r="X189" s="12">
        <f>IF(AND(YEAR(X$4)&gt;YEAR($E189),$I189&gt;0),MIN($I189/$I$8,$I189-SUM($W189:W189)),0)</f>
        <v>0</v>
      </c>
      <c r="Y189" s="12">
        <f>IF(AND(YEAR(Y$4)&gt;YEAR($E189),$I189&gt;0),MIN($I189/$I$8,$I189-SUM($W189:X189)),0)</f>
        <v>0</v>
      </c>
      <c r="Z189" s="12">
        <f>IF(AND(YEAR(Z$4)&gt;YEAR($E189),$I189&gt;0),MIN($I189/$I$8,$I189-SUM($W189:Y189)),0)</f>
        <v>0</v>
      </c>
      <c r="AA189" s="12">
        <f>IF(AND(YEAR(AA$4)&gt;YEAR($E189),$I189&gt;0),MIN($I189/$I$8,$I189-SUM($W189:Z189)),0)</f>
        <v>0</v>
      </c>
      <c r="AB189" s="12">
        <f>IF(AND(YEAR(AB$4)&gt;YEAR($E189),$I189&gt;0),MIN($I189/$I$8,$I189-SUM($W189:AA189)),0)</f>
        <v>0</v>
      </c>
      <c r="AC189" s="12">
        <f>IF(AND(YEAR(AC$4)&gt;YEAR($E189),$I189&gt;0),MIN($I189/$I$8,$I189-SUM($W189:AB189)),0)</f>
        <v>0</v>
      </c>
      <c r="AD189" s="12">
        <f>IF(AND(YEAR(AD$4)&gt;YEAR($E189),$I189&gt;0),MIN($I189/$I$8,$I189-SUM($W189:AC189)),0)</f>
        <v>0</v>
      </c>
      <c r="AE189" s="12">
        <f>IF(AND(YEAR(AE$4)&gt;YEAR($E189),$I189&gt;0),MIN($I189/$I$8,$I189-SUM($W189:AD189)),0)</f>
        <v>0</v>
      </c>
      <c r="AF189" s="12">
        <f>IF(AND(YEAR(AF$4)&gt;YEAR($E189),$I189&gt;0),MIN($I189/$I$8,$I189-SUM($W189:AE189)),0)</f>
        <v>0</v>
      </c>
      <c r="AG189" s="12">
        <f>IF(AND(YEAR(AG$4)&gt;YEAR($E189),$I189&gt;0),MIN($I189/$I$8,$I189-SUM($W189:AF189)),0)</f>
        <v>0</v>
      </c>
      <c r="AH189" s="12">
        <f>IF(AND(YEAR(AH$4)&gt;YEAR($E189),$I189&gt;0),MIN($I189/$I$8,$I189-SUM($W189:AG189)),0)</f>
        <v>0</v>
      </c>
      <c r="AI189" s="12">
        <f>IF(AND(YEAR(AI$4)&gt;YEAR($E189),$I189&gt;0),MIN($I189/$I$8,$I189-SUM($W189:AH189)),0)</f>
        <v>0</v>
      </c>
      <c r="AJ189" s="12">
        <f>IF(AND(YEAR(AJ$4)&gt;YEAR($E189),$I189&gt;0),MIN($I189/$I$8,$I189-SUM($W189:AI189)),0)</f>
        <v>2.4392223037593426</v>
      </c>
      <c r="AK189" s="12">
        <f>IF(AND(YEAR(AK$4)&gt;YEAR($E189),$I189&gt;0),MIN($I189/$I$8,$I189-SUM($W189:AJ189)),0)</f>
        <v>2.4392223037593426</v>
      </c>
      <c r="AL189" s="12">
        <f>IF(AND(YEAR(AL$4)&gt;YEAR($E189),$I189&gt;0),MIN($I189/$I$8,$I189-SUM($W189:AK189)),0)</f>
        <v>2.4392223037593426</v>
      </c>
      <c r="AM189" s="12">
        <f>IF(AND(YEAR(AM$4)&gt;YEAR($E189),$I189&gt;0),MIN($I189/$I$8,$I189-SUM($W189:AL189)),0)</f>
        <v>2.4392223037593426</v>
      </c>
      <c r="AN189" s="12">
        <f>IF(AND(YEAR(AN$4)&gt;YEAR($E189),$I189&gt;0),MIN($I189/$I$8,$I189-SUM($W189:AM189)),0)</f>
        <v>2.4392223037593426</v>
      </c>
      <c r="AO189" s="12">
        <f>IF(AND(YEAR(AO$4)&gt;YEAR($E189),$I189&gt;0),MIN($I189/$I$8,$I189-SUM($W189:AN189)),0)</f>
        <v>2.4392223037593426</v>
      </c>
      <c r="AP189" s="12">
        <f>IF(AND(YEAR(AP$4)&gt;YEAR($E189),$I189&gt;0),MIN($I189/$I$8,$I189-SUM($W189:AO189)),0)</f>
        <v>2.4392223037593426</v>
      </c>
      <c r="AQ189" s="12">
        <f>IF(AND(YEAR(AQ$4)&gt;YEAR($E189),$I189&gt;0),MIN($I189/$I$8,$I189-SUM($W189:AP189)),0)</f>
        <v>2.4392223037593426</v>
      </c>
      <c r="AR189" s="12">
        <f>IF(AND(YEAR(AR$4)&gt;YEAR($E189),$I189&gt;0),MIN($I189/$I$8,$I189-SUM($W189:AQ189)),0)</f>
        <v>2.4392223037593426</v>
      </c>
      <c r="AS189" s="12">
        <f>IF(AND(YEAR(AS$4)&gt;YEAR($E189),$I189&gt;0),MIN($I189/$I$8,$I189-SUM($W189:AR189)),0)</f>
        <v>2.4392223037593426</v>
      </c>
      <c r="AT189" s="69">
        <f>IF(AND(YEAR(AT$4)&gt;YEAR($E189),$I189&gt;0),MIN($I189/$I$8,$I189-SUM($W189:AS189)),0)</f>
        <v>2.4392223037593426</v>
      </c>
      <c r="AU189" s="152">
        <f>IF(AND(YEAR(AU$4)&gt;YEAR($E189),$I189&gt;0),MIN($I189/$I$8,$I189-SUM($W189:AT189)),0)</f>
        <v>2.4392223037593426</v>
      </c>
      <c r="AV189" s="12">
        <f>IF(AND(YEAR(AV$4)&gt;YEAR($E189),$I189&gt;0),MIN($I189/$I$8,$I189-SUM($W189:AU189)),0)</f>
        <v>2.4392223037593426</v>
      </c>
      <c r="AW189" s="12">
        <f>IF(AND(YEAR(AW$4)&gt;YEAR($E189),$I189&gt;0),MIN($I189/$I$8,$I189-SUM($W189:AV189)),0)</f>
        <v>2.4392223037593426</v>
      </c>
      <c r="AX189" s="12">
        <f>IF(AND(YEAR(AX$4)&gt;YEAR($E189),$I189&gt;0),MIN($I189/$I$8,$I189-SUM($W189:AW189)),0)</f>
        <v>2.4392223037593426</v>
      </c>
      <c r="AY189" s="12">
        <f>IF(AND(YEAR(AY$4)&gt;YEAR($E189),$I189&gt;0),MIN($I189/$I$8,$I189-SUM($W189:AX189)),0)</f>
        <v>2.4392223037593426</v>
      </c>
      <c r="BA189" s="88" t="str">
        <f t="shared" ca="1" si="94"/>
        <v>Depreciation</v>
      </c>
      <c r="BB189" s="1" t="str">
        <f t="shared" si="95"/>
        <v>Straight line</v>
      </c>
      <c r="BC189" s="1" t="str">
        <f t="shared" si="96"/>
        <v>Depreciation</v>
      </c>
    </row>
    <row r="190" spans="5:55" x14ac:dyDescent="0.35">
      <c r="E190" s="2">
        <v>42460</v>
      </c>
      <c r="G190" t="str">
        <f t="shared" si="93"/>
        <v>£m 23/24 prices</v>
      </c>
      <c r="I190" s="27">
        <v>114.22336322517508</v>
      </c>
      <c r="J190" t="s">
        <v>13</v>
      </c>
      <c r="X190" s="12">
        <f>IF(AND(YEAR(X$4)&gt;YEAR($E190),$I190&gt;0),MIN($I190/$I$8,$I190-SUM($W190:W190)),0)</f>
        <v>0</v>
      </c>
      <c r="Y190" s="12">
        <f>IF(AND(YEAR(Y$4)&gt;YEAR($E190),$I190&gt;0),MIN($I190/$I$8,$I190-SUM($W190:X190)),0)</f>
        <v>0</v>
      </c>
      <c r="Z190" s="12">
        <f>IF(AND(YEAR(Z$4)&gt;YEAR($E190),$I190&gt;0),MIN($I190/$I$8,$I190-SUM($W190:Y190)),0)</f>
        <v>0</v>
      </c>
      <c r="AA190" s="12">
        <f>IF(AND(YEAR(AA$4)&gt;YEAR($E190),$I190&gt;0),MIN($I190/$I$8,$I190-SUM($W190:Z190)),0)</f>
        <v>0</v>
      </c>
      <c r="AB190" s="12">
        <f>IF(AND(YEAR(AB$4)&gt;YEAR($E190),$I190&gt;0),MIN($I190/$I$8,$I190-SUM($W190:AA190)),0)</f>
        <v>0</v>
      </c>
      <c r="AC190" s="12">
        <f>IF(AND(YEAR(AC$4)&gt;YEAR($E190),$I190&gt;0),MIN($I190/$I$8,$I190-SUM($W190:AB190)),0)</f>
        <v>0</v>
      </c>
      <c r="AD190" s="12">
        <f>IF(AND(YEAR(AD$4)&gt;YEAR($E190),$I190&gt;0),MIN($I190/$I$8,$I190-SUM($W190:AC190)),0)</f>
        <v>0</v>
      </c>
      <c r="AE190" s="12">
        <f>IF(AND(YEAR(AE$4)&gt;YEAR($E190),$I190&gt;0),MIN($I190/$I$8,$I190-SUM($W190:AD190)),0)</f>
        <v>0</v>
      </c>
      <c r="AF190" s="12">
        <f>IF(AND(YEAR(AF$4)&gt;YEAR($E190),$I190&gt;0),MIN($I190/$I$8,$I190-SUM($W190:AE190)),0)</f>
        <v>0</v>
      </c>
      <c r="AG190" s="12">
        <f>IF(AND(YEAR(AG$4)&gt;YEAR($E190),$I190&gt;0),MIN($I190/$I$8,$I190-SUM($W190:AF190)),0)</f>
        <v>0</v>
      </c>
      <c r="AH190" s="12">
        <f>IF(AND(YEAR(AH$4)&gt;YEAR($E190),$I190&gt;0),MIN($I190/$I$8,$I190-SUM($W190:AG190)),0)</f>
        <v>0</v>
      </c>
      <c r="AI190" s="12">
        <f>IF(AND(YEAR(AI$4)&gt;YEAR($E190),$I190&gt;0),MIN($I190/$I$8,$I190-SUM($W190:AH190)),0)</f>
        <v>0</v>
      </c>
      <c r="AJ190" s="12">
        <f>IF(AND(YEAR(AJ$4)&gt;YEAR($E190),$I190&gt;0),MIN($I190/$I$8,$I190-SUM($W190:AI190)),0)</f>
        <v>0</v>
      </c>
      <c r="AK190" s="12">
        <f>IF(AND(YEAR(AK$4)&gt;YEAR($E190),$I190&gt;0),MIN($I190/$I$8,$I190-SUM($W190:AJ190)),0)</f>
        <v>2.5382969605594461</v>
      </c>
      <c r="AL190" s="12">
        <f>IF(AND(YEAR(AL$4)&gt;YEAR($E190),$I190&gt;0),MIN($I190/$I$8,$I190-SUM($W190:AK190)),0)</f>
        <v>2.5382969605594461</v>
      </c>
      <c r="AM190" s="12">
        <f>IF(AND(YEAR(AM$4)&gt;YEAR($E190),$I190&gt;0),MIN($I190/$I$8,$I190-SUM($W190:AL190)),0)</f>
        <v>2.5382969605594461</v>
      </c>
      <c r="AN190" s="12">
        <f>IF(AND(YEAR(AN$4)&gt;YEAR($E190),$I190&gt;0),MIN($I190/$I$8,$I190-SUM($W190:AM190)),0)</f>
        <v>2.5382969605594461</v>
      </c>
      <c r="AO190" s="12">
        <f>IF(AND(YEAR(AO$4)&gt;YEAR($E190),$I190&gt;0),MIN($I190/$I$8,$I190-SUM($W190:AN190)),0)</f>
        <v>2.5382969605594461</v>
      </c>
      <c r="AP190" s="12">
        <f>IF(AND(YEAR(AP$4)&gt;YEAR($E190),$I190&gt;0),MIN($I190/$I$8,$I190-SUM($W190:AO190)),0)</f>
        <v>2.5382969605594461</v>
      </c>
      <c r="AQ190" s="12">
        <f>IF(AND(YEAR(AQ$4)&gt;YEAR($E190),$I190&gt;0),MIN($I190/$I$8,$I190-SUM($W190:AP190)),0)</f>
        <v>2.5382969605594461</v>
      </c>
      <c r="AR190" s="12">
        <f>IF(AND(YEAR(AR$4)&gt;YEAR($E190),$I190&gt;0),MIN($I190/$I$8,$I190-SUM($W190:AQ190)),0)</f>
        <v>2.5382969605594461</v>
      </c>
      <c r="AS190" s="12">
        <f>IF(AND(YEAR(AS$4)&gt;YEAR($E190),$I190&gt;0),MIN($I190/$I$8,$I190-SUM($W190:AR190)),0)</f>
        <v>2.5382969605594461</v>
      </c>
      <c r="AT190" s="69">
        <f>IF(AND(YEAR(AT$4)&gt;YEAR($E190),$I190&gt;0),MIN($I190/$I$8,$I190-SUM($W190:AS190)),0)</f>
        <v>2.5382969605594461</v>
      </c>
      <c r="AU190" s="152">
        <f>IF(AND(YEAR(AU$4)&gt;YEAR($E190),$I190&gt;0),MIN($I190/$I$8,$I190-SUM($W190:AT190)),0)</f>
        <v>2.5382969605594461</v>
      </c>
      <c r="AV190" s="12">
        <f>IF(AND(YEAR(AV$4)&gt;YEAR($E190),$I190&gt;0),MIN($I190/$I$8,$I190-SUM($W190:AU190)),0)</f>
        <v>2.5382969605594461</v>
      </c>
      <c r="AW190" s="12">
        <f>IF(AND(YEAR(AW$4)&gt;YEAR($E190),$I190&gt;0),MIN($I190/$I$8,$I190-SUM($W190:AV190)),0)</f>
        <v>2.5382969605594461</v>
      </c>
      <c r="AX190" s="12">
        <f>IF(AND(YEAR(AX$4)&gt;YEAR($E190),$I190&gt;0),MIN($I190/$I$8,$I190-SUM($W190:AW190)),0)</f>
        <v>2.5382969605594461</v>
      </c>
      <c r="AY190" s="12">
        <f>IF(AND(YEAR(AY$4)&gt;YEAR($E190),$I190&gt;0),MIN($I190/$I$8,$I190-SUM($W190:AX190)),0)</f>
        <v>2.5382969605594461</v>
      </c>
      <c r="BA190" s="88" t="str">
        <f t="shared" ca="1" si="94"/>
        <v>Depreciation</v>
      </c>
      <c r="BB190" s="1" t="str">
        <f t="shared" si="95"/>
        <v>Straight line</v>
      </c>
      <c r="BC190" s="1" t="str">
        <f t="shared" si="96"/>
        <v>Depreciation</v>
      </c>
    </row>
    <row r="191" spans="5:55" x14ac:dyDescent="0.35">
      <c r="E191" s="2">
        <v>42825</v>
      </c>
      <c r="G191" t="str">
        <f t="shared" si="93"/>
        <v>£m 23/24 prices</v>
      </c>
      <c r="I191" s="27">
        <v>127.54784733053384</v>
      </c>
      <c r="J191" t="s">
        <v>13</v>
      </c>
      <c r="X191" s="12">
        <f>IF(AND(YEAR(X$4)&gt;YEAR($E191),$I191&gt;0),MIN($I191/$I$8,$I191-SUM($W191:W191)),0)</f>
        <v>0</v>
      </c>
      <c r="Y191" s="12">
        <f>IF(AND(YEAR(Y$4)&gt;YEAR($E191),$I191&gt;0),MIN($I191/$I$8,$I191-SUM($W191:X191)),0)</f>
        <v>0</v>
      </c>
      <c r="Z191" s="12">
        <f>IF(AND(YEAR(Z$4)&gt;YEAR($E191),$I191&gt;0),MIN($I191/$I$8,$I191-SUM($W191:Y191)),0)</f>
        <v>0</v>
      </c>
      <c r="AA191" s="12">
        <f>IF(AND(YEAR(AA$4)&gt;YEAR($E191),$I191&gt;0),MIN($I191/$I$8,$I191-SUM($W191:Z191)),0)</f>
        <v>0</v>
      </c>
      <c r="AB191" s="12">
        <f>IF(AND(YEAR(AB$4)&gt;YEAR($E191),$I191&gt;0),MIN($I191/$I$8,$I191-SUM($W191:AA191)),0)</f>
        <v>0</v>
      </c>
      <c r="AC191" s="12">
        <f>IF(AND(YEAR(AC$4)&gt;YEAR($E191),$I191&gt;0),MIN($I191/$I$8,$I191-SUM($W191:AB191)),0)</f>
        <v>0</v>
      </c>
      <c r="AD191" s="12">
        <f>IF(AND(YEAR(AD$4)&gt;YEAR($E191),$I191&gt;0),MIN($I191/$I$8,$I191-SUM($W191:AC191)),0)</f>
        <v>0</v>
      </c>
      <c r="AE191" s="12">
        <f>IF(AND(YEAR(AE$4)&gt;YEAR($E191),$I191&gt;0),MIN($I191/$I$8,$I191-SUM($W191:AD191)),0)</f>
        <v>0</v>
      </c>
      <c r="AF191" s="12">
        <f>IF(AND(YEAR(AF$4)&gt;YEAR($E191),$I191&gt;0),MIN($I191/$I$8,$I191-SUM($W191:AE191)),0)</f>
        <v>0</v>
      </c>
      <c r="AG191" s="12">
        <f>IF(AND(YEAR(AG$4)&gt;YEAR($E191),$I191&gt;0),MIN($I191/$I$8,$I191-SUM($W191:AF191)),0)</f>
        <v>0</v>
      </c>
      <c r="AH191" s="12">
        <f>IF(AND(YEAR(AH$4)&gt;YEAR($E191),$I191&gt;0),MIN($I191/$I$8,$I191-SUM($W191:AG191)),0)</f>
        <v>0</v>
      </c>
      <c r="AI191" s="12">
        <f>IF(AND(YEAR(AI$4)&gt;YEAR($E191),$I191&gt;0),MIN($I191/$I$8,$I191-SUM($W191:AH191)),0)</f>
        <v>0</v>
      </c>
      <c r="AJ191" s="12">
        <f>IF(AND(YEAR(AJ$4)&gt;YEAR($E191),$I191&gt;0),MIN($I191/$I$8,$I191-SUM($W191:AI191)),0)</f>
        <v>0</v>
      </c>
      <c r="AK191" s="12">
        <f>IF(AND(YEAR(AK$4)&gt;YEAR($E191),$I191&gt;0),MIN($I191/$I$8,$I191-SUM($W191:AJ191)),0)</f>
        <v>0</v>
      </c>
      <c r="AL191" s="12">
        <f>IF(AND(YEAR(AL$4)&gt;YEAR($E191),$I191&gt;0),MIN($I191/$I$8,$I191-SUM($W191:AK191)),0)</f>
        <v>2.8343966073451963</v>
      </c>
      <c r="AM191" s="12">
        <f>IF(AND(YEAR(AM$4)&gt;YEAR($E191),$I191&gt;0),MIN($I191/$I$8,$I191-SUM($W191:AL191)),0)</f>
        <v>2.8343966073451963</v>
      </c>
      <c r="AN191" s="12">
        <f>IF(AND(YEAR(AN$4)&gt;YEAR($E191),$I191&gt;0),MIN($I191/$I$8,$I191-SUM($W191:AM191)),0)</f>
        <v>2.8343966073451963</v>
      </c>
      <c r="AO191" s="12">
        <f>IF(AND(YEAR(AO$4)&gt;YEAR($E191),$I191&gt;0),MIN($I191/$I$8,$I191-SUM($W191:AN191)),0)</f>
        <v>2.8343966073451963</v>
      </c>
      <c r="AP191" s="12">
        <f>IF(AND(YEAR(AP$4)&gt;YEAR($E191),$I191&gt;0),MIN($I191/$I$8,$I191-SUM($W191:AO191)),0)</f>
        <v>2.8343966073451963</v>
      </c>
      <c r="AQ191" s="12">
        <f>IF(AND(YEAR(AQ$4)&gt;YEAR($E191),$I191&gt;0),MIN($I191/$I$8,$I191-SUM($W191:AP191)),0)</f>
        <v>2.8343966073451963</v>
      </c>
      <c r="AR191" s="12">
        <f>IF(AND(YEAR(AR$4)&gt;YEAR($E191),$I191&gt;0),MIN($I191/$I$8,$I191-SUM($W191:AQ191)),0)</f>
        <v>2.8343966073451963</v>
      </c>
      <c r="AS191" s="12">
        <f>IF(AND(YEAR(AS$4)&gt;YEAR($E191),$I191&gt;0),MIN($I191/$I$8,$I191-SUM($W191:AR191)),0)</f>
        <v>2.8343966073451963</v>
      </c>
      <c r="AT191" s="69">
        <f>IF(AND(YEAR(AT$4)&gt;YEAR($E191),$I191&gt;0),MIN($I191/$I$8,$I191-SUM($W191:AS191)),0)</f>
        <v>2.8343966073451963</v>
      </c>
      <c r="AU191" s="152">
        <f>IF(AND(YEAR(AU$4)&gt;YEAR($E191),$I191&gt;0),MIN($I191/$I$8,$I191-SUM($W191:AT191)),0)</f>
        <v>2.8343966073451963</v>
      </c>
      <c r="AV191" s="12">
        <f>IF(AND(YEAR(AV$4)&gt;YEAR($E191),$I191&gt;0),MIN($I191/$I$8,$I191-SUM($W191:AU191)),0)</f>
        <v>2.8343966073451963</v>
      </c>
      <c r="AW191" s="12">
        <f>IF(AND(YEAR(AW$4)&gt;YEAR($E191),$I191&gt;0),MIN($I191/$I$8,$I191-SUM($W191:AV191)),0)</f>
        <v>2.8343966073451963</v>
      </c>
      <c r="AX191" s="12">
        <f>IF(AND(YEAR(AX$4)&gt;YEAR($E191),$I191&gt;0),MIN($I191/$I$8,$I191-SUM($W191:AW191)),0)</f>
        <v>2.8343966073451963</v>
      </c>
      <c r="AY191" s="12">
        <f>IF(AND(YEAR(AY$4)&gt;YEAR($E191),$I191&gt;0),MIN($I191/$I$8,$I191-SUM($W191:AX191)),0)</f>
        <v>2.8343966073451963</v>
      </c>
      <c r="BA191" s="88" t="str">
        <f t="shared" ca="1" si="94"/>
        <v>Depreciation</v>
      </c>
      <c r="BB191" s="1" t="str">
        <f t="shared" si="95"/>
        <v>Straight line</v>
      </c>
      <c r="BC191" s="1" t="str">
        <f t="shared" si="96"/>
        <v>Depreciation</v>
      </c>
    </row>
    <row r="192" spans="5:55" x14ac:dyDescent="0.35">
      <c r="E192" s="2">
        <v>43190</v>
      </c>
      <c r="G192" t="str">
        <f t="shared" si="93"/>
        <v>£m 23/24 prices</v>
      </c>
      <c r="I192" s="27">
        <v>128.38622713335945</v>
      </c>
      <c r="J192" t="s">
        <v>13</v>
      </c>
      <c r="X192" s="12">
        <f>IF(AND(YEAR(X$4)&gt;YEAR($E192),$I192&gt;0),MIN($I192/$I$8,$I192-SUM($W192:W192)),0)</f>
        <v>0</v>
      </c>
      <c r="Y192" s="12">
        <f>IF(AND(YEAR(Y$4)&gt;YEAR($E192),$I192&gt;0),MIN($I192/$I$8,$I192-SUM($W192:X192)),0)</f>
        <v>0</v>
      </c>
      <c r="Z192" s="12">
        <f>IF(AND(YEAR(Z$4)&gt;YEAR($E192),$I192&gt;0),MIN($I192/$I$8,$I192-SUM($W192:Y192)),0)</f>
        <v>0</v>
      </c>
      <c r="AA192" s="12">
        <f>IF(AND(YEAR(AA$4)&gt;YEAR($E192),$I192&gt;0),MIN($I192/$I$8,$I192-SUM($W192:Z192)),0)</f>
        <v>0</v>
      </c>
      <c r="AB192" s="12">
        <f>IF(AND(YEAR(AB$4)&gt;YEAR($E192),$I192&gt;0),MIN($I192/$I$8,$I192-SUM($W192:AA192)),0)</f>
        <v>0</v>
      </c>
      <c r="AC192" s="12">
        <f>IF(AND(YEAR(AC$4)&gt;YEAR($E192),$I192&gt;0),MIN($I192/$I$8,$I192-SUM($W192:AB192)),0)</f>
        <v>0</v>
      </c>
      <c r="AD192" s="12">
        <f>IF(AND(YEAR(AD$4)&gt;YEAR($E192),$I192&gt;0),MIN($I192/$I$8,$I192-SUM($W192:AC192)),0)</f>
        <v>0</v>
      </c>
      <c r="AE192" s="12">
        <f>IF(AND(YEAR(AE$4)&gt;YEAR($E192),$I192&gt;0),MIN($I192/$I$8,$I192-SUM($W192:AD192)),0)</f>
        <v>0</v>
      </c>
      <c r="AF192" s="12">
        <f>IF(AND(YEAR(AF$4)&gt;YEAR($E192),$I192&gt;0),MIN($I192/$I$8,$I192-SUM($W192:AE192)),0)</f>
        <v>0</v>
      </c>
      <c r="AG192" s="12">
        <f>IF(AND(YEAR(AG$4)&gt;YEAR($E192),$I192&gt;0),MIN($I192/$I$8,$I192-SUM($W192:AF192)),0)</f>
        <v>0</v>
      </c>
      <c r="AH192" s="12">
        <f>IF(AND(YEAR(AH$4)&gt;YEAR($E192),$I192&gt;0),MIN($I192/$I$8,$I192-SUM($W192:AG192)),0)</f>
        <v>0</v>
      </c>
      <c r="AI192" s="12">
        <f>IF(AND(YEAR(AI$4)&gt;YEAR($E192),$I192&gt;0),MIN($I192/$I$8,$I192-SUM($W192:AH192)),0)</f>
        <v>0</v>
      </c>
      <c r="AJ192" s="12">
        <f>IF(AND(YEAR(AJ$4)&gt;YEAR($E192),$I192&gt;0),MIN($I192/$I$8,$I192-SUM($W192:AI192)),0)</f>
        <v>0</v>
      </c>
      <c r="AK192" s="12">
        <f>IF(AND(YEAR(AK$4)&gt;YEAR($E192),$I192&gt;0),MIN($I192/$I$8,$I192-SUM($W192:AJ192)),0)</f>
        <v>0</v>
      </c>
      <c r="AL192" s="12">
        <f>IF(AND(YEAR(AL$4)&gt;YEAR($E192),$I192&gt;0),MIN($I192/$I$8,$I192-SUM($W192:AK192)),0)</f>
        <v>0</v>
      </c>
      <c r="AM192" s="12">
        <f>IF(AND(YEAR(AM$4)&gt;YEAR($E192),$I192&gt;0),MIN($I192/$I$8,$I192-SUM($W192:AL192)),0)</f>
        <v>2.8530272696302101</v>
      </c>
      <c r="AN192" s="12">
        <f>IF(AND(YEAR(AN$4)&gt;YEAR($E192),$I192&gt;0),MIN($I192/$I$8,$I192-SUM($W192:AM192)),0)</f>
        <v>2.8530272696302101</v>
      </c>
      <c r="AO192" s="12">
        <f>IF(AND(YEAR(AO$4)&gt;YEAR($E192),$I192&gt;0),MIN($I192/$I$8,$I192-SUM($W192:AN192)),0)</f>
        <v>2.8530272696302101</v>
      </c>
      <c r="AP192" s="12">
        <f>IF(AND(YEAR(AP$4)&gt;YEAR($E192),$I192&gt;0),MIN($I192/$I$8,$I192-SUM($W192:AO192)),0)</f>
        <v>2.8530272696302101</v>
      </c>
      <c r="AQ192" s="12">
        <f>IF(AND(YEAR(AQ$4)&gt;YEAR($E192),$I192&gt;0),MIN($I192/$I$8,$I192-SUM($W192:AP192)),0)</f>
        <v>2.8530272696302101</v>
      </c>
      <c r="AR192" s="12">
        <f>IF(AND(YEAR(AR$4)&gt;YEAR($E192),$I192&gt;0),MIN($I192/$I$8,$I192-SUM($W192:AQ192)),0)</f>
        <v>2.8530272696302101</v>
      </c>
      <c r="AS192" s="12">
        <f>IF(AND(YEAR(AS$4)&gt;YEAR($E192),$I192&gt;0),MIN($I192/$I$8,$I192-SUM($W192:AR192)),0)</f>
        <v>2.8530272696302101</v>
      </c>
      <c r="AT192" s="69">
        <f>IF(AND(YEAR(AT$4)&gt;YEAR($E192),$I192&gt;0),MIN($I192/$I$8,$I192-SUM($W192:AS192)),0)</f>
        <v>2.8530272696302101</v>
      </c>
      <c r="AU192" s="152">
        <f>IF(AND(YEAR(AU$4)&gt;YEAR($E192),$I192&gt;0),MIN($I192/$I$8,$I192-SUM($W192:AT192)),0)</f>
        <v>2.8530272696302101</v>
      </c>
      <c r="AV192" s="12">
        <f>IF(AND(YEAR(AV$4)&gt;YEAR($E192),$I192&gt;0),MIN($I192/$I$8,$I192-SUM($W192:AU192)),0)</f>
        <v>2.8530272696302101</v>
      </c>
      <c r="AW192" s="12">
        <f>IF(AND(YEAR(AW$4)&gt;YEAR($E192),$I192&gt;0),MIN($I192/$I$8,$I192-SUM($W192:AV192)),0)</f>
        <v>2.8530272696302101</v>
      </c>
      <c r="AX192" s="12">
        <f>IF(AND(YEAR(AX$4)&gt;YEAR($E192),$I192&gt;0),MIN($I192/$I$8,$I192-SUM($W192:AW192)),0)</f>
        <v>2.8530272696302101</v>
      </c>
      <c r="AY192" s="12">
        <f>IF(AND(YEAR(AY$4)&gt;YEAR($E192),$I192&gt;0),MIN($I192/$I$8,$I192-SUM($W192:AX192)),0)</f>
        <v>2.8530272696302101</v>
      </c>
      <c r="BA192" s="88" t="str">
        <f t="shared" ca="1" si="94"/>
        <v>Depreciation</v>
      </c>
      <c r="BB192" s="1" t="str">
        <f t="shared" si="95"/>
        <v>Straight line</v>
      </c>
      <c r="BC192" s="1" t="str">
        <f t="shared" si="96"/>
        <v>Depreciation</v>
      </c>
    </row>
    <row r="193" spans="1:55" x14ac:dyDescent="0.35">
      <c r="E193" s="2">
        <v>43555</v>
      </c>
      <c r="G193" t="str">
        <f t="shared" si="93"/>
        <v>£m 23/24 prices</v>
      </c>
      <c r="I193" s="27">
        <v>141.61228861219638</v>
      </c>
      <c r="J193" t="s">
        <v>13</v>
      </c>
      <c r="X193" s="12">
        <f>IF(AND(YEAR(X$4)&gt;YEAR($E193),$I193&gt;0),MIN($I193/$I$8,$I193-SUM($W193:W193)),0)</f>
        <v>0</v>
      </c>
      <c r="Y193" s="12">
        <f>IF(AND(YEAR(Y$4)&gt;YEAR($E193),$I193&gt;0),MIN($I193/$I$8,$I193-SUM($W193:X193)),0)</f>
        <v>0</v>
      </c>
      <c r="Z193" s="12">
        <f>IF(AND(YEAR(Z$4)&gt;YEAR($E193),$I193&gt;0),MIN($I193/$I$8,$I193-SUM($W193:Y193)),0)</f>
        <v>0</v>
      </c>
      <c r="AA193" s="12">
        <f>IF(AND(YEAR(AA$4)&gt;YEAR($E193),$I193&gt;0),MIN($I193/$I$8,$I193-SUM($W193:Z193)),0)</f>
        <v>0</v>
      </c>
      <c r="AB193" s="12">
        <f>IF(AND(YEAR(AB$4)&gt;YEAR($E193),$I193&gt;0),MIN($I193/$I$8,$I193-SUM($W193:AA193)),0)</f>
        <v>0</v>
      </c>
      <c r="AC193" s="12">
        <f>IF(AND(YEAR(AC$4)&gt;YEAR($E193),$I193&gt;0),MIN($I193/$I$8,$I193-SUM($W193:AB193)),0)</f>
        <v>0</v>
      </c>
      <c r="AD193" s="12">
        <f>IF(AND(YEAR(AD$4)&gt;YEAR($E193),$I193&gt;0),MIN($I193/$I$8,$I193-SUM($W193:AC193)),0)</f>
        <v>0</v>
      </c>
      <c r="AE193" s="12">
        <f>IF(AND(YEAR(AE$4)&gt;YEAR($E193),$I193&gt;0),MIN($I193/$I$8,$I193-SUM($W193:AD193)),0)</f>
        <v>0</v>
      </c>
      <c r="AF193" s="12">
        <f>IF(AND(YEAR(AF$4)&gt;YEAR($E193),$I193&gt;0),MIN($I193/$I$8,$I193-SUM($W193:AE193)),0)</f>
        <v>0</v>
      </c>
      <c r="AG193" s="12">
        <f>IF(AND(YEAR(AG$4)&gt;YEAR($E193),$I193&gt;0),MIN($I193/$I$8,$I193-SUM($W193:AF193)),0)</f>
        <v>0</v>
      </c>
      <c r="AH193" s="12">
        <f>IF(AND(YEAR(AH$4)&gt;YEAR($E193),$I193&gt;0),MIN($I193/$I$8,$I193-SUM($W193:AG193)),0)</f>
        <v>0</v>
      </c>
      <c r="AI193" s="12">
        <f>IF(AND(YEAR(AI$4)&gt;YEAR($E193),$I193&gt;0),MIN($I193/$I$8,$I193-SUM($W193:AH193)),0)</f>
        <v>0</v>
      </c>
      <c r="AJ193" s="12">
        <f>IF(AND(YEAR(AJ$4)&gt;YEAR($E193),$I193&gt;0),MIN($I193/$I$8,$I193-SUM($W193:AI193)),0)</f>
        <v>0</v>
      </c>
      <c r="AK193" s="12">
        <f>IF(AND(YEAR(AK$4)&gt;YEAR($E193),$I193&gt;0),MIN($I193/$I$8,$I193-SUM($W193:AJ193)),0)</f>
        <v>0</v>
      </c>
      <c r="AL193" s="12">
        <f>IF(AND(YEAR(AL$4)&gt;YEAR($E193),$I193&gt;0),MIN($I193/$I$8,$I193-SUM($W193:AK193)),0)</f>
        <v>0</v>
      </c>
      <c r="AM193" s="12">
        <f>IF(AND(YEAR(AM$4)&gt;YEAR($E193),$I193&gt;0),MIN($I193/$I$8,$I193-SUM($W193:AL193)),0)</f>
        <v>0</v>
      </c>
      <c r="AN193" s="12">
        <f>IF(AND(YEAR(AN$4)&gt;YEAR($E193),$I193&gt;0),MIN($I193/$I$8,$I193-SUM($W193:AM193)),0)</f>
        <v>3.1469397469376972</v>
      </c>
      <c r="AO193" s="12">
        <f>IF(AND(YEAR(AO$4)&gt;YEAR($E193),$I193&gt;0),MIN($I193/$I$8,$I193-SUM($W193:AN193)),0)</f>
        <v>3.1469397469376972</v>
      </c>
      <c r="AP193" s="12">
        <f>IF(AND(YEAR(AP$4)&gt;YEAR($E193),$I193&gt;0),MIN($I193/$I$8,$I193-SUM($W193:AO193)),0)</f>
        <v>3.1469397469376972</v>
      </c>
      <c r="AQ193" s="12">
        <f>IF(AND(YEAR(AQ$4)&gt;YEAR($E193),$I193&gt;0),MIN($I193/$I$8,$I193-SUM($W193:AP193)),0)</f>
        <v>3.1469397469376972</v>
      </c>
      <c r="AR193" s="12">
        <f>IF(AND(YEAR(AR$4)&gt;YEAR($E193),$I193&gt;0),MIN($I193/$I$8,$I193-SUM($W193:AQ193)),0)</f>
        <v>3.1469397469376972</v>
      </c>
      <c r="AS193" s="12">
        <f>IF(AND(YEAR(AS$4)&gt;YEAR($E193),$I193&gt;0),MIN($I193/$I$8,$I193-SUM($W193:AR193)),0)</f>
        <v>3.1469397469376972</v>
      </c>
      <c r="AT193" s="69">
        <f>IF(AND(YEAR(AT$4)&gt;YEAR($E193),$I193&gt;0),MIN($I193/$I$8,$I193-SUM($W193:AS193)),0)</f>
        <v>3.1469397469376972</v>
      </c>
      <c r="AU193" s="152">
        <f>IF(AND(YEAR(AU$4)&gt;YEAR($E193),$I193&gt;0),MIN($I193/$I$8,$I193-SUM($W193:AT193)),0)</f>
        <v>3.1469397469376972</v>
      </c>
      <c r="AV193" s="12">
        <f>IF(AND(YEAR(AV$4)&gt;YEAR($E193),$I193&gt;0),MIN($I193/$I$8,$I193-SUM($W193:AU193)),0)</f>
        <v>3.1469397469376972</v>
      </c>
      <c r="AW193" s="12">
        <f>IF(AND(YEAR(AW$4)&gt;YEAR($E193),$I193&gt;0),MIN($I193/$I$8,$I193-SUM($W193:AV193)),0)</f>
        <v>3.1469397469376972</v>
      </c>
      <c r="AX193" s="12">
        <f>IF(AND(YEAR(AX$4)&gt;YEAR($E193),$I193&gt;0),MIN($I193/$I$8,$I193-SUM($W193:AW193)),0)</f>
        <v>3.1469397469376972</v>
      </c>
      <c r="AY193" s="12">
        <f>IF(AND(YEAR(AY$4)&gt;YEAR($E193),$I193&gt;0),MIN($I193/$I$8,$I193-SUM($W193:AX193)),0)</f>
        <v>3.1469397469376972</v>
      </c>
      <c r="BA193" s="88" t="str">
        <f t="shared" ca="1" si="94"/>
        <v>Depreciation</v>
      </c>
      <c r="BB193" s="1" t="str">
        <f t="shared" si="95"/>
        <v>Straight line</v>
      </c>
      <c r="BC193" s="1" t="str">
        <f t="shared" si="96"/>
        <v>Depreciation</v>
      </c>
    </row>
    <row r="194" spans="1:55" x14ac:dyDescent="0.35">
      <c r="E194" s="2">
        <v>43921</v>
      </c>
      <c r="G194" t="str">
        <f t="shared" si="93"/>
        <v>£m 23/24 prices</v>
      </c>
      <c r="I194" s="27">
        <v>135.54680984121518</v>
      </c>
      <c r="J194" t="s">
        <v>13</v>
      </c>
      <c r="X194" s="12">
        <f>IF(AND(YEAR(X$4)&gt;YEAR($E194),$I194&gt;0),MIN($I194/$I$8,$I194-SUM($W194:W194)),0)</f>
        <v>0</v>
      </c>
      <c r="Y194" s="12">
        <f>IF(AND(YEAR(Y$4)&gt;YEAR($E194),$I194&gt;0),MIN($I194/$I$8,$I194-SUM($W194:X194)),0)</f>
        <v>0</v>
      </c>
      <c r="Z194" s="12">
        <f>IF(AND(YEAR(Z$4)&gt;YEAR($E194),$I194&gt;0),MIN($I194/$I$8,$I194-SUM($W194:Y194)),0)</f>
        <v>0</v>
      </c>
      <c r="AA194" s="12">
        <f>IF(AND(YEAR(AA$4)&gt;YEAR($E194),$I194&gt;0),MIN($I194/$I$8,$I194-SUM($W194:Z194)),0)</f>
        <v>0</v>
      </c>
      <c r="AB194" s="12">
        <f>IF(AND(YEAR(AB$4)&gt;YEAR($E194),$I194&gt;0),MIN($I194/$I$8,$I194-SUM($W194:AA194)),0)</f>
        <v>0</v>
      </c>
      <c r="AC194" s="12">
        <f>IF(AND(YEAR(AC$4)&gt;YEAR($E194),$I194&gt;0),MIN($I194/$I$8,$I194-SUM($W194:AB194)),0)</f>
        <v>0</v>
      </c>
      <c r="AD194" s="12">
        <f>IF(AND(YEAR(AD$4)&gt;YEAR($E194),$I194&gt;0),MIN($I194/$I$8,$I194-SUM($W194:AC194)),0)</f>
        <v>0</v>
      </c>
      <c r="AE194" s="12">
        <f>IF(AND(YEAR(AE$4)&gt;YEAR($E194),$I194&gt;0),MIN($I194/$I$8,$I194-SUM($W194:AD194)),0)</f>
        <v>0</v>
      </c>
      <c r="AF194" s="12">
        <f>IF(AND(YEAR(AF$4)&gt;YEAR($E194),$I194&gt;0),MIN($I194/$I$8,$I194-SUM($W194:AE194)),0)</f>
        <v>0</v>
      </c>
      <c r="AG194" s="12">
        <f>IF(AND(YEAR(AG$4)&gt;YEAR($E194),$I194&gt;0),MIN($I194/$I$8,$I194-SUM($W194:AF194)),0)</f>
        <v>0</v>
      </c>
      <c r="AH194" s="12">
        <f>IF(AND(YEAR(AH$4)&gt;YEAR($E194),$I194&gt;0),MIN($I194/$I$8,$I194-SUM($W194:AG194)),0)</f>
        <v>0</v>
      </c>
      <c r="AI194" s="12">
        <f>IF(AND(YEAR(AI$4)&gt;YEAR($E194),$I194&gt;0),MIN($I194/$I$8,$I194-SUM($W194:AH194)),0)</f>
        <v>0</v>
      </c>
      <c r="AJ194" s="12">
        <f>IF(AND(YEAR(AJ$4)&gt;YEAR($E194),$I194&gt;0),MIN($I194/$I$8,$I194-SUM($W194:AI194)),0)</f>
        <v>0</v>
      </c>
      <c r="AK194" s="12">
        <f>IF(AND(YEAR(AK$4)&gt;YEAR($E194),$I194&gt;0),MIN($I194/$I$8,$I194-SUM($W194:AJ194)),0)</f>
        <v>0</v>
      </c>
      <c r="AL194" s="12">
        <f>IF(AND(YEAR(AL$4)&gt;YEAR($E194),$I194&gt;0),MIN($I194/$I$8,$I194-SUM($W194:AK194)),0)</f>
        <v>0</v>
      </c>
      <c r="AM194" s="12">
        <f>IF(AND(YEAR(AM$4)&gt;YEAR($E194),$I194&gt;0),MIN($I194/$I$8,$I194-SUM($W194:AL194)),0)</f>
        <v>0</v>
      </c>
      <c r="AN194" s="12">
        <f>IF(AND(YEAR(AN$4)&gt;YEAR($E194),$I194&gt;0),MIN($I194/$I$8,$I194-SUM($W194:AM194)),0)</f>
        <v>0</v>
      </c>
      <c r="AO194" s="12">
        <f>IF(AND(YEAR(AO$4)&gt;YEAR($E194),$I194&gt;0),MIN($I194/$I$8,$I194-SUM($W194:AN194)),0)</f>
        <v>3.012151329804782</v>
      </c>
      <c r="AP194" s="12">
        <f>IF(AND(YEAR(AP$4)&gt;YEAR($E194),$I194&gt;0),MIN($I194/$I$8,$I194-SUM($W194:AO194)),0)</f>
        <v>3.012151329804782</v>
      </c>
      <c r="AQ194" s="12">
        <f>IF(AND(YEAR(AQ$4)&gt;YEAR($E194),$I194&gt;0),MIN($I194/$I$8,$I194-SUM($W194:AP194)),0)</f>
        <v>3.012151329804782</v>
      </c>
      <c r="AR194" s="12">
        <f>IF(AND(YEAR(AR$4)&gt;YEAR($E194),$I194&gt;0),MIN($I194/$I$8,$I194-SUM($W194:AQ194)),0)</f>
        <v>3.012151329804782</v>
      </c>
      <c r="AS194" s="12">
        <f>IF(AND(YEAR(AS$4)&gt;YEAR($E194),$I194&gt;0),MIN($I194/$I$8,$I194-SUM($W194:AR194)),0)</f>
        <v>3.012151329804782</v>
      </c>
      <c r="AT194" s="69">
        <f>IF(AND(YEAR(AT$4)&gt;YEAR($E194),$I194&gt;0),MIN($I194/$I$8,$I194-SUM($W194:AS194)),0)</f>
        <v>3.012151329804782</v>
      </c>
      <c r="AU194" s="152">
        <f>IF(AND(YEAR(AU$4)&gt;YEAR($E194),$I194&gt;0),MIN($I194/$I$8,$I194-SUM($W194:AT194)),0)</f>
        <v>3.012151329804782</v>
      </c>
      <c r="AV194" s="12">
        <f>IF(AND(YEAR(AV$4)&gt;YEAR($E194),$I194&gt;0),MIN($I194/$I$8,$I194-SUM($W194:AU194)),0)</f>
        <v>3.012151329804782</v>
      </c>
      <c r="AW194" s="12">
        <f>IF(AND(YEAR(AW$4)&gt;YEAR($E194),$I194&gt;0),MIN($I194/$I$8,$I194-SUM($W194:AV194)),0)</f>
        <v>3.012151329804782</v>
      </c>
      <c r="AX194" s="12">
        <f>IF(AND(YEAR(AX$4)&gt;YEAR($E194),$I194&gt;0),MIN($I194/$I$8,$I194-SUM($W194:AW194)),0)</f>
        <v>3.012151329804782</v>
      </c>
      <c r="AY194" s="12">
        <f>IF(AND(YEAR(AY$4)&gt;YEAR($E194),$I194&gt;0),MIN($I194/$I$8,$I194-SUM($W194:AX194)),0)</f>
        <v>3.012151329804782</v>
      </c>
      <c r="BA194" s="88" t="str">
        <f t="shared" ca="1" si="94"/>
        <v>Depreciation</v>
      </c>
      <c r="BB194" s="1" t="str">
        <f t="shared" si="95"/>
        <v>Straight line</v>
      </c>
      <c r="BC194" s="1" t="str">
        <f t="shared" si="96"/>
        <v>Depreciation</v>
      </c>
    </row>
    <row r="195" spans="1:55" x14ac:dyDescent="0.35">
      <c r="E195" s="2">
        <v>44286</v>
      </c>
      <c r="G195" t="str">
        <f t="shared" si="93"/>
        <v>£m 23/24 prices</v>
      </c>
      <c r="I195" s="27">
        <v>131.03123438949584</v>
      </c>
      <c r="J195" t="s">
        <v>13</v>
      </c>
      <c r="X195" s="12">
        <f>IF(AND(YEAR(X$4)&gt;YEAR($E195),$I195&gt;0),MIN($I195/$I$8,$I195-SUM($W195:W195)),0)</f>
        <v>0</v>
      </c>
      <c r="Y195" s="12">
        <f>IF(AND(YEAR(Y$4)&gt;YEAR($E195),$I195&gt;0),MIN($I195/$I$8,$I195-SUM($W195:X195)),0)</f>
        <v>0</v>
      </c>
      <c r="Z195" s="12">
        <f>IF(AND(YEAR(Z$4)&gt;YEAR($E195),$I195&gt;0),MIN($I195/$I$8,$I195-SUM($W195:Y195)),0)</f>
        <v>0</v>
      </c>
      <c r="AA195" s="12">
        <f>IF(AND(YEAR(AA$4)&gt;YEAR($E195),$I195&gt;0),MIN($I195/$I$8,$I195-SUM($W195:Z195)),0)</f>
        <v>0</v>
      </c>
      <c r="AB195" s="12">
        <f>IF(AND(YEAR(AB$4)&gt;YEAR($E195),$I195&gt;0),MIN($I195/$I$8,$I195-SUM($W195:AA195)),0)</f>
        <v>0</v>
      </c>
      <c r="AC195" s="12">
        <f>IF(AND(YEAR(AC$4)&gt;YEAR($E195),$I195&gt;0),MIN($I195/$I$8,$I195-SUM($W195:AB195)),0)</f>
        <v>0</v>
      </c>
      <c r="AD195" s="12">
        <f>IF(AND(YEAR(AD$4)&gt;YEAR($E195),$I195&gt;0),MIN($I195/$I$8,$I195-SUM($W195:AC195)),0)</f>
        <v>0</v>
      </c>
      <c r="AE195" s="12">
        <f>IF(AND(YEAR(AE$4)&gt;YEAR($E195),$I195&gt;0),MIN($I195/$I$8,$I195-SUM($W195:AD195)),0)</f>
        <v>0</v>
      </c>
      <c r="AF195" s="12">
        <f>IF(AND(YEAR(AF$4)&gt;YEAR($E195),$I195&gt;0),MIN($I195/$I$8,$I195-SUM($W195:AE195)),0)</f>
        <v>0</v>
      </c>
      <c r="AG195" s="12">
        <f>IF(AND(YEAR(AG$4)&gt;YEAR($E195),$I195&gt;0),MIN($I195/$I$8,$I195-SUM($W195:AF195)),0)</f>
        <v>0</v>
      </c>
      <c r="AH195" s="12">
        <f>IF(AND(YEAR(AH$4)&gt;YEAR($E195),$I195&gt;0),MIN($I195/$I$8,$I195-SUM($W195:AG195)),0)</f>
        <v>0</v>
      </c>
      <c r="AI195" s="12">
        <f>IF(AND(YEAR(AI$4)&gt;YEAR($E195),$I195&gt;0),MIN($I195/$I$8,$I195-SUM($W195:AH195)),0)</f>
        <v>0</v>
      </c>
      <c r="AJ195" s="12">
        <f>IF(AND(YEAR(AJ$4)&gt;YEAR($E195),$I195&gt;0),MIN($I195/$I$8,$I195-SUM($W195:AI195)),0)</f>
        <v>0</v>
      </c>
      <c r="AK195" s="12">
        <f>IF(AND(YEAR(AK$4)&gt;YEAR($E195),$I195&gt;0),MIN($I195/$I$8,$I195-SUM($W195:AJ195)),0)</f>
        <v>0</v>
      </c>
      <c r="AL195" s="12">
        <f>IF(AND(YEAR(AL$4)&gt;YEAR($E195),$I195&gt;0),MIN($I195/$I$8,$I195-SUM($W195:AK195)),0)</f>
        <v>0</v>
      </c>
      <c r="AM195" s="12">
        <f>IF(AND(YEAR(AM$4)&gt;YEAR($E195),$I195&gt;0),MIN($I195/$I$8,$I195-SUM($W195:AL195)),0)</f>
        <v>0</v>
      </c>
      <c r="AN195" s="12">
        <f>IF(AND(YEAR(AN$4)&gt;YEAR($E195),$I195&gt;0),MIN($I195/$I$8,$I195-SUM($W195:AM195)),0)</f>
        <v>0</v>
      </c>
      <c r="AO195" s="12">
        <f>IF(AND(YEAR(AO$4)&gt;YEAR($E195),$I195&gt;0),MIN($I195/$I$8,$I195-SUM($W195:AN195)),0)</f>
        <v>0</v>
      </c>
      <c r="AP195" s="12">
        <f>IF(AND(YEAR(AP$4)&gt;YEAR($E195),$I195&gt;0),MIN($I195/$I$8,$I195-SUM($W195:AO195)),0)</f>
        <v>2.9118052086554629</v>
      </c>
      <c r="AQ195" s="12">
        <f>IF(AND(YEAR(AQ$4)&gt;YEAR($E195),$I195&gt;0),MIN($I195/$I$8,$I195-SUM($W195:AP195)),0)</f>
        <v>2.9118052086554629</v>
      </c>
      <c r="AR195" s="12">
        <f>IF(AND(YEAR(AR$4)&gt;YEAR($E195),$I195&gt;0),MIN($I195/$I$8,$I195-SUM($W195:AQ195)),0)</f>
        <v>2.9118052086554629</v>
      </c>
      <c r="AS195" s="12">
        <f>IF(AND(YEAR(AS$4)&gt;YEAR($E195),$I195&gt;0),MIN($I195/$I$8,$I195-SUM($W195:AR195)),0)</f>
        <v>2.9118052086554629</v>
      </c>
      <c r="AT195" s="69">
        <f>IF(AND(YEAR(AT$4)&gt;YEAR($E195),$I195&gt;0),MIN($I195/$I$8,$I195-SUM($W195:AS195)),0)</f>
        <v>2.9118052086554629</v>
      </c>
      <c r="AU195" s="152">
        <f>IF(AND(YEAR(AU$4)&gt;YEAR($E195),$I195&gt;0),MIN($I195/$I$8,$I195-SUM($W195:AT195)),0)</f>
        <v>2.9118052086554629</v>
      </c>
      <c r="AV195" s="12">
        <f>IF(AND(YEAR(AV$4)&gt;YEAR($E195),$I195&gt;0),MIN($I195/$I$8,$I195-SUM($W195:AU195)),0)</f>
        <v>2.9118052086554629</v>
      </c>
      <c r="AW195" s="12">
        <f>IF(AND(YEAR(AW$4)&gt;YEAR($E195),$I195&gt;0),MIN($I195/$I$8,$I195-SUM($W195:AV195)),0)</f>
        <v>2.9118052086554629</v>
      </c>
      <c r="AX195" s="12">
        <f>IF(AND(YEAR(AX$4)&gt;YEAR($E195),$I195&gt;0),MIN($I195/$I$8,$I195-SUM($W195:AW195)),0)</f>
        <v>2.9118052086554629</v>
      </c>
      <c r="AY195" s="12">
        <f>IF(AND(YEAR(AY$4)&gt;YEAR($E195),$I195&gt;0),MIN($I195/$I$8,$I195-SUM($W195:AX195)),0)</f>
        <v>2.9118052086554629</v>
      </c>
      <c r="BA195" s="88" t="str">
        <f t="shared" ca="1" si="94"/>
        <v>Depreciation</v>
      </c>
      <c r="BB195" s="1" t="str">
        <f t="shared" si="95"/>
        <v>Straight line</v>
      </c>
      <c r="BC195" s="1" t="str">
        <f t="shared" si="96"/>
        <v>Depreciation</v>
      </c>
    </row>
    <row r="196" spans="1:55" x14ac:dyDescent="0.35">
      <c r="E196" s="2">
        <v>44651</v>
      </c>
      <c r="G196" t="str">
        <f t="shared" si="93"/>
        <v>£m 23/24 prices</v>
      </c>
      <c r="I196" s="27">
        <v>127.80430836953926</v>
      </c>
      <c r="J196" t="s">
        <v>13</v>
      </c>
      <c r="X196" s="12">
        <f>IF(AND(YEAR(X$4)&gt;YEAR($E196),$I196&gt;0),MIN($I196/$I$8,$I196-SUM($W196:W196)),0)</f>
        <v>0</v>
      </c>
      <c r="Y196" s="12">
        <f>IF(AND(YEAR(Y$4)&gt;YEAR($E196),$I196&gt;0),MIN($I196/$I$8,$I196-SUM($W196:X196)),0)</f>
        <v>0</v>
      </c>
      <c r="Z196" s="12">
        <f>IF(AND(YEAR(Z$4)&gt;YEAR($E196),$I196&gt;0),MIN($I196/$I$8,$I196-SUM($W196:Y196)),0)</f>
        <v>0</v>
      </c>
      <c r="AA196" s="12">
        <f>IF(AND(YEAR(AA$4)&gt;YEAR($E196),$I196&gt;0),MIN($I196/$I$8,$I196-SUM($W196:Z196)),0)</f>
        <v>0</v>
      </c>
      <c r="AB196" s="12">
        <f>IF(AND(YEAR(AB$4)&gt;YEAR($E196),$I196&gt;0),MIN($I196/$I$8,$I196-SUM($W196:AA196)),0)</f>
        <v>0</v>
      </c>
      <c r="AC196" s="12">
        <f>IF(AND(YEAR(AC$4)&gt;YEAR($E196),$I196&gt;0),MIN($I196/$I$8,$I196-SUM($W196:AB196)),0)</f>
        <v>0</v>
      </c>
      <c r="AD196" s="12">
        <f>IF(AND(YEAR(AD$4)&gt;YEAR($E196),$I196&gt;0),MIN($I196/$I$8,$I196-SUM($W196:AC196)),0)</f>
        <v>0</v>
      </c>
      <c r="AE196" s="12">
        <f>IF(AND(YEAR(AE$4)&gt;YEAR($E196),$I196&gt;0),MIN($I196/$I$8,$I196-SUM($W196:AD196)),0)</f>
        <v>0</v>
      </c>
      <c r="AF196" s="12">
        <f>IF(AND(YEAR(AF$4)&gt;YEAR($E196),$I196&gt;0),MIN($I196/$I$8,$I196-SUM($W196:AE196)),0)</f>
        <v>0</v>
      </c>
      <c r="AG196" s="12">
        <f>IF(AND(YEAR(AG$4)&gt;YEAR($E196),$I196&gt;0),MIN($I196/$I$8,$I196-SUM($W196:AF196)),0)</f>
        <v>0</v>
      </c>
      <c r="AH196" s="12">
        <f>IF(AND(YEAR(AH$4)&gt;YEAR($E196),$I196&gt;0),MIN($I196/$I$8,$I196-SUM($W196:AG196)),0)</f>
        <v>0</v>
      </c>
      <c r="AI196" s="12">
        <f>IF(AND(YEAR(AI$4)&gt;YEAR($E196),$I196&gt;0),MIN($I196/$I$8,$I196-SUM($W196:AH196)),0)</f>
        <v>0</v>
      </c>
      <c r="AJ196" s="12">
        <f>IF(AND(YEAR(AJ$4)&gt;YEAR($E196),$I196&gt;0),MIN($I196/$I$8,$I196-SUM($W196:AI196)),0)</f>
        <v>0</v>
      </c>
      <c r="AK196" s="12">
        <f>IF(AND(YEAR(AK$4)&gt;YEAR($E196),$I196&gt;0),MIN($I196/$I$8,$I196-SUM($W196:AJ196)),0)</f>
        <v>0</v>
      </c>
      <c r="AL196" s="12">
        <f>IF(AND(YEAR(AL$4)&gt;YEAR($E196),$I196&gt;0),MIN($I196/$I$8,$I196-SUM($W196:AK196)),0)</f>
        <v>0</v>
      </c>
      <c r="AM196" s="12">
        <f>IF(AND(YEAR(AM$4)&gt;YEAR($E196),$I196&gt;0),MIN($I196/$I$8,$I196-SUM($W196:AL196)),0)</f>
        <v>0</v>
      </c>
      <c r="AN196" s="12">
        <f>IF(AND(YEAR(AN$4)&gt;YEAR($E196),$I196&gt;0),MIN($I196/$I$8,$I196-SUM($W196:AM196)),0)</f>
        <v>0</v>
      </c>
      <c r="AO196" s="12">
        <f>IF(AND(YEAR(AO$4)&gt;YEAR($E196),$I196&gt;0),MIN($I196/$I$8,$I196-SUM($W196:AN196)),0)</f>
        <v>0</v>
      </c>
      <c r="AP196" s="12">
        <f>IF(AND(YEAR(AP$4)&gt;YEAR($E196),$I196&gt;0),MIN($I196/$I$8,$I196-SUM($W196:AO196)),0)</f>
        <v>0</v>
      </c>
      <c r="AQ196" s="12">
        <f>IF(AND(YEAR(AQ$4)&gt;YEAR($E196),$I196&gt;0),MIN($I196/$I$8,$I196-SUM($W196:AP196)),0)</f>
        <v>2.840095741545317</v>
      </c>
      <c r="AR196" s="12">
        <f>IF(AND(YEAR(AR$4)&gt;YEAR($E196),$I196&gt;0),MIN($I196/$I$8,$I196-SUM($W196:AQ196)),0)</f>
        <v>2.840095741545317</v>
      </c>
      <c r="AS196" s="12">
        <f>IF(AND(YEAR(AS$4)&gt;YEAR($E196),$I196&gt;0),MIN($I196/$I$8,$I196-SUM($W196:AR196)),0)</f>
        <v>2.840095741545317</v>
      </c>
      <c r="AT196" s="69">
        <f>IF(AND(YEAR(AT$4)&gt;YEAR($E196),$I196&gt;0),MIN($I196/$I$8,$I196-SUM($W196:AS196)),0)</f>
        <v>2.840095741545317</v>
      </c>
      <c r="AU196" s="152">
        <f>IF(AND(YEAR(AU$4)&gt;YEAR($E196),$I196&gt;0),MIN($I196/$I$8,$I196-SUM($W196:AT196)),0)</f>
        <v>2.840095741545317</v>
      </c>
      <c r="AV196" s="12">
        <f>IF(AND(YEAR(AV$4)&gt;YEAR($E196),$I196&gt;0),MIN($I196/$I$8,$I196-SUM($W196:AU196)),0)</f>
        <v>2.840095741545317</v>
      </c>
      <c r="AW196" s="12">
        <f>IF(AND(YEAR(AW$4)&gt;YEAR($E196),$I196&gt;0),MIN($I196/$I$8,$I196-SUM($W196:AV196)),0)</f>
        <v>2.840095741545317</v>
      </c>
      <c r="AX196" s="12">
        <f>IF(AND(YEAR(AX$4)&gt;YEAR($E196),$I196&gt;0),MIN($I196/$I$8,$I196-SUM($W196:AW196)),0)</f>
        <v>2.840095741545317</v>
      </c>
      <c r="AY196" s="12">
        <f>IF(AND(YEAR(AY$4)&gt;YEAR($E196),$I196&gt;0),MIN($I196/$I$8,$I196-SUM($W196:AX196)),0)</f>
        <v>2.840095741545317</v>
      </c>
      <c r="BA196" s="88" t="str">
        <f t="shared" ca="1" si="94"/>
        <v>Depreciation</v>
      </c>
      <c r="BB196" s="1" t="str">
        <f t="shared" si="95"/>
        <v>Straight line</v>
      </c>
      <c r="BC196" s="1" t="str">
        <f t="shared" si="96"/>
        <v>Depreciation</v>
      </c>
    </row>
    <row r="197" spans="1:55" x14ac:dyDescent="0.35">
      <c r="E197" s="2">
        <v>45016</v>
      </c>
      <c r="G197" t="str">
        <f t="shared" si="93"/>
        <v>£m 23/24 prices</v>
      </c>
      <c r="I197" s="27">
        <v>139.25083719589287</v>
      </c>
      <c r="J197" t="s">
        <v>13</v>
      </c>
      <c r="X197" s="12">
        <f>IF(AND(YEAR(X$4)&gt;YEAR($E197),$I197&gt;0),MIN($I197/$I$8,$I197-SUM($W197:W197)),0)</f>
        <v>0</v>
      </c>
      <c r="Y197" s="12">
        <f>IF(AND(YEAR(Y$4)&gt;YEAR($E197),$I197&gt;0),MIN($I197/$I$8,$I197-SUM($W197:X197)),0)</f>
        <v>0</v>
      </c>
      <c r="Z197" s="12">
        <f>IF(AND(YEAR(Z$4)&gt;YEAR($E197),$I197&gt;0),MIN($I197/$I$8,$I197-SUM($W197:Y197)),0)</f>
        <v>0</v>
      </c>
      <c r="AA197" s="12">
        <f>IF(AND(YEAR(AA$4)&gt;YEAR($E197),$I197&gt;0),MIN($I197/$I$8,$I197-SUM($W197:Z197)),0)</f>
        <v>0</v>
      </c>
      <c r="AB197" s="12">
        <f>IF(AND(YEAR(AB$4)&gt;YEAR($E197),$I197&gt;0),MIN($I197/$I$8,$I197-SUM($W197:AA197)),0)</f>
        <v>0</v>
      </c>
      <c r="AC197" s="12">
        <f>IF(AND(YEAR(AC$4)&gt;YEAR($E197),$I197&gt;0),MIN($I197/$I$8,$I197-SUM($W197:AB197)),0)</f>
        <v>0</v>
      </c>
      <c r="AD197" s="12">
        <f>IF(AND(YEAR(AD$4)&gt;YEAR($E197),$I197&gt;0),MIN($I197/$I$8,$I197-SUM($W197:AC197)),0)</f>
        <v>0</v>
      </c>
      <c r="AE197" s="12">
        <f>IF(AND(YEAR(AE$4)&gt;YEAR($E197),$I197&gt;0),MIN($I197/$I$8,$I197-SUM($W197:AD197)),0)</f>
        <v>0</v>
      </c>
      <c r="AF197" s="12">
        <f>IF(AND(YEAR(AF$4)&gt;YEAR($E197),$I197&gt;0),MIN($I197/$I$8,$I197-SUM($W197:AE197)),0)</f>
        <v>0</v>
      </c>
      <c r="AG197" s="12">
        <f>IF(AND(YEAR(AG$4)&gt;YEAR($E197),$I197&gt;0),MIN($I197/$I$8,$I197-SUM($W197:AF197)),0)</f>
        <v>0</v>
      </c>
      <c r="AH197" s="12">
        <f>IF(AND(YEAR(AH$4)&gt;YEAR($E197),$I197&gt;0),MIN($I197/$I$8,$I197-SUM($W197:AG197)),0)</f>
        <v>0</v>
      </c>
      <c r="AI197" s="12">
        <f>IF(AND(YEAR(AI$4)&gt;YEAR($E197),$I197&gt;0),MIN($I197/$I$8,$I197-SUM($W197:AH197)),0)</f>
        <v>0</v>
      </c>
      <c r="AJ197" s="12">
        <f>IF(AND(YEAR(AJ$4)&gt;YEAR($E197),$I197&gt;0),MIN($I197/$I$8,$I197-SUM($W197:AI197)),0)</f>
        <v>0</v>
      </c>
      <c r="AK197" s="12">
        <f>IF(AND(YEAR(AK$4)&gt;YEAR($E197),$I197&gt;0),MIN($I197/$I$8,$I197-SUM($W197:AJ197)),0)</f>
        <v>0</v>
      </c>
      <c r="AL197" s="12">
        <f>IF(AND(YEAR(AL$4)&gt;YEAR($E197),$I197&gt;0),MIN($I197/$I$8,$I197-SUM($W197:AK197)),0)</f>
        <v>0</v>
      </c>
      <c r="AM197" s="12">
        <f>IF(AND(YEAR(AM$4)&gt;YEAR($E197),$I197&gt;0),MIN($I197/$I$8,$I197-SUM($W197:AL197)),0)</f>
        <v>0</v>
      </c>
      <c r="AN197" s="12">
        <f>IF(AND(YEAR(AN$4)&gt;YEAR($E197),$I197&gt;0),MIN($I197/$I$8,$I197-SUM($W197:AM197)),0)</f>
        <v>0</v>
      </c>
      <c r="AO197" s="12">
        <f>IF(AND(YEAR(AO$4)&gt;YEAR($E197),$I197&gt;0),MIN($I197/$I$8,$I197-SUM($W197:AN197)),0)</f>
        <v>0</v>
      </c>
      <c r="AP197" s="12">
        <f>IF(AND(YEAR(AP$4)&gt;YEAR($E197),$I197&gt;0),MIN($I197/$I$8,$I197-SUM($W197:AO197)),0)</f>
        <v>0</v>
      </c>
      <c r="AQ197" s="12">
        <f>IF(AND(YEAR(AQ$4)&gt;YEAR($E197),$I197&gt;0),MIN($I197/$I$8,$I197-SUM($W197:AP197)),0)</f>
        <v>0</v>
      </c>
      <c r="AR197" s="12">
        <f>IF(AND(YEAR(AR$4)&gt;YEAR($E197),$I197&gt;0),MIN($I197/$I$8,$I197-SUM($W197:AQ197)),0)</f>
        <v>3.0944630487976195</v>
      </c>
      <c r="AS197" s="12">
        <f>IF(AND(YEAR(AS$4)&gt;YEAR($E197),$I197&gt;0),MIN($I197/$I$8,$I197-SUM($W197:AR197)),0)</f>
        <v>3.0944630487976195</v>
      </c>
      <c r="AT197" s="69">
        <f>IF(AND(YEAR(AT$4)&gt;YEAR($E197),$I197&gt;0),MIN($I197/$I$8,$I197-SUM($W197:AS197)),0)</f>
        <v>3.0944630487976195</v>
      </c>
      <c r="AU197" s="152">
        <f>IF(AND(YEAR(AU$4)&gt;YEAR($E197),$I197&gt;0),MIN($I197/$I$8,$I197-SUM($W197:AT197)),0)</f>
        <v>3.0944630487976195</v>
      </c>
      <c r="AV197" s="12">
        <f>IF(AND(YEAR(AV$4)&gt;YEAR($E197),$I197&gt;0),MIN($I197/$I$8,$I197-SUM($W197:AU197)),0)</f>
        <v>3.0944630487976195</v>
      </c>
      <c r="AW197" s="12">
        <f>IF(AND(YEAR(AW$4)&gt;YEAR($E197),$I197&gt;0),MIN($I197/$I$8,$I197-SUM($W197:AV197)),0)</f>
        <v>3.0944630487976195</v>
      </c>
      <c r="AX197" s="12">
        <f>IF(AND(YEAR(AX$4)&gt;YEAR($E197),$I197&gt;0),MIN($I197/$I$8,$I197-SUM($W197:AW197)),0)</f>
        <v>3.0944630487976195</v>
      </c>
      <c r="AY197" s="12">
        <f>IF(AND(YEAR(AY$4)&gt;YEAR($E197),$I197&gt;0),MIN($I197/$I$8,$I197-SUM($W197:AX197)),0)</f>
        <v>3.0944630487976195</v>
      </c>
      <c r="BA197" s="88" t="str">
        <f t="shared" ca="1" si="94"/>
        <v>Depreciation</v>
      </c>
      <c r="BB197" s="1" t="str">
        <f t="shared" si="95"/>
        <v>Straight line</v>
      </c>
      <c r="BC197" s="1" t="str">
        <f t="shared" si="96"/>
        <v>Depreciation</v>
      </c>
    </row>
    <row r="198" spans="1:55" x14ac:dyDescent="0.35">
      <c r="E198" s="2">
        <v>45382</v>
      </c>
      <c r="G198" t="str">
        <f t="shared" si="93"/>
        <v>£m 23/24 prices</v>
      </c>
      <c r="I198" s="27">
        <v>156.62287921155232</v>
      </c>
      <c r="J198" t="s">
        <v>13</v>
      </c>
      <c r="X198" s="12">
        <f>IF(AND(YEAR(X$4)&gt;YEAR($E198),$I198&gt;0),MIN($I198/$I$8,$I198-SUM($W198:W198)),0)</f>
        <v>0</v>
      </c>
      <c r="Y198" s="12">
        <f>IF(AND(YEAR(Y$4)&gt;YEAR($E198),$I198&gt;0),MIN($I198/$I$8,$I198-SUM($W198:X198)),0)</f>
        <v>0</v>
      </c>
      <c r="Z198" s="12">
        <f>IF(AND(YEAR(Z$4)&gt;YEAR($E198),$I198&gt;0),MIN($I198/$I$8,$I198-SUM($W198:Y198)),0)</f>
        <v>0</v>
      </c>
      <c r="AA198" s="12">
        <f>IF(AND(YEAR(AA$4)&gt;YEAR($E198),$I198&gt;0),MIN($I198/$I$8,$I198-SUM($W198:Z198)),0)</f>
        <v>0</v>
      </c>
      <c r="AB198" s="12">
        <f>IF(AND(YEAR(AB$4)&gt;YEAR($E198),$I198&gt;0),MIN($I198/$I$8,$I198-SUM($W198:AA198)),0)</f>
        <v>0</v>
      </c>
      <c r="AC198" s="12">
        <f>IF(AND(YEAR(AC$4)&gt;YEAR($E198),$I198&gt;0),MIN($I198/$I$8,$I198-SUM($W198:AB198)),0)</f>
        <v>0</v>
      </c>
      <c r="AD198" s="12">
        <f>IF(AND(YEAR(AD$4)&gt;YEAR($E198),$I198&gt;0),MIN($I198/$I$8,$I198-SUM($W198:AC198)),0)</f>
        <v>0</v>
      </c>
      <c r="AE198" s="12">
        <f>IF(AND(YEAR(AE$4)&gt;YEAR($E198),$I198&gt;0),MIN($I198/$I$8,$I198-SUM($W198:AD198)),0)</f>
        <v>0</v>
      </c>
      <c r="AF198" s="12">
        <f>IF(AND(YEAR(AF$4)&gt;YEAR($E198),$I198&gt;0),MIN($I198/$I$8,$I198-SUM($W198:AE198)),0)</f>
        <v>0</v>
      </c>
      <c r="AG198" s="12">
        <f>IF(AND(YEAR(AG$4)&gt;YEAR($E198),$I198&gt;0),MIN($I198/$I$8,$I198-SUM($W198:AF198)),0)</f>
        <v>0</v>
      </c>
      <c r="AH198" s="12">
        <f>IF(AND(YEAR(AH$4)&gt;YEAR($E198),$I198&gt;0),MIN($I198/$I$8,$I198-SUM($W198:AG198)),0)</f>
        <v>0</v>
      </c>
      <c r="AI198" s="12">
        <f>IF(AND(YEAR(AI$4)&gt;YEAR($E198),$I198&gt;0),MIN($I198/$I$8,$I198-SUM($W198:AH198)),0)</f>
        <v>0</v>
      </c>
      <c r="AJ198" s="12">
        <f>IF(AND(YEAR(AJ$4)&gt;YEAR($E198),$I198&gt;0),MIN($I198/$I$8,$I198-SUM($W198:AI198)),0)</f>
        <v>0</v>
      </c>
      <c r="AK198" s="12">
        <f>IF(AND(YEAR(AK$4)&gt;YEAR($E198),$I198&gt;0),MIN($I198/$I$8,$I198-SUM($W198:AJ198)),0)</f>
        <v>0</v>
      </c>
      <c r="AL198" s="12">
        <f>IF(AND(YEAR(AL$4)&gt;YEAR($E198),$I198&gt;0),MIN($I198/$I$8,$I198-SUM($W198:AK198)),0)</f>
        <v>0</v>
      </c>
      <c r="AM198" s="12">
        <f>IF(AND(YEAR(AM$4)&gt;YEAR($E198),$I198&gt;0),MIN($I198/$I$8,$I198-SUM($W198:AL198)),0)</f>
        <v>0</v>
      </c>
      <c r="AN198" s="12">
        <f>IF(AND(YEAR(AN$4)&gt;YEAR($E198),$I198&gt;0),MIN($I198/$I$8,$I198-SUM($W198:AM198)),0)</f>
        <v>0</v>
      </c>
      <c r="AO198" s="12">
        <f>IF(AND(YEAR(AO$4)&gt;YEAR($E198),$I198&gt;0),MIN($I198/$I$8,$I198-SUM($W198:AN198)),0)</f>
        <v>0</v>
      </c>
      <c r="AP198" s="12">
        <f>IF(AND(YEAR(AP$4)&gt;YEAR($E198),$I198&gt;0),MIN($I198/$I$8,$I198-SUM($W198:AO198)),0)</f>
        <v>0</v>
      </c>
      <c r="AQ198" s="12">
        <f>IF(AND(YEAR(AQ$4)&gt;YEAR($E198),$I198&gt;0),MIN($I198/$I$8,$I198-SUM($W198:AP198)),0)</f>
        <v>0</v>
      </c>
      <c r="AR198" s="12">
        <f>IF(AND(YEAR(AR$4)&gt;YEAR($E198),$I198&gt;0),MIN($I198/$I$8,$I198-SUM($W198:AQ198)),0)</f>
        <v>0</v>
      </c>
      <c r="AS198" s="12">
        <f>IF(AND(YEAR(AS$4)&gt;YEAR($E198),$I198&gt;0),MIN($I198/$I$8,$I198-SUM($W198:AR198)),0)</f>
        <v>3.480508426923385</v>
      </c>
      <c r="AT198" s="69">
        <f>IF(AND(YEAR(AT$4)&gt;YEAR($E198),$I198&gt;0),MIN($I198/$I$8,$I198-SUM($W198:AS198)),0)</f>
        <v>3.480508426923385</v>
      </c>
      <c r="AU198" s="152">
        <f>IF(AND(YEAR(AU$4)&gt;YEAR($E198),$I198&gt;0),MIN($I198/$I$8,$I198-SUM($W198:AT198)),0)</f>
        <v>3.480508426923385</v>
      </c>
      <c r="AV198" s="12">
        <f>IF(AND(YEAR(AV$4)&gt;YEAR($E198),$I198&gt;0),MIN($I198/$I$8,$I198-SUM($W198:AU198)),0)</f>
        <v>3.480508426923385</v>
      </c>
      <c r="AW198" s="12">
        <f>IF(AND(YEAR(AW$4)&gt;YEAR($E198),$I198&gt;0),MIN($I198/$I$8,$I198-SUM($W198:AV198)),0)</f>
        <v>3.480508426923385</v>
      </c>
      <c r="AX198" s="12">
        <f>IF(AND(YEAR(AX$4)&gt;YEAR($E198),$I198&gt;0),MIN($I198/$I$8,$I198-SUM($W198:AW198)),0)</f>
        <v>3.480508426923385</v>
      </c>
      <c r="AY198" s="12">
        <f>IF(AND(YEAR(AY$4)&gt;YEAR($E198),$I198&gt;0),MIN($I198/$I$8,$I198-SUM($W198:AX198)),0)</f>
        <v>3.480508426923385</v>
      </c>
      <c r="BA198" s="88" t="str">
        <f t="shared" ca="1" si="94"/>
        <v>Depreciation</v>
      </c>
      <c r="BB198" s="1" t="str">
        <f t="shared" si="95"/>
        <v>Straight line</v>
      </c>
      <c r="BC198" s="1" t="str">
        <f t="shared" si="96"/>
        <v>Depreciation</v>
      </c>
    </row>
    <row r="199" spans="1:55" x14ac:dyDescent="0.35">
      <c r="E199" s="2">
        <v>45747</v>
      </c>
      <c r="G199" t="str">
        <f t="shared" si="93"/>
        <v>£m 23/24 prices</v>
      </c>
      <c r="I199" s="27">
        <v>155.47122631923617</v>
      </c>
      <c r="J199" t="s">
        <v>13</v>
      </c>
      <c r="X199" s="12">
        <f>IF(AND(YEAR(X$4)&gt;YEAR($E199),$I199&gt;0),MIN($I199/$I$8,$I199-SUM($W199:W199)),0)</f>
        <v>0</v>
      </c>
      <c r="Y199" s="12">
        <f>IF(AND(YEAR(Y$4)&gt;YEAR($E199),$I199&gt;0),MIN($I199/$I$8,$I199-SUM($W199:X199)),0)</f>
        <v>0</v>
      </c>
      <c r="Z199" s="12">
        <f>IF(AND(YEAR(Z$4)&gt;YEAR($E199),$I199&gt;0),MIN($I199/$I$8,$I199-SUM($W199:Y199)),0)</f>
        <v>0</v>
      </c>
      <c r="AA199" s="12">
        <f>IF(AND(YEAR(AA$4)&gt;YEAR($E199),$I199&gt;0),MIN($I199/$I$8,$I199-SUM($W199:Z199)),0)</f>
        <v>0</v>
      </c>
      <c r="AB199" s="12">
        <f>IF(AND(YEAR(AB$4)&gt;YEAR($E199),$I199&gt;0),MIN($I199/$I$8,$I199-SUM($W199:AA199)),0)</f>
        <v>0</v>
      </c>
      <c r="AC199" s="12">
        <f>IF(AND(YEAR(AC$4)&gt;YEAR($E199),$I199&gt;0),MIN($I199/$I$8,$I199-SUM($W199:AB199)),0)</f>
        <v>0</v>
      </c>
      <c r="AD199" s="12">
        <f>IF(AND(YEAR(AD$4)&gt;YEAR($E199),$I199&gt;0),MIN($I199/$I$8,$I199-SUM($W199:AC199)),0)</f>
        <v>0</v>
      </c>
      <c r="AE199" s="12">
        <f>IF(AND(YEAR(AE$4)&gt;YEAR($E199),$I199&gt;0),MIN($I199/$I$8,$I199-SUM($W199:AD199)),0)</f>
        <v>0</v>
      </c>
      <c r="AF199" s="12">
        <f>IF(AND(YEAR(AF$4)&gt;YEAR($E199),$I199&gt;0),MIN($I199/$I$8,$I199-SUM($W199:AE199)),0)</f>
        <v>0</v>
      </c>
      <c r="AG199" s="12">
        <f>IF(AND(YEAR(AG$4)&gt;YEAR($E199),$I199&gt;0),MIN($I199/$I$8,$I199-SUM($W199:AF199)),0)</f>
        <v>0</v>
      </c>
      <c r="AH199" s="12">
        <f>IF(AND(YEAR(AH$4)&gt;YEAR($E199),$I199&gt;0),MIN($I199/$I$8,$I199-SUM($W199:AG199)),0)</f>
        <v>0</v>
      </c>
      <c r="AI199" s="12">
        <f>IF(AND(YEAR(AI$4)&gt;YEAR($E199),$I199&gt;0),MIN($I199/$I$8,$I199-SUM($W199:AH199)),0)</f>
        <v>0</v>
      </c>
      <c r="AJ199" s="12">
        <f>IF(AND(YEAR(AJ$4)&gt;YEAR($E199),$I199&gt;0),MIN($I199/$I$8,$I199-SUM($W199:AI199)),0)</f>
        <v>0</v>
      </c>
      <c r="AK199" s="12">
        <f>IF(AND(YEAR(AK$4)&gt;YEAR($E199),$I199&gt;0),MIN($I199/$I$8,$I199-SUM($W199:AJ199)),0)</f>
        <v>0</v>
      </c>
      <c r="AL199" s="12">
        <f>IF(AND(YEAR(AL$4)&gt;YEAR($E199),$I199&gt;0),MIN($I199/$I$8,$I199-SUM($W199:AK199)),0)</f>
        <v>0</v>
      </c>
      <c r="AM199" s="12">
        <f>IF(AND(YEAR(AM$4)&gt;YEAR($E199),$I199&gt;0),MIN($I199/$I$8,$I199-SUM($W199:AL199)),0)</f>
        <v>0</v>
      </c>
      <c r="AN199" s="12">
        <f>IF(AND(YEAR(AN$4)&gt;YEAR($E199),$I199&gt;0),MIN($I199/$I$8,$I199-SUM($W199:AM199)),0)</f>
        <v>0</v>
      </c>
      <c r="AO199" s="12">
        <f>IF(AND(YEAR(AO$4)&gt;YEAR($E199),$I199&gt;0),MIN($I199/$I$8,$I199-SUM($W199:AN199)),0)</f>
        <v>0</v>
      </c>
      <c r="AP199" s="12">
        <f>IF(AND(YEAR(AP$4)&gt;YEAR($E199),$I199&gt;0),MIN($I199/$I$8,$I199-SUM($W199:AO199)),0)</f>
        <v>0</v>
      </c>
      <c r="AQ199" s="12">
        <f>IF(AND(YEAR(AQ$4)&gt;YEAR($E199),$I199&gt;0),MIN($I199/$I$8,$I199-SUM($W199:AP199)),0)</f>
        <v>0</v>
      </c>
      <c r="AR199" s="12">
        <f>IF(AND(YEAR(AR$4)&gt;YEAR($E199),$I199&gt;0),MIN($I199/$I$8,$I199-SUM($W199:AQ199)),0)</f>
        <v>0</v>
      </c>
      <c r="AS199" s="12">
        <f>IF(AND(YEAR(AS$4)&gt;YEAR($E199),$I199&gt;0),MIN($I199/$I$8,$I199-SUM($W199:AR199)),0)</f>
        <v>0</v>
      </c>
      <c r="AT199" s="69">
        <f>IF(AND(YEAR(AT$4)&gt;YEAR($E199),$I199&gt;0),MIN($I199/$I$8,$I199-SUM($W199:AS199)),0)</f>
        <v>3.4549161404274704</v>
      </c>
      <c r="AU199" s="152">
        <f>IF(AND(YEAR(AU$4)&gt;YEAR($E199),$I199&gt;0),MIN($I199/$I$8,$I199-SUM($W199:AT199)),0)</f>
        <v>3.4549161404274704</v>
      </c>
      <c r="AV199" s="12">
        <f>IF(AND(YEAR(AV$4)&gt;YEAR($E199),$I199&gt;0),MIN($I199/$I$8,$I199-SUM($W199:AU199)),0)</f>
        <v>3.4549161404274704</v>
      </c>
      <c r="AW199" s="12">
        <f>IF(AND(YEAR(AW$4)&gt;YEAR($E199),$I199&gt;0),MIN($I199/$I$8,$I199-SUM($W199:AV199)),0)</f>
        <v>3.4549161404274704</v>
      </c>
      <c r="AX199" s="12">
        <f>IF(AND(YEAR(AX$4)&gt;YEAR($E199),$I199&gt;0),MIN($I199/$I$8,$I199-SUM($W199:AW199)),0)</f>
        <v>3.4549161404274704</v>
      </c>
      <c r="AY199" s="12">
        <f>IF(AND(YEAR(AY$4)&gt;YEAR($E199),$I199&gt;0),MIN($I199/$I$8,$I199-SUM($W199:AX199)),0)</f>
        <v>3.4549161404274704</v>
      </c>
      <c r="BA199" s="88" t="str">
        <f t="shared" ca="1" si="94"/>
        <v>Depreciation</v>
      </c>
      <c r="BB199" s="1" t="str">
        <f t="shared" si="95"/>
        <v>Straight line</v>
      </c>
      <c r="BC199" s="1" t="str">
        <f t="shared" si="96"/>
        <v>Depreciation</v>
      </c>
    </row>
    <row r="200" spans="1:55" x14ac:dyDescent="0.35">
      <c r="E200" s="2">
        <v>46112</v>
      </c>
      <c r="G200" t="str">
        <f t="shared" si="93"/>
        <v>£m 23/24 prices</v>
      </c>
      <c r="I200" s="27">
        <v>165.11064032006806</v>
      </c>
      <c r="J200" t="s">
        <v>13</v>
      </c>
      <c r="X200" s="12">
        <f>IF(AND(YEAR(X$4)&gt;YEAR($E200),$I200&gt;0),MIN($I200/$I$8,$I200-SUM($W200:W200)),0)</f>
        <v>0</v>
      </c>
      <c r="Y200" s="12">
        <f>IF(AND(YEAR(Y$4)&gt;YEAR($E200),$I200&gt;0),MIN($I200/$I$8,$I200-SUM($W200:X200)),0)</f>
        <v>0</v>
      </c>
      <c r="Z200" s="12">
        <f>IF(AND(YEAR(Z$4)&gt;YEAR($E200),$I200&gt;0),MIN($I200/$I$8,$I200-SUM($W200:Y200)),0)</f>
        <v>0</v>
      </c>
      <c r="AA200" s="12">
        <f>IF(AND(YEAR(AA$4)&gt;YEAR($E200),$I200&gt;0),MIN($I200/$I$8,$I200-SUM($W200:Z200)),0)</f>
        <v>0</v>
      </c>
      <c r="AB200" s="12">
        <f>IF(AND(YEAR(AB$4)&gt;YEAR($E200),$I200&gt;0),MIN($I200/$I$8,$I200-SUM($W200:AA200)),0)</f>
        <v>0</v>
      </c>
      <c r="AC200" s="12">
        <f>IF(AND(YEAR(AC$4)&gt;YEAR($E200),$I200&gt;0),MIN($I200/$I$8,$I200-SUM($W200:AB200)),0)</f>
        <v>0</v>
      </c>
      <c r="AD200" s="12">
        <f>IF(AND(YEAR(AD$4)&gt;YEAR($E200),$I200&gt;0),MIN($I200/$I$8,$I200-SUM($W200:AC200)),0)</f>
        <v>0</v>
      </c>
      <c r="AE200" s="12">
        <f>IF(AND(YEAR(AE$4)&gt;YEAR($E200),$I200&gt;0),MIN($I200/$I$8,$I200-SUM($W200:AD200)),0)</f>
        <v>0</v>
      </c>
      <c r="AF200" s="12">
        <f>IF(AND(YEAR(AF$4)&gt;YEAR($E200),$I200&gt;0),MIN($I200/$I$8,$I200-SUM($W200:AE200)),0)</f>
        <v>0</v>
      </c>
      <c r="AG200" s="12">
        <f>IF(AND(YEAR(AG$4)&gt;YEAR($E200),$I200&gt;0),MIN($I200/$I$8,$I200-SUM($W200:AF200)),0)</f>
        <v>0</v>
      </c>
      <c r="AH200" s="12">
        <f>IF(AND(YEAR(AH$4)&gt;YEAR($E200),$I200&gt;0),MIN($I200/$I$8,$I200-SUM($W200:AG200)),0)</f>
        <v>0</v>
      </c>
      <c r="AI200" s="12">
        <f>IF(AND(YEAR(AI$4)&gt;YEAR($E200),$I200&gt;0),MIN($I200/$I$8,$I200-SUM($W200:AH200)),0)</f>
        <v>0</v>
      </c>
      <c r="AJ200" s="12">
        <f>IF(AND(YEAR(AJ$4)&gt;YEAR($E200),$I200&gt;0),MIN($I200/$I$8,$I200-SUM($W200:AI200)),0)</f>
        <v>0</v>
      </c>
      <c r="AK200" s="12">
        <f>IF(AND(YEAR(AK$4)&gt;YEAR($E200),$I200&gt;0),MIN($I200/$I$8,$I200-SUM($W200:AJ200)),0)</f>
        <v>0</v>
      </c>
      <c r="AL200" s="12">
        <f>IF(AND(YEAR(AL$4)&gt;YEAR($E200),$I200&gt;0),MIN($I200/$I$8,$I200-SUM($W200:AK200)),0)</f>
        <v>0</v>
      </c>
      <c r="AM200" s="12">
        <f>IF(AND(YEAR(AM$4)&gt;YEAR($E200),$I200&gt;0),MIN($I200/$I$8,$I200-SUM($W200:AL200)),0)</f>
        <v>0</v>
      </c>
      <c r="AN200" s="12">
        <f>IF(AND(YEAR(AN$4)&gt;YEAR($E200),$I200&gt;0),MIN($I200/$I$8,$I200-SUM($W200:AM200)),0)</f>
        <v>0</v>
      </c>
      <c r="AO200" s="12">
        <f>IF(AND(YEAR(AO$4)&gt;YEAR($E200),$I200&gt;0),MIN($I200/$I$8,$I200-SUM($W200:AN200)),0)</f>
        <v>0</v>
      </c>
      <c r="AP200" s="12">
        <f>IF(AND(YEAR(AP$4)&gt;YEAR($E200),$I200&gt;0),MIN($I200/$I$8,$I200-SUM($W200:AO200)),0)</f>
        <v>0</v>
      </c>
      <c r="AQ200" s="12">
        <f>IF(AND(YEAR(AQ$4)&gt;YEAR($E200),$I200&gt;0),MIN($I200/$I$8,$I200-SUM($W200:AP200)),0)</f>
        <v>0</v>
      </c>
      <c r="AR200" s="12">
        <f>IF(AND(YEAR(AR$4)&gt;YEAR($E200),$I200&gt;0),MIN($I200/$I$8,$I200-SUM($W200:AQ200)),0)</f>
        <v>0</v>
      </c>
      <c r="AS200" s="12">
        <f>IF(AND(YEAR(AS$4)&gt;YEAR($E200),$I200&gt;0),MIN($I200/$I$8,$I200-SUM($W200:AR200)),0)</f>
        <v>0</v>
      </c>
      <c r="AT200" s="69">
        <f>IF(AND(YEAR(AT$4)&gt;YEAR($E200),$I200&gt;0),MIN($I200/$I$8,$I200-SUM($W200:AS200)),0)</f>
        <v>0</v>
      </c>
      <c r="AU200" s="152">
        <f>IF(AND(YEAR(AU$4)&gt;YEAR($E200),$I200&gt;0),MIN($I200/$I$8,$I200-SUM($W200:AT200)),0)</f>
        <v>3.669125340445957</v>
      </c>
      <c r="AV200" s="12">
        <f>IF(AND(YEAR(AV$4)&gt;YEAR($E200),$I200&gt;0),MIN($I200/$I$8,$I200-SUM($W200:AU200)),0)</f>
        <v>3.669125340445957</v>
      </c>
      <c r="AW200" s="12">
        <f>IF(AND(YEAR(AW$4)&gt;YEAR($E200),$I200&gt;0),MIN($I200/$I$8,$I200-SUM($W200:AV200)),0)</f>
        <v>3.669125340445957</v>
      </c>
      <c r="AX200" s="12">
        <f>IF(AND(YEAR(AX$4)&gt;YEAR($E200),$I200&gt;0),MIN($I200/$I$8,$I200-SUM($W200:AW200)),0)</f>
        <v>3.669125340445957</v>
      </c>
      <c r="AY200" s="12">
        <f>IF(AND(YEAR(AY$4)&gt;YEAR($E200),$I200&gt;0),MIN($I200/$I$8,$I200-SUM($W200:AX200)),0)</f>
        <v>3.669125340445957</v>
      </c>
      <c r="BA200" s="88" t="str">
        <f t="shared" ca="1" si="94"/>
        <v>Depreciation</v>
      </c>
      <c r="BB200" s="1" t="str">
        <f t="shared" si="95"/>
        <v>Straight line</v>
      </c>
      <c r="BC200" s="1" t="str">
        <f t="shared" si="96"/>
        <v>Depreciation</v>
      </c>
    </row>
    <row r="201" spans="1:55" x14ac:dyDescent="0.35">
      <c r="E201" s="2">
        <v>46477</v>
      </c>
      <c r="G201" t="str">
        <f t="shared" si="93"/>
        <v>£m 23/24 prices</v>
      </c>
      <c r="I201" s="27">
        <v>141.10107924986119</v>
      </c>
      <c r="J201" t="s">
        <v>13</v>
      </c>
      <c r="X201" s="12">
        <f>IF(AND(YEAR(X$4)&gt;YEAR($E201),$I201&gt;0),MIN($I201/$I$8,$I201-SUM($W201:W201)),0)</f>
        <v>0</v>
      </c>
      <c r="Y201" s="12">
        <f>IF(AND(YEAR(Y$4)&gt;YEAR($E201),$I201&gt;0),MIN($I201/$I$8,$I201-SUM($W201:X201)),0)</f>
        <v>0</v>
      </c>
      <c r="Z201" s="12">
        <f>IF(AND(YEAR(Z$4)&gt;YEAR($E201),$I201&gt;0),MIN($I201/$I$8,$I201-SUM($W201:Y201)),0)</f>
        <v>0</v>
      </c>
      <c r="AA201" s="12">
        <f>IF(AND(YEAR(AA$4)&gt;YEAR($E201),$I201&gt;0),MIN($I201/$I$8,$I201-SUM($W201:Z201)),0)</f>
        <v>0</v>
      </c>
      <c r="AB201" s="12">
        <f>IF(AND(YEAR(AB$4)&gt;YEAR($E201),$I201&gt;0),MIN($I201/$I$8,$I201-SUM($W201:AA201)),0)</f>
        <v>0</v>
      </c>
      <c r="AC201" s="12">
        <f>IF(AND(YEAR(AC$4)&gt;YEAR($E201),$I201&gt;0),MIN($I201/$I$8,$I201-SUM($W201:AB201)),0)</f>
        <v>0</v>
      </c>
      <c r="AD201" s="12">
        <f>IF(AND(YEAR(AD$4)&gt;YEAR($E201),$I201&gt;0),MIN($I201/$I$8,$I201-SUM($W201:AC201)),0)</f>
        <v>0</v>
      </c>
      <c r="AE201" s="12">
        <f>IF(AND(YEAR(AE$4)&gt;YEAR($E201),$I201&gt;0),MIN($I201/$I$8,$I201-SUM($W201:AD201)),0)</f>
        <v>0</v>
      </c>
      <c r="AF201" s="12">
        <f>IF(AND(YEAR(AF$4)&gt;YEAR($E201),$I201&gt;0),MIN($I201/$I$8,$I201-SUM($W201:AE201)),0)</f>
        <v>0</v>
      </c>
      <c r="AG201" s="12">
        <f>IF(AND(YEAR(AG$4)&gt;YEAR($E201),$I201&gt;0),MIN($I201/$I$8,$I201-SUM($W201:AF201)),0)</f>
        <v>0</v>
      </c>
      <c r="AH201" s="12">
        <f>IF(AND(YEAR(AH$4)&gt;YEAR($E201),$I201&gt;0),MIN($I201/$I$8,$I201-SUM($W201:AG201)),0)</f>
        <v>0</v>
      </c>
      <c r="AI201" s="12">
        <f>IF(AND(YEAR(AI$4)&gt;YEAR($E201),$I201&gt;0),MIN($I201/$I$8,$I201-SUM($W201:AH201)),0)</f>
        <v>0</v>
      </c>
      <c r="AJ201" s="12">
        <f>IF(AND(YEAR(AJ$4)&gt;YEAR($E201),$I201&gt;0),MIN($I201/$I$8,$I201-SUM($W201:AI201)),0)</f>
        <v>0</v>
      </c>
      <c r="AK201" s="12">
        <f>IF(AND(YEAR(AK$4)&gt;YEAR($E201),$I201&gt;0),MIN($I201/$I$8,$I201-SUM($W201:AJ201)),0)</f>
        <v>0</v>
      </c>
      <c r="AL201" s="12">
        <f>IF(AND(YEAR(AL$4)&gt;YEAR($E201),$I201&gt;0),MIN($I201/$I$8,$I201-SUM($W201:AK201)),0)</f>
        <v>0</v>
      </c>
      <c r="AM201" s="12">
        <f>IF(AND(YEAR(AM$4)&gt;YEAR($E201),$I201&gt;0),MIN($I201/$I$8,$I201-SUM($W201:AL201)),0)</f>
        <v>0</v>
      </c>
      <c r="AN201" s="12">
        <f>IF(AND(YEAR(AN$4)&gt;YEAR($E201),$I201&gt;0),MIN($I201/$I$8,$I201-SUM($W201:AM201)),0)</f>
        <v>0</v>
      </c>
      <c r="AO201" s="12">
        <f>IF(AND(YEAR(AO$4)&gt;YEAR($E201),$I201&gt;0),MIN($I201/$I$8,$I201-SUM($W201:AN201)),0)</f>
        <v>0</v>
      </c>
      <c r="AP201" s="12">
        <f>IF(AND(YEAR(AP$4)&gt;YEAR($E201),$I201&gt;0),MIN($I201/$I$8,$I201-SUM($W201:AO201)),0)</f>
        <v>0</v>
      </c>
      <c r="AQ201" s="12">
        <f>IF(AND(YEAR(AQ$4)&gt;YEAR($E201),$I201&gt;0),MIN($I201/$I$8,$I201-SUM($W201:AP201)),0)</f>
        <v>0</v>
      </c>
      <c r="AR201" s="12">
        <f>IF(AND(YEAR(AR$4)&gt;YEAR($E201),$I201&gt;0),MIN($I201/$I$8,$I201-SUM($W201:AQ201)),0)</f>
        <v>0</v>
      </c>
      <c r="AS201" s="12">
        <f>IF(AND(YEAR(AS$4)&gt;YEAR($E201),$I201&gt;0),MIN($I201/$I$8,$I201-SUM($W201:AR201)),0)</f>
        <v>0</v>
      </c>
      <c r="AT201" s="69">
        <f>IF(AND(YEAR(AT$4)&gt;YEAR($E201),$I201&gt;0),MIN($I201/$I$8,$I201-SUM($W201:AS201)),0)</f>
        <v>0</v>
      </c>
      <c r="AU201" s="152">
        <f>IF(AND(YEAR(AU$4)&gt;YEAR($E201),$I201&gt;0),MIN($I201/$I$8,$I201-SUM($W201:AT201)),0)</f>
        <v>0</v>
      </c>
      <c r="AV201" s="12">
        <f>IF(AND(YEAR(AV$4)&gt;YEAR($E201),$I201&gt;0),MIN($I201/$I$8,$I201-SUM($W201:AU201)),0)</f>
        <v>3.1355795388858043</v>
      </c>
      <c r="AW201" s="12">
        <f>IF(AND(YEAR(AW$4)&gt;YEAR($E201),$I201&gt;0),MIN($I201/$I$8,$I201-SUM($W201:AV201)),0)</f>
        <v>3.1355795388858043</v>
      </c>
      <c r="AX201" s="12">
        <f>IF(AND(YEAR(AX$4)&gt;YEAR($E201),$I201&gt;0),MIN($I201/$I$8,$I201-SUM($W201:AW201)),0)</f>
        <v>3.1355795388858043</v>
      </c>
      <c r="AY201" s="12">
        <f>IF(AND(YEAR(AY$4)&gt;YEAR($E201),$I201&gt;0),MIN($I201/$I$8,$I201-SUM($W201:AX201)),0)</f>
        <v>3.1355795388858043</v>
      </c>
      <c r="BA201" s="88" t="str">
        <f t="shared" ca="1" si="94"/>
        <v>Depreciation</v>
      </c>
      <c r="BB201" s="1" t="str">
        <f t="shared" si="95"/>
        <v>Straight line</v>
      </c>
      <c r="BC201" s="1" t="str">
        <f t="shared" si="96"/>
        <v>Depreciation</v>
      </c>
    </row>
    <row r="202" spans="1:55" x14ac:dyDescent="0.35">
      <c r="E202" s="2">
        <v>46843</v>
      </c>
      <c r="G202" t="str">
        <f t="shared" si="93"/>
        <v>£m 23/24 prices</v>
      </c>
      <c r="I202" s="27">
        <v>150.03052575401802</v>
      </c>
      <c r="J202" t="s">
        <v>13</v>
      </c>
      <c r="X202" s="12">
        <f>IF(AND(YEAR(X$4)&gt;YEAR($E202),$I202&gt;0),MIN($I202/$I$8,$I202-SUM($W202:W202)),0)</f>
        <v>0</v>
      </c>
      <c r="Y202" s="12">
        <f>IF(AND(YEAR(Y$4)&gt;YEAR($E202),$I202&gt;0),MIN($I202/$I$8,$I202-SUM($W202:X202)),0)</f>
        <v>0</v>
      </c>
      <c r="Z202" s="12">
        <f>IF(AND(YEAR(Z$4)&gt;YEAR($E202),$I202&gt;0),MIN($I202/$I$8,$I202-SUM($W202:Y202)),0)</f>
        <v>0</v>
      </c>
      <c r="AA202" s="12">
        <f>IF(AND(YEAR(AA$4)&gt;YEAR($E202),$I202&gt;0),MIN($I202/$I$8,$I202-SUM($W202:Z202)),0)</f>
        <v>0</v>
      </c>
      <c r="AB202" s="12">
        <f>IF(AND(YEAR(AB$4)&gt;YEAR($E202),$I202&gt;0),MIN($I202/$I$8,$I202-SUM($W202:AA202)),0)</f>
        <v>0</v>
      </c>
      <c r="AC202" s="12">
        <f>IF(AND(YEAR(AC$4)&gt;YEAR($E202),$I202&gt;0),MIN($I202/$I$8,$I202-SUM($W202:AB202)),0)</f>
        <v>0</v>
      </c>
      <c r="AD202" s="12">
        <f>IF(AND(YEAR(AD$4)&gt;YEAR($E202),$I202&gt;0),MIN($I202/$I$8,$I202-SUM($W202:AC202)),0)</f>
        <v>0</v>
      </c>
      <c r="AE202" s="12">
        <f>IF(AND(YEAR(AE$4)&gt;YEAR($E202),$I202&gt;0),MIN($I202/$I$8,$I202-SUM($W202:AD202)),0)</f>
        <v>0</v>
      </c>
      <c r="AF202" s="12">
        <f>IF(AND(YEAR(AF$4)&gt;YEAR($E202),$I202&gt;0),MIN($I202/$I$8,$I202-SUM($W202:AE202)),0)</f>
        <v>0</v>
      </c>
      <c r="AG202" s="12">
        <f>IF(AND(YEAR(AG$4)&gt;YEAR($E202),$I202&gt;0),MIN($I202/$I$8,$I202-SUM($W202:AF202)),0)</f>
        <v>0</v>
      </c>
      <c r="AH202" s="12">
        <f>IF(AND(YEAR(AH$4)&gt;YEAR($E202),$I202&gt;0),MIN($I202/$I$8,$I202-SUM($W202:AG202)),0)</f>
        <v>0</v>
      </c>
      <c r="AI202" s="12">
        <f>IF(AND(YEAR(AI$4)&gt;YEAR($E202),$I202&gt;0),MIN($I202/$I$8,$I202-SUM($W202:AH202)),0)</f>
        <v>0</v>
      </c>
      <c r="AJ202" s="12">
        <f>IF(AND(YEAR(AJ$4)&gt;YEAR($E202),$I202&gt;0),MIN($I202/$I$8,$I202-SUM($W202:AI202)),0)</f>
        <v>0</v>
      </c>
      <c r="AK202" s="12">
        <f>IF(AND(YEAR(AK$4)&gt;YEAR($E202),$I202&gt;0),MIN($I202/$I$8,$I202-SUM($W202:AJ202)),0)</f>
        <v>0</v>
      </c>
      <c r="AL202" s="12">
        <f>IF(AND(YEAR(AL$4)&gt;YEAR($E202),$I202&gt;0),MIN($I202/$I$8,$I202-SUM($W202:AK202)),0)</f>
        <v>0</v>
      </c>
      <c r="AM202" s="12">
        <f>IF(AND(YEAR(AM$4)&gt;YEAR($E202),$I202&gt;0),MIN($I202/$I$8,$I202-SUM($W202:AL202)),0)</f>
        <v>0</v>
      </c>
      <c r="AN202" s="12">
        <f>IF(AND(YEAR(AN$4)&gt;YEAR($E202),$I202&gt;0),MIN($I202/$I$8,$I202-SUM($W202:AM202)),0)</f>
        <v>0</v>
      </c>
      <c r="AO202" s="12">
        <f>IF(AND(YEAR(AO$4)&gt;YEAR($E202),$I202&gt;0),MIN($I202/$I$8,$I202-SUM($W202:AN202)),0)</f>
        <v>0</v>
      </c>
      <c r="AP202" s="12">
        <f>IF(AND(YEAR(AP$4)&gt;YEAR($E202),$I202&gt;0),MIN($I202/$I$8,$I202-SUM($W202:AO202)),0)</f>
        <v>0</v>
      </c>
      <c r="AQ202" s="12">
        <f>IF(AND(YEAR(AQ$4)&gt;YEAR($E202),$I202&gt;0),MIN($I202/$I$8,$I202-SUM($W202:AP202)),0)</f>
        <v>0</v>
      </c>
      <c r="AR202" s="12">
        <f>IF(AND(YEAR(AR$4)&gt;YEAR($E202),$I202&gt;0),MIN($I202/$I$8,$I202-SUM($W202:AQ202)),0)</f>
        <v>0</v>
      </c>
      <c r="AS202" s="12">
        <f>IF(AND(YEAR(AS$4)&gt;YEAR($E202),$I202&gt;0),MIN($I202/$I$8,$I202-SUM($W202:AR202)),0)</f>
        <v>0</v>
      </c>
      <c r="AT202" s="69">
        <f>IF(AND(YEAR(AT$4)&gt;YEAR($E202),$I202&gt;0),MIN($I202/$I$8,$I202-SUM($W202:AS202)),0)</f>
        <v>0</v>
      </c>
      <c r="AU202" s="152">
        <f>IF(AND(YEAR(AU$4)&gt;YEAR($E202),$I202&gt;0),MIN($I202/$I$8,$I202-SUM($W202:AT202)),0)</f>
        <v>0</v>
      </c>
      <c r="AV202" s="12">
        <f>IF(AND(YEAR(AV$4)&gt;YEAR($E202),$I202&gt;0),MIN($I202/$I$8,$I202-SUM($W202:AU202)),0)</f>
        <v>0</v>
      </c>
      <c r="AW202" s="12">
        <f>IF(AND(YEAR(AW$4)&gt;YEAR($E202),$I202&gt;0),MIN($I202/$I$8,$I202-SUM($W202:AV202)),0)</f>
        <v>3.3340116834226228</v>
      </c>
      <c r="AX202" s="12">
        <f>IF(AND(YEAR(AX$4)&gt;YEAR($E202),$I202&gt;0),MIN($I202/$I$8,$I202-SUM($W202:AW202)),0)</f>
        <v>3.3340116834226228</v>
      </c>
      <c r="AY202" s="12">
        <f>IF(AND(YEAR(AY$4)&gt;YEAR($E202),$I202&gt;0),MIN($I202/$I$8,$I202-SUM($W202:AX202)),0)</f>
        <v>3.3340116834226228</v>
      </c>
      <c r="BA202" s="88" t="str">
        <f t="shared" ca="1" si="94"/>
        <v>Depreciation</v>
      </c>
      <c r="BB202" s="1" t="str">
        <f t="shared" si="95"/>
        <v>Straight line</v>
      </c>
      <c r="BC202" s="1" t="str">
        <f t="shared" si="96"/>
        <v>Depreciation</v>
      </c>
    </row>
    <row r="203" spans="1:55" x14ac:dyDescent="0.35">
      <c r="E203" s="2">
        <v>47208</v>
      </c>
      <c r="G203" t="str">
        <f t="shared" si="93"/>
        <v>£m 23/24 prices</v>
      </c>
      <c r="I203" s="27">
        <v>148.88047451639065</v>
      </c>
      <c r="J203" t="s">
        <v>13</v>
      </c>
      <c r="X203" s="12">
        <f>IF(AND(YEAR(X$4)&gt;YEAR($E203),$I203&gt;0),MIN($I203/$I$8,$I203-SUM($W203:W203)),0)</f>
        <v>0</v>
      </c>
      <c r="Y203" s="12">
        <f>IF(AND(YEAR(Y$4)&gt;YEAR($E203),$I203&gt;0),MIN($I203/$I$8,$I203-SUM($W203:X203)),0)</f>
        <v>0</v>
      </c>
      <c r="Z203" s="12">
        <f>IF(AND(YEAR(Z$4)&gt;YEAR($E203),$I203&gt;0),MIN($I203/$I$8,$I203-SUM($W203:Y203)),0)</f>
        <v>0</v>
      </c>
      <c r="AA203" s="12">
        <f>IF(AND(YEAR(AA$4)&gt;YEAR($E203),$I203&gt;0),MIN($I203/$I$8,$I203-SUM($W203:Z203)),0)</f>
        <v>0</v>
      </c>
      <c r="AB203" s="12">
        <f>IF(AND(YEAR(AB$4)&gt;YEAR($E203),$I203&gt;0),MIN($I203/$I$8,$I203-SUM($W203:AA203)),0)</f>
        <v>0</v>
      </c>
      <c r="AC203" s="12">
        <f>IF(AND(YEAR(AC$4)&gt;YEAR($E203),$I203&gt;0),MIN($I203/$I$8,$I203-SUM($W203:AB203)),0)</f>
        <v>0</v>
      </c>
      <c r="AD203" s="12">
        <f>IF(AND(YEAR(AD$4)&gt;YEAR($E203),$I203&gt;0),MIN($I203/$I$8,$I203-SUM($W203:AC203)),0)</f>
        <v>0</v>
      </c>
      <c r="AE203" s="12">
        <f>IF(AND(YEAR(AE$4)&gt;YEAR($E203),$I203&gt;0),MIN($I203/$I$8,$I203-SUM($W203:AD203)),0)</f>
        <v>0</v>
      </c>
      <c r="AF203" s="12">
        <f>IF(AND(YEAR(AF$4)&gt;YEAR($E203),$I203&gt;0),MIN($I203/$I$8,$I203-SUM($W203:AE203)),0)</f>
        <v>0</v>
      </c>
      <c r="AG203" s="12">
        <f>IF(AND(YEAR(AG$4)&gt;YEAR($E203),$I203&gt;0),MIN($I203/$I$8,$I203-SUM($W203:AF203)),0)</f>
        <v>0</v>
      </c>
      <c r="AH203" s="12">
        <f>IF(AND(YEAR(AH$4)&gt;YEAR($E203),$I203&gt;0),MIN($I203/$I$8,$I203-SUM($W203:AG203)),0)</f>
        <v>0</v>
      </c>
      <c r="AI203" s="12">
        <f>IF(AND(YEAR(AI$4)&gt;YEAR($E203),$I203&gt;0),MIN($I203/$I$8,$I203-SUM($W203:AH203)),0)</f>
        <v>0</v>
      </c>
      <c r="AJ203" s="12">
        <f>IF(AND(YEAR(AJ$4)&gt;YEAR($E203),$I203&gt;0),MIN($I203/$I$8,$I203-SUM($W203:AI203)),0)</f>
        <v>0</v>
      </c>
      <c r="AK203" s="12">
        <f>IF(AND(YEAR(AK$4)&gt;YEAR($E203),$I203&gt;0),MIN($I203/$I$8,$I203-SUM($W203:AJ203)),0)</f>
        <v>0</v>
      </c>
      <c r="AL203" s="12">
        <f>IF(AND(YEAR(AL$4)&gt;YEAR($E203),$I203&gt;0),MIN($I203/$I$8,$I203-SUM($W203:AK203)),0)</f>
        <v>0</v>
      </c>
      <c r="AM203" s="12">
        <f>IF(AND(YEAR(AM$4)&gt;YEAR($E203),$I203&gt;0),MIN($I203/$I$8,$I203-SUM($W203:AL203)),0)</f>
        <v>0</v>
      </c>
      <c r="AN203" s="12">
        <f>IF(AND(YEAR(AN$4)&gt;YEAR($E203),$I203&gt;0),MIN($I203/$I$8,$I203-SUM($W203:AM203)),0)</f>
        <v>0</v>
      </c>
      <c r="AO203" s="12">
        <f>IF(AND(YEAR(AO$4)&gt;YEAR($E203),$I203&gt;0),MIN($I203/$I$8,$I203-SUM($W203:AN203)),0)</f>
        <v>0</v>
      </c>
      <c r="AP203" s="12">
        <f>IF(AND(YEAR(AP$4)&gt;YEAR($E203),$I203&gt;0),MIN($I203/$I$8,$I203-SUM($W203:AO203)),0)</f>
        <v>0</v>
      </c>
      <c r="AQ203" s="12">
        <f>IF(AND(YEAR(AQ$4)&gt;YEAR($E203),$I203&gt;0),MIN($I203/$I$8,$I203-SUM($W203:AP203)),0)</f>
        <v>0</v>
      </c>
      <c r="AR203" s="12">
        <f>IF(AND(YEAR(AR$4)&gt;YEAR($E203),$I203&gt;0),MIN($I203/$I$8,$I203-SUM($W203:AQ203)),0)</f>
        <v>0</v>
      </c>
      <c r="AS203" s="12">
        <f>IF(AND(YEAR(AS$4)&gt;YEAR($E203),$I203&gt;0),MIN($I203/$I$8,$I203-SUM($W203:AR203)),0)</f>
        <v>0</v>
      </c>
      <c r="AT203" s="69">
        <f>IF(AND(YEAR(AT$4)&gt;YEAR($E203),$I203&gt;0),MIN($I203/$I$8,$I203-SUM($W203:AS203)),0)</f>
        <v>0</v>
      </c>
      <c r="AU203" s="152">
        <f>IF(AND(YEAR(AU$4)&gt;YEAR($E203),$I203&gt;0),MIN($I203/$I$8,$I203-SUM($W203:AT203)),0)</f>
        <v>0</v>
      </c>
      <c r="AV203" s="12">
        <f>IF(AND(YEAR(AV$4)&gt;YEAR($E203),$I203&gt;0),MIN($I203/$I$8,$I203-SUM($W203:AU203)),0)</f>
        <v>0</v>
      </c>
      <c r="AW203" s="12">
        <f>IF(AND(YEAR(AW$4)&gt;YEAR($E203),$I203&gt;0),MIN($I203/$I$8,$I203-SUM($W203:AV203)),0)</f>
        <v>0</v>
      </c>
      <c r="AX203" s="12">
        <f>IF(AND(YEAR(AX$4)&gt;YEAR($E203),$I203&gt;0),MIN($I203/$I$8,$I203-SUM($W203:AW203)),0)</f>
        <v>3.3084549892531254</v>
      </c>
      <c r="AY203" s="12">
        <f>IF(AND(YEAR(AY$4)&gt;YEAR($E203),$I203&gt;0),MIN($I203/$I$8,$I203-SUM($W203:AX203)),0)</f>
        <v>3.3084549892531254</v>
      </c>
      <c r="BA203" s="88" t="str">
        <f t="shared" ca="1" si="94"/>
        <v>Depreciation</v>
      </c>
      <c r="BB203" s="1" t="str">
        <f t="shared" si="95"/>
        <v>Straight line</v>
      </c>
      <c r="BC203" s="1" t="str">
        <f t="shared" si="96"/>
        <v>Depreciation</v>
      </c>
    </row>
    <row r="204" spans="1:55" x14ac:dyDescent="0.35">
      <c r="E204" s="2">
        <v>47573</v>
      </c>
      <c r="G204" t="str">
        <f t="shared" si="93"/>
        <v>£m 23/24 prices</v>
      </c>
      <c r="I204" s="27">
        <v>145.57159215483762</v>
      </c>
      <c r="J204" t="s">
        <v>13</v>
      </c>
      <c r="X204" s="12">
        <f>IF(AND(YEAR(X$4)&gt;YEAR($E204),$I204&gt;0),MIN($I204/$I$8,$I204-SUM($W204:W204)),0)</f>
        <v>0</v>
      </c>
      <c r="Y204" s="12">
        <f>IF(AND(YEAR(Y$4)&gt;YEAR($E204),$I204&gt;0),MIN($I204/$I$8,$I204-SUM($W204:X204)),0)</f>
        <v>0</v>
      </c>
      <c r="Z204" s="12">
        <f>IF(AND(YEAR(Z$4)&gt;YEAR($E204),$I204&gt;0),MIN($I204/$I$8,$I204-SUM($W204:Y204)),0)</f>
        <v>0</v>
      </c>
      <c r="AA204" s="12">
        <f>IF(AND(YEAR(AA$4)&gt;YEAR($E204),$I204&gt;0),MIN($I204/$I$8,$I204-SUM($W204:Z204)),0)</f>
        <v>0</v>
      </c>
      <c r="AB204" s="12">
        <f>IF(AND(YEAR(AB$4)&gt;YEAR($E204),$I204&gt;0),MIN($I204/$I$8,$I204-SUM($W204:AA204)),0)</f>
        <v>0</v>
      </c>
      <c r="AC204" s="12">
        <f>IF(AND(YEAR(AC$4)&gt;YEAR($E204),$I204&gt;0),MIN($I204/$I$8,$I204-SUM($W204:AB204)),0)</f>
        <v>0</v>
      </c>
      <c r="AD204" s="12">
        <f>IF(AND(YEAR(AD$4)&gt;YEAR($E204),$I204&gt;0),MIN($I204/$I$8,$I204-SUM($W204:AC204)),0)</f>
        <v>0</v>
      </c>
      <c r="AE204" s="12">
        <f>IF(AND(YEAR(AE$4)&gt;YEAR($E204),$I204&gt;0),MIN($I204/$I$8,$I204-SUM($W204:AD204)),0)</f>
        <v>0</v>
      </c>
      <c r="AF204" s="12">
        <f>IF(AND(YEAR(AF$4)&gt;YEAR($E204),$I204&gt;0),MIN($I204/$I$8,$I204-SUM($W204:AE204)),0)</f>
        <v>0</v>
      </c>
      <c r="AG204" s="12">
        <f>IF(AND(YEAR(AG$4)&gt;YEAR($E204),$I204&gt;0),MIN($I204/$I$8,$I204-SUM($W204:AF204)),0)</f>
        <v>0</v>
      </c>
      <c r="AH204" s="12">
        <f>IF(AND(YEAR(AH$4)&gt;YEAR($E204),$I204&gt;0),MIN($I204/$I$8,$I204-SUM($W204:AG204)),0)</f>
        <v>0</v>
      </c>
      <c r="AI204" s="12">
        <f>IF(AND(YEAR(AI$4)&gt;YEAR($E204),$I204&gt;0),MIN($I204/$I$8,$I204-SUM($W204:AH204)),0)</f>
        <v>0</v>
      </c>
      <c r="AJ204" s="12">
        <f>IF(AND(YEAR(AJ$4)&gt;YEAR($E204),$I204&gt;0),MIN($I204/$I$8,$I204-SUM($W204:AI204)),0)</f>
        <v>0</v>
      </c>
      <c r="AK204" s="12">
        <f>IF(AND(YEAR(AK$4)&gt;YEAR($E204),$I204&gt;0),MIN($I204/$I$8,$I204-SUM($W204:AJ204)),0)</f>
        <v>0</v>
      </c>
      <c r="AL204" s="12">
        <f>IF(AND(YEAR(AL$4)&gt;YEAR($E204),$I204&gt;0),MIN($I204/$I$8,$I204-SUM($W204:AK204)),0)</f>
        <v>0</v>
      </c>
      <c r="AM204" s="12">
        <f>IF(AND(YEAR(AM$4)&gt;YEAR($E204),$I204&gt;0),MIN($I204/$I$8,$I204-SUM($W204:AL204)),0)</f>
        <v>0</v>
      </c>
      <c r="AN204" s="12">
        <f>IF(AND(YEAR(AN$4)&gt;YEAR($E204),$I204&gt;0),MIN($I204/$I$8,$I204-SUM($W204:AM204)),0)</f>
        <v>0</v>
      </c>
      <c r="AO204" s="12">
        <f>IF(AND(YEAR(AO$4)&gt;YEAR($E204),$I204&gt;0),MIN($I204/$I$8,$I204-SUM($W204:AN204)),0)</f>
        <v>0</v>
      </c>
      <c r="AP204" s="12">
        <f>IF(AND(YEAR(AP$4)&gt;YEAR($E204),$I204&gt;0),MIN($I204/$I$8,$I204-SUM($W204:AO204)),0)</f>
        <v>0</v>
      </c>
      <c r="AQ204" s="12">
        <f>IF(AND(YEAR(AQ$4)&gt;YEAR($E204),$I204&gt;0),MIN($I204/$I$8,$I204-SUM($W204:AP204)),0)</f>
        <v>0</v>
      </c>
      <c r="AR204" s="12">
        <f>IF(AND(YEAR(AR$4)&gt;YEAR($E204),$I204&gt;0),MIN($I204/$I$8,$I204-SUM($W204:AQ204)),0)</f>
        <v>0</v>
      </c>
      <c r="AS204" s="12">
        <f>IF(AND(YEAR(AS$4)&gt;YEAR($E204),$I204&gt;0),MIN($I204/$I$8,$I204-SUM($W204:AR204)),0)</f>
        <v>0</v>
      </c>
      <c r="AT204" s="69">
        <f>IF(AND(YEAR(AT$4)&gt;YEAR($E204),$I204&gt;0),MIN($I204/$I$8,$I204-SUM($W204:AS204)),0)</f>
        <v>0</v>
      </c>
      <c r="AU204" s="152">
        <f>IF(AND(YEAR(AU$4)&gt;YEAR($E204),$I204&gt;0),MIN($I204/$I$8,$I204-SUM($W204:AT204)),0)</f>
        <v>0</v>
      </c>
      <c r="AV204" s="12">
        <f>IF(AND(YEAR(AV$4)&gt;YEAR($E204),$I204&gt;0),MIN($I204/$I$8,$I204-SUM($W204:AU204)),0)</f>
        <v>0</v>
      </c>
      <c r="AW204" s="12">
        <f>IF(AND(YEAR(AW$4)&gt;YEAR($E204),$I204&gt;0),MIN($I204/$I$8,$I204-SUM($W204:AV204)),0)</f>
        <v>0</v>
      </c>
      <c r="AX204" s="12">
        <f>IF(AND(YEAR(AX$4)&gt;YEAR($E204),$I204&gt;0),MIN($I204/$I$8,$I204-SUM($W204:AW204)),0)</f>
        <v>0</v>
      </c>
      <c r="AY204" s="12">
        <f>IF(AND(YEAR(AY$4)&gt;YEAR($E204),$I204&gt;0),MIN($I204/$I$8,$I204-SUM($W204:AX204)),0)</f>
        <v>3.2349242701075025</v>
      </c>
      <c r="BA204" s="88" t="str">
        <f t="shared" ca="1" si="94"/>
        <v>Depreciation</v>
      </c>
      <c r="BB204" s="1" t="str">
        <f t="shared" si="95"/>
        <v>Straight line</v>
      </c>
      <c r="BC204" s="1" t="str">
        <f t="shared" si="96"/>
        <v>Depreciation</v>
      </c>
    </row>
    <row r="205" spans="1:55" x14ac:dyDescent="0.35">
      <c r="E205" s="2">
        <v>47938</v>
      </c>
      <c r="G205" t="str">
        <f t="shared" si="93"/>
        <v>£m 23/24 prices</v>
      </c>
      <c r="I205" s="27">
        <v>141.08046857352724</v>
      </c>
      <c r="J205" t="s">
        <v>13</v>
      </c>
      <c r="X205" s="12">
        <f>IF(AND(YEAR(X$4)&gt;YEAR($E205),$I205&gt;0),MIN($I205/$I$8,$I205-SUM($W205:W205)),0)</f>
        <v>0</v>
      </c>
      <c r="Y205" s="12">
        <f>IF(AND(YEAR(Y$4)&gt;YEAR($E205),$I205&gt;0),MIN($I205/$I$8,$I205-SUM($W205:X205)),0)</f>
        <v>0</v>
      </c>
      <c r="Z205" s="12">
        <f>IF(AND(YEAR(Z$4)&gt;YEAR($E205),$I205&gt;0),MIN($I205/$I$8,$I205-SUM($W205:Y205)),0)</f>
        <v>0</v>
      </c>
      <c r="AA205" s="12">
        <f>IF(AND(YEAR(AA$4)&gt;YEAR($E205),$I205&gt;0),MIN($I205/$I$8,$I205-SUM($W205:Z205)),0)</f>
        <v>0</v>
      </c>
      <c r="AB205" s="12">
        <f>IF(AND(YEAR(AB$4)&gt;YEAR($E205),$I205&gt;0),MIN($I205/$I$8,$I205-SUM($W205:AA205)),0)</f>
        <v>0</v>
      </c>
      <c r="AC205" s="12">
        <f>IF(AND(YEAR(AC$4)&gt;YEAR($E205),$I205&gt;0),MIN($I205/$I$8,$I205-SUM($W205:AB205)),0)</f>
        <v>0</v>
      </c>
      <c r="AD205" s="12">
        <f>IF(AND(YEAR(AD$4)&gt;YEAR($E205),$I205&gt;0),MIN($I205/$I$8,$I205-SUM($W205:AC205)),0)</f>
        <v>0</v>
      </c>
      <c r="AE205" s="12">
        <f>IF(AND(YEAR(AE$4)&gt;YEAR($E205),$I205&gt;0),MIN($I205/$I$8,$I205-SUM($W205:AD205)),0)</f>
        <v>0</v>
      </c>
      <c r="AF205" s="12">
        <f>IF(AND(YEAR(AF$4)&gt;YEAR($E205),$I205&gt;0),MIN($I205/$I$8,$I205-SUM($W205:AE205)),0)</f>
        <v>0</v>
      </c>
      <c r="AG205" s="12">
        <f>IF(AND(YEAR(AG$4)&gt;YEAR($E205),$I205&gt;0),MIN($I205/$I$8,$I205-SUM($W205:AF205)),0)</f>
        <v>0</v>
      </c>
      <c r="AH205" s="12">
        <f>IF(AND(YEAR(AH$4)&gt;YEAR($E205),$I205&gt;0),MIN($I205/$I$8,$I205-SUM($W205:AG205)),0)</f>
        <v>0</v>
      </c>
      <c r="AI205" s="12">
        <f>IF(AND(YEAR(AI$4)&gt;YEAR($E205),$I205&gt;0),MIN($I205/$I$8,$I205-SUM($W205:AH205)),0)</f>
        <v>0</v>
      </c>
      <c r="AJ205" s="12">
        <f>IF(AND(YEAR(AJ$4)&gt;YEAR($E205),$I205&gt;0),MIN($I205/$I$8,$I205-SUM($W205:AI205)),0)</f>
        <v>0</v>
      </c>
      <c r="AK205" s="12">
        <f>IF(AND(YEAR(AK$4)&gt;YEAR($E205),$I205&gt;0),MIN($I205/$I$8,$I205-SUM($W205:AJ205)),0)</f>
        <v>0</v>
      </c>
      <c r="AL205" s="12">
        <f>IF(AND(YEAR(AL$4)&gt;YEAR($E205),$I205&gt;0),MIN($I205/$I$8,$I205-SUM($W205:AK205)),0)</f>
        <v>0</v>
      </c>
      <c r="AM205" s="12">
        <f>IF(AND(YEAR(AM$4)&gt;YEAR($E205),$I205&gt;0),MIN($I205/$I$8,$I205-SUM($W205:AL205)),0)</f>
        <v>0</v>
      </c>
      <c r="AN205" s="12">
        <f>IF(AND(YEAR(AN$4)&gt;YEAR($E205),$I205&gt;0),MIN($I205/$I$8,$I205-SUM($W205:AM205)),0)</f>
        <v>0</v>
      </c>
      <c r="AO205" s="12">
        <f>IF(AND(YEAR(AO$4)&gt;YEAR($E205),$I205&gt;0),MIN($I205/$I$8,$I205-SUM($W205:AN205)),0)</f>
        <v>0</v>
      </c>
      <c r="AP205" s="12">
        <f>IF(AND(YEAR(AP$4)&gt;YEAR($E205),$I205&gt;0),MIN($I205/$I$8,$I205-SUM($W205:AO205)),0)</f>
        <v>0</v>
      </c>
      <c r="AQ205" s="12">
        <f>IF(AND(YEAR(AQ$4)&gt;YEAR($E205),$I205&gt;0),MIN($I205/$I$8,$I205-SUM($W205:AP205)),0)</f>
        <v>0</v>
      </c>
      <c r="AR205" s="12">
        <f>IF(AND(YEAR(AR$4)&gt;YEAR($E205),$I205&gt;0),MIN($I205/$I$8,$I205-SUM($W205:AQ205)),0)</f>
        <v>0</v>
      </c>
      <c r="AS205" s="12">
        <f>IF(AND(YEAR(AS$4)&gt;YEAR($E205),$I205&gt;0),MIN($I205/$I$8,$I205-SUM($W205:AR205)),0)</f>
        <v>0</v>
      </c>
      <c r="AT205" s="69">
        <f>IF(AND(YEAR(AT$4)&gt;YEAR($E205),$I205&gt;0),MIN($I205/$I$8,$I205-SUM($W205:AS205)),0)</f>
        <v>0</v>
      </c>
      <c r="AU205" s="152">
        <f>IF(AND(YEAR(AU$4)&gt;YEAR($E205),$I205&gt;0),MIN($I205/$I$8,$I205-SUM($W205:AT205)),0)</f>
        <v>0</v>
      </c>
      <c r="AV205" s="12">
        <f>IF(AND(YEAR(AV$4)&gt;YEAR($E205),$I205&gt;0),MIN($I205/$I$8,$I205-SUM($W205:AU205)),0)</f>
        <v>0</v>
      </c>
      <c r="AW205" s="12">
        <f>IF(AND(YEAR(AW$4)&gt;YEAR($E205),$I205&gt;0),MIN($I205/$I$8,$I205-SUM($W205:AV205)),0)</f>
        <v>0</v>
      </c>
      <c r="AX205" s="12">
        <f>IF(AND(YEAR(AX$4)&gt;YEAR($E205),$I205&gt;0),MIN($I205/$I$8,$I205-SUM($W205:AW205)),0)</f>
        <v>0</v>
      </c>
      <c r="AY205" s="12">
        <f>IF(AND(YEAR(AY$4)&gt;YEAR($E205),$I205&gt;0),MIN($I205/$I$8,$I205-SUM($W205:AX205)),0)</f>
        <v>0</v>
      </c>
      <c r="BA205" s="88" t="str">
        <f t="shared" ca="1" si="94"/>
        <v>Depreciation</v>
      </c>
      <c r="BB205" s="1" t="str">
        <f t="shared" si="95"/>
        <v>Straight line</v>
      </c>
      <c r="BC205" s="1" t="str">
        <f t="shared" si="96"/>
        <v>Depreciation</v>
      </c>
    </row>
    <row r="206" spans="1:55" x14ac:dyDescent="0.35"/>
    <row r="207" spans="1:55" x14ac:dyDescent="0.35"/>
    <row r="208" spans="1:55" ht="20" thickBot="1" x14ac:dyDescent="0.5">
      <c r="A208" s="13" t="s">
        <v>487</v>
      </c>
    </row>
    <row r="209" spans="5:54" ht="15" thickTop="1" x14ac:dyDescent="0.35"/>
    <row r="210" spans="5:54" x14ac:dyDescent="0.35">
      <c r="E210" s="2">
        <v>37711</v>
      </c>
      <c r="G210" t="str">
        <f t="shared" ref="G210:G238" si="97">price_label</f>
        <v>£m 23/24 prices</v>
      </c>
      <c r="I210" s="12">
        <f t="shared" ref="I210:I238" si="98">SUMPRODUCT($X143:$AY143,$X$23:$AY$23)-SUMPRODUCT($X177:$AY177,$X$23:$AY$23)</f>
        <v>15.539571449107971</v>
      </c>
      <c r="J210" t="s">
        <v>13</v>
      </c>
      <c r="X210" s="12">
        <f t="shared" ref="X210:AG219" si="99">$I210*X$20</f>
        <v>0</v>
      </c>
      <c r="Y210" s="12">
        <f t="shared" si="99"/>
        <v>0</v>
      </c>
      <c r="Z210" s="12">
        <f t="shared" si="99"/>
        <v>0</v>
      </c>
      <c r="AA210" s="12">
        <f t="shared" si="99"/>
        <v>0</v>
      </c>
      <c r="AB210" s="12">
        <f t="shared" si="99"/>
        <v>0</v>
      </c>
      <c r="AC210" s="12">
        <f t="shared" si="99"/>
        <v>0</v>
      </c>
      <c r="AD210" s="12">
        <f t="shared" si="99"/>
        <v>0</v>
      </c>
      <c r="AE210" s="12">
        <f t="shared" si="99"/>
        <v>0</v>
      </c>
      <c r="AF210" s="12">
        <f t="shared" si="99"/>
        <v>0</v>
      </c>
      <c r="AG210" s="12">
        <f t="shared" si="99"/>
        <v>0</v>
      </c>
      <c r="AH210" s="12">
        <f t="shared" ref="AH210:AQ219" si="100">$I210*AH$20</f>
        <v>2.3309357173661955</v>
      </c>
      <c r="AI210" s="12">
        <f t="shared" si="100"/>
        <v>2.3309357173661955</v>
      </c>
      <c r="AJ210" s="12">
        <f t="shared" si="100"/>
        <v>0.38848928622769929</v>
      </c>
      <c r="AK210" s="12">
        <f t="shared" si="100"/>
        <v>0</v>
      </c>
      <c r="AL210" s="12">
        <f t="shared" si="100"/>
        <v>0.77697857245539859</v>
      </c>
      <c r="AM210" s="12">
        <f t="shared" si="100"/>
        <v>1.9424464311384964</v>
      </c>
      <c r="AN210" s="12">
        <f t="shared" si="100"/>
        <v>3.1079142898215943</v>
      </c>
      <c r="AO210" s="12">
        <f t="shared" si="100"/>
        <v>4.6618714347323911</v>
      </c>
      <c r="AP210" s="12">
        <f t="shared" si="100"/>
        <v>0</v>
      </c>
      <c r="AQ210" s="12">
        <f t="shared" si="100"/>
        <v>0</v>
      </c>
      <c r="AR210" s="12">
        <f t="shared" ref="AR210:AY219" si="101">$I210*AR$20</f>
        <v>0</v>
      </c>
      <c r="AS210" s="12">
        <f t="shared" si="101"/>
        <v>0</v>
      </c>
      <c r="AT210" s="69">
        <f t="shared" si="101"/>
        <v>0</v>
      </c>
      <c r="AU210" s="152">
        <f t="shared" si="101"/>
        <v>0</v>
      </c>
      <c r="AV210" s="12">
        <f t="shared" si="101"/>
        <v>0</v>
      </c>
      <c r="AW210" s="12">
        <f t="shared" si="101"/>
        <v>0</v>
      </c>
      <c r="AX210" s="12">
        <f t="shared" si="101"/>
        <v>0</v>
      </c>
      <c r="AY210" s="12">
        <f t="shared" si="101"/>
        <v>0</v>
      </c>
      <c r="BA210" s="88" t="str">
        <f t="shared" ref="BA210:BA238" ca="1" si="102">$A$1</f>
        <v>Depreciation</v>
      </c>
      <c r="BB210" s="1" t="str">
        <f>$A$208</f>
        <v>Differential</v>
      </c>
    </row>
    <row r="211" spans="5:54" x14ac:dyDescent="0.35">
      <c r="E211" s="2">
        <v>38077</v>
      </c>
      <c r="G211" t="str">
        <f t="shared" si="97"/>
        <v>£m 23/24 prices</v>
      </c>
      <c r="I211" s="12">
        <f t="shared" si="98"/>
        <v>12.383286326261043</v>
      </c>
      <c r="J211" t="s">
        <v>13</v>
      </c>
      <c r="X211" s="12">
        <f t="shared" si="99"/>
        <v>0</v>
      </c>
      <c r="Y211" s="12">
        <f t="shared" si="99"/>
        <v>0</v>
      </c>
      <c r="Z211" s="12">
        <f t="shared" si="99"/>
        <v>0</v>
      </c>
      <c r="AA211" s="12">
        <f t="shared" si="99"/>
        <v>0</v>
      </c>
      <c r="AB211" s="12">
        <f t="shared" si="99"/>
        <v>0</v>
      </c>
      <c r="AC211" s="12">
        <f t="shared" si="99"/>
        <v>0</v>
      </c>
      <c r="AD211" s="12">
        <f t="shared" si="99"/>
        <v>0</v>
      </c>
      <c r="AE211" s="12">
        <f t="shared" si="99"/>
        <v>0</v>
      </c>
      <c r="AF211" s="12">
        <f t="shared" si="99"/>
        <v>0</v>
      </c>
      <c r="AG211" s="12">
        <f t="shared" si="99"/>
        <v>0</v>
      </c>
      <c r="AH211" s="12">
        <f t="shared" si="100"/>
        <v>1.8574929489391563</v>
      </c>
      <c r="AI211" s="12">
        <f t="shared" si="100"/>
        <v>1.8574929489391563</v>
      </c>
      <c r="AJ211" s="12">
        <f t="shared" si="100"/>
        <v>0.30958215815652612</v>
      </c>
      <c r="AK211" s="12">
        <f t="shared" si="100"/>
        <v>0</v>
      </c>
      <c r="AL211" s="12">
        <f t="shared" si="100"/>
        <v>0.61916431631305224</v>
      </c>
      <c r="AM211" s="12">
        <f t="shared" si="100"/>
        <v>1.5479107907826304</v>
      </c>
      <c r="AN211" s="12">
        <f t="shared" si="100"/>
        <v>2.476657265252209</v>
      </c>
      <c r="AO211" s="12">
        <f t="shared" si="100"/>
        <v>3.7149858978783126</v>
      </c>
      <c r="AP211" s="12">
        <f t="shared" si="100"/>
        <v>0</v>
      </c>
      <c r="AQ211" s="12">
        <f t="shared" si="100"/>
        <v>0</v>
      </c>
      <c r="AR211" s="12">
        <f t="shared" si="101"/>
        <v>0</v>
      </c>
      <c r="AS211" s="12">
        <f t="shared" si="101"/>
        <v>0</v>
      </c>
      <c r="AT211" s="69">
        <f t="shared" si="101"/>
        <v>0</v>
      </c>
      <c r="AU211" s="152">
        <f t="shared" si="101"/>
        <v>0</v>
      </c>
      <c r="AV211" s="12">
        <f t="shared" si="101"/>
        <v>0</v>
      </c>
      <c r="AW211" s="12">
        <f t="shared" si="101"/>
        <v>0</v>
      </c>
      <c r="AX211" s="12">
        <f t="shared" si="101"/>
        <v>0</v>
      </c>
      <c r="AY211" s="12">
        <f t="shared" si="101"/>
        <v>0</v>
      </c>
      <c r="BA211" s="88" t="str">
        <f t="shared" ca="1" si="102"/>
        <v>Depreciation</v>
      </c>
      <c r="BB211" s="1" t="str">
        <f t="shared" ref="BB211:BB238" si="103">$A$208</f>
        <v>Differential</v>
      </c>
    </row>
    <row r="212" spans="5:54" x14ac:dyDescent="0.35">
      <c r="E212" s="2">
        <v>38442</v>
      </c>
      <c r="G212" t="str">
        <f t="shared" si="97"/>
        <v>£m 23/24 prices</v>
      </c>
      <c r="I212" s="12">
        <f t="shared" si="98"/>
        <v>8.1909120828822761</v>
      </c>
      <c r="J212" t="s">
        <v>13</v>
      </c>
      <c r="X212" s="12">
        <f t="shared" si="99"/>
        <v>0</v>
      </c>
      <c r="Y212" s="12">
        <f t="shared" si="99"/>
        <v>0</v>
      </c>
      <c r="Z212" s="12">
        <f t="shared" si="99"/>
        <v>0</v>
      </c>
      <c r="AA212" s="12">
        <f t="shared" si="99"/>
        <v>0</v>
      </c>
      <c r="AB212" s="12">
        <f t="shared" si="99"/>
        <v>0</v>
      </c>
      <c r="AC212" s="12">
        <f t="shared" si="99"/>
        <v>0</v>
      </c>
      <c r="AD212" s="12">
        <f t="shared" si="99"/>
        <v>0</v>
      </c>
      <c r="AE212" s="12">
        <f t="shared" si="99"/>
        <v>0</v>
      </c>
      <c r="AF212" s="12">
        <f t="shared" si="99"/>
        <v>0</v>
      </c>
      <c r="AG212" s="12">
        <f t="shared" si="99"/>
        <v>0</v>
      </c>
      <c r="AH212" s="12">
        <f t="shared" si="100"/>
        <v>1.2286368124323415</v>
      </c>
      <c r="AI212" s="12">
        <f t="shared" si="100"/>
        <v>1.2286368124323415</v>
      </c>
      <c r="AJ212" s="12">
        <f t="shared" si="100"/>
        <v>0.20477280207205692</v>
      </c>
      <c r="AK212" s="12">
        <f t="shared" si="100"/>
        <v>0</v>
      </c>
      <c r="AL212" s="12">
        <f t="shared" si="100"/>
        <v>0.40954560414411384</v>
      </c>
      <c r="AM212" s="12">
        <f t="shared" si="100"/>
        <v>1.0238640103602845</v>
      </c>
      <c r="AN212" s="12">
        <f t="shared" si="100"/>
        <v>1.6381824165764554</v>
      </c>
      <c r="AO212" s="12">
        <f t="shared" si="100"/>
        <v>2.4572736248646829</v>
      </c>
      <c r="AP212" s="12">
        <f t="shared" si="100"/>
        <v>0</v>
      </c>
      <c r="AQ212" s="12">
        <f t="shared" si="100"/>
        <v>0</v>
      </c>
      <c r="AR212" s="12">
        <f t="shared" si="101"/>
        <v>0</v>
      </c>
      <c r="AS212" s="12">
        <f t="shared" si="101"/>
        <v>0</v>
      </c>
      <c r="AT212" s="69">
        <f t="shared" si="101"/>
        <v>0</v>
      </c>
      <c r="AU212" s="152">
        <f t="shared" si="101"/>
        <v>0</v>
      </c>
      <c r="AV212" s="12">
        <f t="shared" si="101"/>
        <v>0</v>
      </c>
      <c r="AW212" s="12">
        <f t="shared" si="101"/>
        <v>0</v>
      </c>
      <c r="AX212" s="12">
        <f t="shared" si="101"/>
        <v>0</v>
      </c>
      <c r="AY212" s="12">
        <f t="shared" si="101"/>
        <v>0</v>
      </c>
      <c r="BA212" s="88" t="str">
        <f t="shared" ca="1" si="102"/>
        <v>Depreciation</v>
      </c>
      <c r="BB212" s="1" t="str">
        <f t="shared" si="103"/>
        <v>Differential</v>
      </c>
    </row>
    <row r="213" spans="5:54" x14ac:dyDescent="0.35">
      <c r="E213" s="2">
        <v>38807</v>
      </c>
      <c r="G213" t="str">
        <f t="shared" si="97"/>
        <v>£m 23/24 prices</v>
      </c>
      <c r="I213" s="12">
        <f t="shared" si="98"/>
        <v>8.6089221612514297</v>
      </c>
      <c r="J213" t="s">
        <v>13</v>
      </c>
      <c r="X213" s="12">
        <f t="shared" si="99"/>
        <v>0</v>
      </c>
      <c r="Y213" s="12">
        <f t="shared" si="99"/>
        <v>0</v>
      </c>
      <c r="Z213" s="12">
        <f t="shared" si="99"/>
        <v>0</v>
      </c>
      <c r="AA213" s="12">
        <f t="shared" si="99"/>
        <v>0</v>
      </c>
      <c r="AB213" s="12">
        <f t="shared" si="99"/>
        <v>0</v>
      </c>
      <c r="AC213" s="12">
        <f t="shared" si="99"/>
        <v>0</v>
      </c>
      <c r="AD213" s="12">
        <f t="shared" si="99"/>
        <v>0</v>
      </c>
      <c r="AE213" s="12">
        <f t="shared" si="99"/>
        <v>0</v>
      </c>
      <c r="AF213" s="12">
        <f t="shared" si="99"/>
        <v>0</v>
      </c>
      <c r="AG213" s="12">
        <f t="shared" si="99"/>
        <v>0</v>
      </c>
      <c r="AH213" s="12">
        <f t="shared" si="100"/>
        <v>1.2913383241877143</v>
      </c>
      <c r="AI213" s="12">
        <f t="shared" si="100"/>
        <v>1.2913383241877143</v>
      </c>
      <c r="AJ213" s="12">
        <f t="shared" si="100"/>
        <v>0.21522305403128575</v>
      </c>
      <c r="AK213" s="12">
        <f t="shared" si="100"/>
        <v>0</v>
      </c>
      <c r="AL213" s="12">
        <f t="shared" si="100"/>
        <v>0.4304461080625715</v>
      </c>
      <c r="AM213" s="12">
        <f t="shared" si="100"/>
        <v>1.0761152701564287</v>
      </c>
      <c r="AN213" s="12">
        <f t="shared" si="100"/>
        <v>1.721784432250286</v>
      </c>
      <c r="AO213" s="12">
        <f t="shared" si="100"/>
        <v>2.5826766483754287</v>
      </c>
      <c r="AP213" s="12">
        <f t="shared" si="100"/>
        <v>0</v>
      </c>
      <c r="AQ213" s="12">
        <f t="shared" si="100"/>
        <v>0</v>
      </c>
      <c r="AR213" s="12">
        <f t="shared" si="101"/>
        <v>0</v>
      </c>
      <c r="AS213" s="12">
        <f t="shared" si="101"/>
        <v>0</v>
      </c>
      <c r="AT213" s="69">
        <f t="shared" si="101"/>
        <v>0</v>
      </c>
      <c r="AU213" s="152">
        <f t="shared" si="101"/>
        <v>0</v>
      </c>
      <c r="AV213" s="12">
        <f t="shared" si="101"/>
        <v>0</v>
      </c>
      <c r="AW213" s="12">
        <f t="shared" si="101"/>
        <v>0</v>
      </c>
      <c r="AX213" s="12">
        <f t="shared" si="101"/>
        <v>0</v>
      </c>
      <c r="AY213" s="12">
        <f t="shared" si="101"/>
        <v>0</v>
      </c>
      <c r="BA213" s="88" t="str">
        <f t="shared" ca="1" si="102"/>
        <v>Depreciation</v>
      </c>
      <c r="BB213" s="1" t="str">
        <f t="shared" si="103"/>
        <v>Differential</v>
      </c>
    </row>
    <row r="214" spans="5:54" x14ac:dyDescent="0.35">
      <c r="E214" s="2">
        <v>39172</v>
      </c>
      <c r="G214" t="str">
        <f t="shared" si="97"/>
        <v>£m 23/24 prices</v>
      </c>
      <c r="I214" s="12">
        <f t="shared" si="98"/>
        <v>5.611935835119275</v>
      </c>
      <c r="J214" t="s">
        <v>13</v>
      </c>
      <c r="X214" s="12">
        <f t="shared" si="99"/>
        <v>0</v>
      </c>
      <c r="Y214" s="12">
        <f t="shared" si="99"/>
        <v>0</v>
      </c>
      <c r="Z214" s="12">
        <f t="shared" si="99"/>
        <v>0</v>
      </c>
      <c r="AA214" s="12">
        <f t="shared" si="99"/>
        <v>0</v>
      </c>
      <c r="AB214" s="12">
        <f t="shared" si="99"/>
        <v>0</v>
      </c>
      <c r="AC214" s="12">
        <f t="shared" si="99"/>
        <v>0</v>
      </c>
      <c r="AD214" s="12">
        <f t="shared" si="99"/>
        <v>0</v>
      </c>
      <c r="AE214" s="12">
        <f t="shared" si="99"/>
        <v>0</v>
      </c>
      <c r="AF214" s="12">
        <f t="shared" si="99"/>
        <v>0</v>
      </c>
      <c r="AG214" s="12">
        <f t="shared" si="99"/>
        <v>0</v>
      </c>
      <c r="AH214" s="12">
        <f t="shared" si="100"/>
        <v>0.84179037526789124</v>
      </c>
      <c r="AI214" s="12">
        <f t="shared" si="100"/>
        <v>0.84179037526789124</v>
      </c>
      <c r="AJ214" s="12">
        <f t="shared" si="100"/>
        <v>0.14029839587798187</v>
      </c>
      <c r="AK214" s="12">
        <f t="shared" si="100"/>
        <v>0</v>
      </c>
      <c r="AL214" s="12">
        <f t="shared" si="100"/>
        <v>0.28059679175596375</v>
      </c>
      <c r="AM214" s="12">
        <f t="shared" si="100"/>
        <v>0.70149197938990937</v>
      </c>
      <c r="AN214" s="12">
        <f t="shared" si="100"/>
        <v>1.122387167023855</v>
      </c>
      <c r="AO214" s="12">
        <f t="shared" si="100"/>
        <v>1.6835807505357825</v>
      </c>
      <c r="AP214" s="12">
        <f t="shared" si="100"/>
        <v>0</v>
      </c>
      <c r="AQ214" s="12">
        <f t="shared" si="100"/>
        <v>0</v>
      </c>
      <c r="AR214" s="12">
        <f t="shared" si="101"/>
        <v>0</v>
      </c>
      <c r="AS214" s="12">
        <f t="shared" si="101"/>
        <v>0</v>
      </c>
      <c r="AT214" s="69">
        <f t="shared" si="101"/>
        <v>0</v>
      </c>
      <c r="AU214" s="152">
        <f t="shared" si="101"/>
        <v>0</v>
      </c>
      <c r="AV214" s="12">
        <f t="shared" si="101"/>
        <v>0</v>
      </c>
      <c r="AW214" s="12">
        <f t="shared" si="101"/>
        <v>0</v>
      </c>
      <c r="AX214" s="12">
        <f t="shared" si="101"/>
        <v>0</v>
      </c>
      <c r="AY214" s="12">
        <f t="shared" si="101"/>
        <v>0</v>
      </c>
      <c r="BA214" s="88" t="str">
        <f t="shared" ca="1" si="102"/>
        <v>Depreciation</v>
      </c>
      <c r="BB214" s="1" t="str">
        <f t="shared" si="103"/>
        <v>Differential</v>
      </c>
    </row>
    <row r="215" spans="5:54" x14ac:dyDescent="0.35">
      <c r="E215" s="2">
        <v>39538</v>
      </c>
      <c r="G215" t="str">
        <f t="shared" si="97"/>
        <v>£m 23/24 prices</v>
      </c>
      <c r="I215" s="12">
        <f t="shared" si="98"/>
        <v>12.886874154223095</v>
      </c>
      <c r="J215" t="s">
        <v>13</v>
      </c>
      <c r="X215" s="12">
        <f t="shared" si="99"/>
        <v>0</v>
      </c>
      <c r="Y215" s="12">
        <f t="shared" si="99"/>
        <v>0</v>
      </c>
      <c r="Z215" s="12">
        <f t="shared" si="99"/>
        <v>0</v>
      </c>
      <c r="AA215" s="12">
        <f t="shared" si="99"/>
        <v>0</v>
      </c>
      <c r="AB215" s="12">
        <f t="shared" si="99"/>
        <v>0</v>
      </c>
      <c r="AC215" s="12">
        <f t="shared" si="99"/>
        <v>0</v>
      </c>
      <c r="AD215" s="12">
        <f t="shared" si="99"/>
        <v>0</v>
      </c>
      <c r="AE215" s="12">
        <f t="shared" si="99"/>
        <v>0</v>
      </c>
      <c r="AF215" s="12">
        <f t="shared" si="99"/>
        <v>0</v>
      </c>
      <c r="AG215" s="12">
        <f t="shared" si="99"/>
        <v>0</v>
      </c>
      <c r="AH215" s="12">
        <f t="shared" si="100"/>
        <v>1.9330311231334643</v>
      </c>
      <c r="AI215" s="12">
        <f t="shared" si="100"/>
        <v>1.9330311231334643</v>
      </c>
      <c r="AJ215" s="12">
        <f t="shared" si="100"/>
        <v>0.32217185385557739</v>
      </c>
      <c r="AK215" s="12">
        <f t="shared" si="100"/>
        <v>0</v>
      </c>
      <c r="AL215" s="12">
        <f t="shared" si="100"/>
        <v>0.64434370771115479</v>
      </c>
      <c r="AM215" s="12">
        <f t="shared" si="100"/>
        <v>1.6108592692778869</v>
      </c>
      <c r="AN215" s="12">
        <f t="shared" si="100"/>
        <v>2.5773748308446192</v>
      </c>
      <c r="AO215" s="12">
        <f t="shared" si="100"/>
        <v>3.8660622462669285</v>
      </c>
      <c r="AP215" s="12">
        <f t="shared" si="100"/>
        <v>0</v>
      </c>
      <c r="AQ215" s="12">
        <f t="shared" si="100"/>
        <v>0</v>
      </c>
      <c r="AR215" s="12">
        <f t="shared" si="101"/>
        <v>0</v>
      </c>
      <c r="AS215" s="12">
        <f t="shared" si="101"/>
        <v>0</v>
      </c>
      <c r="AT215" s="69">
        <f t="shared" si="101"/>
        <v>0</v>
      </c>
      <c r="AU215" s="152">
        <f t="shared" si="101"/>
        <v>0</v>
      </c>
      <c r="AV215" s="12">
        <f t="shared" si="101"/>
        <v>0</v>
      </c>
      <c r="AW215" s="12">
        <f t="shared" si="101"/>
        <v>0</v>
      </c>
      <c r="AX215" s="12">
        <f t="shared" si="101"/>
        <v>0</v>
      </c>
      <c r="AY215" s="12">
        <f t="shared" si="101"/>
        <v>0</v>
      </c>
      <c r="BA215" s="88" t="str">
        <f t="shared" ca="1" si="102"/>
        <v>Depreciation</v>
      </c>
      <c r="BB215" s="1" t="str">
        <f t="shared" si="103"/>
        <v>Differential</v>
      </c>
    </row>
    <row r="216" spans="5:54" x14ac:dyDescent="0.35">
      <c r="E216" s="2">
        <v>39903</v>
      </c>
      <c r="G216" t="str">
        <f t="shared" si="97"/>
        <v>£m 23/24 prices</v>
      </c>
      <c r="I216" s="12">
        <f t="shared" si="98"/>
        <v>11.410540450621339</v>
      </c>
      <c r="J216" t="s">
        <v>13</v>
      </c>
      <c r="X216" s="12">
        <f t="shared" si="99"/>
        <v>0</v>
      </c>
      <c r="Y216" s="12">
        <f t="shared" si="99"/>
        <v>0</v>
      </c>
      <c r="Z216" s="12">
        <f t="shared" si="99"/>
        <v>0</v>
      </c>
      <c r="AA216" s="12">
        <f t="shared" si="99"/>
        <v>0</v>
      </c>
      <c r="AB216" s="12">
        <f t="shared" si="99"/>
        <v>0</v>
      </c>
      <c r="AC216" s="12">
        <f t="shared" si="99"/>
        <v>0</v>
      </c>
      <c r="AD216" s="12">
        <f t="shared" si="99"/>
        <v>0</v>
      </c>
      <c r="AE216" s="12">
        <f t="shared" si="99"/>
        <v>0</v>
      </c>
      <c r="AF216" s="12">
        <f t="shared" si="99"/>
        <v>0</v>
      </c>
      <c r="AG216" s="12">
        <f t="shared" si="99"/>
        <v>0</v>
      </c>
      <c r="AH216" s="12">
        <f t="shared" si="100"/>
        <v>1.7115810675932008</v>
      </c>
      <c r="AI216" s="12">
        <f t="shared" si="100"/>
        <v>1.7115810675932008</v>
      </c>
      <c r="AJ216" s="12">
        <f t="shared" si="100"/>
        <v>0.28526351126553345</v>
      </c>
      <c r="AK216" s="12">
        <f t="shared" si="100"/>
        <v>0</v>
      </c>
      <c r="AL216" s="12">
        <f t="shared" si="100"/>
        <v>0.57052702253106691</v>
      </c>
      <c r="AM216" s="12">
        <f t="shared" si="100"/>
        <v>1.4263175563276673</v>
      </c>
      <c r="AN216" s="12">
        <f t="shared" si="100"/>
        <v>2.2821080901242676</v>
      </c>
      <c r="AO216" s="12">
        <f t="shared" si="100"/>
        <v>3.4231621351864017</v>
      </c>
      <c r="AP216" s="12">
        <f t="shared" si="100"/>
        <v>0</v>
      </c>
      <c r="AQ216" s="12">
        <f t="shared" si="100"/>
        <v>0</v>
      </c>
      <c r="AR216" s="12">
        <f t="shared" si="101"/>
        <v>0</v>
      </c>
      <c r="AS216" s="12">
        <f t="shared" si="101"/>
        <v>0</v>
      </c>
      <c r="AT216" s="69">
        <f t="shared" si="101"/>
        <v>0</v>
      </c>
      <c r="AU216" s="152">
        <f t="shared" si="101"/>
        <v>0</v>
      </c>
      <c r="AV216" s="12">
        <f t="shared" si="101"/>
        <v>0</v>
      </c>
      <c r="AW216" s="12">
        <f t="shared" si="101"/>
        <v>0</v>
      </c>
      <c r="AX216" s="12">
        <f t="shared" si="101"/>
        <v>0</v>
      </c>
      <c r="AY216" s="12">
        <f t="shared" si="101"/>
        <v>0</v>
      </c>
      <c r="BA216" s="88" t="str">
        <f t="shared" ca="1" si="102"/>
        <v>Depreciation</v>
      </c>
      <c r="BB216" s="1" t="str">
        <f t="shared" si="103"/>
        <v>Differential</v>
      </c>
    </row>
    <row r="217" spans="5:54" x14ac:dyDescent="0.35">
      <c r="E217" s="2">
        <v>40268</v>
      </c>
      <c r="G217" t="str">
        <f t="shared" si="97"/>
        <v>£m 23/24 prices</v>
      </c>
      <c r="I217" s="12">
        <f t="shared" si="98"/>
        <v>11.540699641694658</v>
      </c>
      <c r="J217" t="s">
        <v>13</v>
      </c>
      <c r="X217" s="12">
        <f t="shared" si="99"/>
        <v>0</v>
      </c>
      <c r="Y217" s="12">
        <f t="shared" si="99"/>
        <v>0</v>
      </c>
      <c r="Z217" s="12">
        <f t="shared" si="99"/>
        <v>0</v>
      </c>
      <c r="AA217" s="12">
        <f t="shared" si="99"/>
        <v>0</v>
      </c>
      <c r="AB217" s="12">
        <f t="shared" si="99"/>
        <v>0</v>
      </c>
      <c r="AC217" s="12">
        <f t="shared" si="99"/>
        <v>0</v>
      </c>
      <c r="AD217" s="12">
        <f t="shared" si="99"/>
        <v>0</v>
      </c>
      <c r="AE217" s="12">
        <f t="shared" si="99"/>
        <v>0</v>
      </c>
      <c r="AF217" s="12">
        <f t="shared" si="99"/>
        <v>0</v>
      </c>
      <c r="AG217" s="12">
        <f t="shared" si="99"/>
        <v>0</v>
      </c>
      <c r="AH217" s="12">
        <f t="shared" si="100"/>
        <v>1.7311049462541988</v>
      </c>
      <c r="AI217" s="12">
        <f t="shared" si="100"/>
        <v>1.7311049462541988</v>
      </c>
      <c r="AJ217" s="12">
        <f t="shared" si="100"/>
        <v>0.28851749104236646</v>
      </c>
      <c r="AK217" s="12">
        <f t="shared" si="100"/>
        <v>0</v>
      </c>
      <c r="AL217" s="12">
        <f t="shared" si="100"/>
        <v>0.57703498208473292</v>
      </c>
      <c r="AM217" s="12">
        <f t="shared" si="100"/>
        <v>1.4425874552118323</v>
      </c>
      <c r="AN217" s="12">
        <f t="shared" si="100"/>
        <v>2.3081399283389317</v>
      </c>
      <c r="AO217" s="12">
        <f t="shared" si="100"/>
        <v>3.4622098925083975</v>
      </c>
      <c r="AP217" s="12">
        <f t="shared" si="100"/>
        <v>0</v>
      </c>
      <c r="AQ217" s="12">
        <f t="shared" si="100"/>
        <v>0</v>
      </c>
      <c r="AR217" s="12">
        <f t="shared" si="101"/>
        <v>0</v>
      </c>
      <c r="AS217" s="12">
        <f t="shared" si="101"/>
        <v>0</v>
      </c>
      <c r="AT217" s="69">
        <f t="shared" si="101"/>
        <v>0</v>
      </c>
      <c r="AU217" s="152">
        <f t="shared" si="101"/>
        <v>0</v>
      </c>
      <c r="AV217" s="12">
        <f t="shared" si="101"/>
        <v>0</v>
      </c>
      <c r="AW217" s="12">
        <f t="shared" si="101"/>
        <v>0</v>
      </c>
      <c r="AX217" s="12">
        <f t="shared" si="101"/>
        <v>0</v>
      </c>
      <c r="AY217" s="12">
        <f t="shared" si="101"/>
        <v>0</v>
      </c>
      <c r="BA217" s="88" t="str">
        <f t="shared" ca="1" si="102"/>
        <v>Depreciation</v>
      </c>
      <c r="BB217" s="1" t="str">
        <f t="shared" si="103"/>
        <v>Differential</v>
      </c>
    </row>
    <row r="218" spans="5:54" x14ac:dyDescent="0.35">
      <c r="E218" s="2">
        <v>40633</v>
      </c>
      <c r="G218" t="str">
        <f t="shared" si="97"/>
        <v>£m 23/24 prices</v>
      </c>
      <c r="I218" s="12">
        <f t="shared" si="98"/>
        <v>8.2061732844034108</v>
      </c>
      <c r="J218" t="s">
        <v>13</v>
      </c>
      <c r="X218" s="12">
        <f t="shared" si="99"/>
        <v>0</v>
      </c>
      <c r="Y218" s="12">
        <f t="shared" si="99"/>
        <v>0</v>
      </c>
      <c r="Z218" s="12">
        <f t="shared" si="99"/>
        <v>0</v>
      </c>
      <c r="AA218" s="12">
        <f t="shared" si="99"/>
        <v>0</v>
      </c>
      <c r="AB218" s="12">
        <f t="shared" si="99"/>
        <v>0</v>
      </c>
      <c r="AC218" s="12">
        <f t="shared" si="99"/>
        <v>0</v>
      </c>
      <c r="AD218" s="12">
        <f t="shared" si="99"/>
        <v>0</v>
      </c>
      <c r="AE218" s="12">
        <f t="shared" si="99"/>
        <v>0</v>
      </c>
      <c r="AF218" s="12">
        <f t="shared" si="99"/>
        <v>0</v>
      </c>
      <c r="AG218" s="12">
        <f t="shared" si="99"/>
        <v>0</v>
      </c>
      <c r="AH218" s="12">
        <f t="shared" si="100"/>
        <v>1.2309259926605116</v>
      </c>
      <c r="AI218" s="12">
        <f t="shared" si="100"/>
        <v>1.2309259926605116</v>
      </c>
      <c r="AJ218" s="12">
        <f t="shared" si="100"/>
        <v>0.20515433211008527</v>
      </c>
      <c r="AK218" s="12">
        <f t="shared" si="100"/>
        <v>0</v>
      </c>
      <c r="AL218" s="12">
        <f t="shared" si="100"/>
        <v>0.41030866422017054</v>
      </c>
      <c r="AM218" s="12">
        <f t="shared" si="100"/>
        <v>1.0257716605504263</v>
      </c>
      <c r="AN218" s="12">
        <f t="shared" si="100"/>
        <v>1.6412346568806822</v>
      </c>
      <c r="AO218" s="12">
        <f t="shared" si="100"/>
        <v>2.4618519853210232</v>
      </c>
      <c r="AP218" s="12">
        <f t="shared" si="100"/>
        <v>0</v>
      </c>
      <c r="AQ218" s="12">
        <f t="shared" si="100"/>
        <v>0</v>
      </c>
      <c r="AR218" s="12">
        <f t="shared" si="101"/>
        <v>0</v>
      </c>
      <c r="AS218" s="12">
        <f t="shared" si="101"/>
        <v>0</v>
      </c>
      <c r="AT218" s="69">
        <f t="shared" si="101"/>
        <v>0</v>
      </c>
      <c r="AU218" s="152">
        <f t="shared" si="101"/>
        <v>0</v>
      </c>
      <c r="AV218" s="12">
        <f t="shared" si="101"/>
        <v>0</v>
      </c>
      <c r="AW218" s="12">
        <f t="shared" si="101"/>
        <v>0</v>
      </c>
      <c r="AX218" s="12">
        <f t="shared" si="101"/>
        <v>0</v>
      </c>
      <c r="AY218" s="12">
        <f t="shared" si="101"/>
        <v>0</v>
      </c>
      <c r="BA218" s="88" t="str">
        <f t="shared" ca="1" si="102"/>
        <v>Depreciation</v>
      </c>
      <c r="BB218" s="1" t="str">
        <f t="shared" si="103"/>
        <v>Differential</v>
      </c>
    </row>
    <row r="219" spans="5:54" x14ac:dyDescent="0.35">
      <c r="E219" s="2">
        <v>40999</v>
      </c>
      <c r="G219" t="str">
        <f t="shared" si="97"/>
        <v>£m 23/24 prices</v>
      </c>
      <c r="I219" s="12">
        <f t="shared" si="98"/>
        <v>3.7676424235189243</v>
      </c>
      <c r="J219" t="s">
        <v>13</v>
      </c>
      <c r="X219" s="12">
        <f t="shared" si="99"/>
        <v>0</v>
      </c>
      <c r="Y219" s="12">
        <f t="shared" si="99"/>
        <v>0</v>
      </c>
      <c r="Z219" s="12">
        <f t="shared" si="99"/>
        <v>0</v>
      </c>
      <c r="AA219" s="12">
        <f t="shared" si="99"/>
        <v>0</v>
      </c>
      <c r="AB219" s="12">
        <f t="shared" si="99"/>
        <v>0</v>
      </c>
      <c r="AC219" s="12">
        <f t="shared" si="99"/>
        <v>0</v>
      </c>
      <c r="AD219" s="12">
        <f t="shared" si="99"/>
        <v>0</v>
      </c>
      <c r="AE219" s="12">
        <f t="shared" si="99"/>
        <v>0</v>
      </c>
      <c r="AF219" s="12">
        <f t="shared" si="99"/>
        <v>0</v>
      </c>
      <c r="AG219" s="12">
        <f t="shared" si="99"/>
        <v>0</v>
      </c>
      <c r="AH219" s="12">
        <f t="shared" si="100"/>
        <v>0.56514636352783865</v>
      </c>
      <c r="AI219" s="12">
        <f t="shared" si="100"/>
        <v>0.56514636352783865</v>
      </c>
      <c r="AJ219" s="12">
        <f t="shared" si="100"/>
        <v>9.4191060587973108E-2</v>
      </c>
      <c r="AK219" s="12">
        <f t="shared" si="100"/>
        <v>0</v>
      </c>
      <c r="AL219" s="12">
        <f t="shared" si="100"/>
        <v>0.18838212117594622</v>
      </c>
      <c r="AM219" s="12">
        <f t="shared" si="100"/>
        <v>0.47095530293986554</v>
      </c>
      <c r="AN219" s="12">
        <f t="shared" si="100"/>
        <v>0.75352848470378486</v>
      </c>
      <c r="AO219" s="12">
        <f t="shared" si="100"/>
        <v>1.1302927270556773</v>
      </c>
      <c r="AP219" s="12">
        <f t="shared" si="100"/>
        <v>0</v>
      </c>
      <c r="AQ219" s="12">
        <f t="shared" si="100"/>
        <v>0</v>
      </c>
      <c r="AR219" s="12">
        <f t="shared" si="101"/>
        <v>0</v>
      </c>
      <c r="AS219" s="12">
        <f t="shared" si="101"/>
        <v>0</v>
      </c>
      <c r="AT219" s="69">
        <f t="shared" si="101"/>
        <v>0</v>
      </c>
      <c r="AU219" s="152">
        <f t="shared" si="101"/>
        <v>0</v>
      </c>
      <c r="AV219" s="12">
        <f t="shared" si="101"/>
        <v>0</v>
      </c>
      <c r="AW219" s="12">
        <f t="shared" si="101"/>
        <v>0</v>
      </c>
      <c r="AX219" s="12">
        <f t="shared" si="101"/>
        <v>0</v>
      </c>
      <c r="AY219" s="12">
        <f t="shared" si="101"/>
        <v>0</v>
      </c>
      <c r="BA219" s="88" t="str">
        <f t="shared" ca="1" si="102"/>
        <v>Depreciation</v>
      </c>
      <c r="BB219" s="1" t="str">
        <f t="shared" si="103"/>
        <v>Differential</v>
      </c>
    </row>
    <row r="220" spans="5:54" x14ac:dyDescent="0.35">
      <c r="E220" s="2">
        <v>41364</v>
      </c>
      <c r="G220" t="str">
        <f t="shared" si="97"/>
        <v>£m 23/24 prices</v>
      </c>
      <c r="I220" s="12">
        <f t="shared" si="98"/>
        <v>0</v>
      </c>
      <c r="J220" t="s">
        <v>13</v>
      </c>
      <c r="X220" s="12">
        <f t="shared" ref="X220:AG229" si="104">$I220*X$20</f>
        <v>0</v>
      </c>
      <c r="Y220" s="12">
        <f t="shared" si="104"/>
        <v>0</v>
      </c>
      <c r="Z220" s="12">
        <f t="shared" si="104"/>
        <v>0</v>
      </c>
      <c r="AA220" s="12">
        <f t="shared" si="104"/>
        <v>0</v>
      </c>
      <c r="AB220" s="12">
        <f t="shared" si="104"/>
        <v>0</v>
      </c>
      <c r="AC220" s="12">
        <f t="shared" si="104"/>
        <v>0</v>
      </c>
      <c r="AD220" s="12">
        <f t="shared" si="104"/>
        <v>0</v>
      </c>
      <c r="AE220" s="12">
        <f t="shared" si="104"/>
        <v>0</v>
      </c>
      <c r="AF220" s="12">
        <f t="shared" si="104"/>
        <v>0</v>
      </c>
      <c r="AG220" s="12">
        <f t="shared" si="104"/>
        <v>0</v>
      </c>
      <c r="AH220" s="12">
        <f t="shared" ref="AH220:AQ229" si="105">$I220*AH$20</f>
        <v>0</v>
      </c>
      <c r="AI220" s="12">
        <f t="shared" si="105"/>
        <v>0</v>
      </c>
      <c r="AJ220" s="12">
        <f t="shared" si="105"/>
        <v>0</v>
      </c>
      <c r="AK220" s="12">
        <f t="shared" si="105"/>
        <v>0</v>
      </c>
      <c r="AL220" s="12">
        <f t="shared" si="105"/>
        <v>0</v>
      </c>
      <c r="AM220" s="12">
        <f t="shared" si="105"/>
        <v>0</v>
      </c>
      <c r="AN220" s="12">
        <f t="shared" si="105"/>
        <v>0</v>
      </c>
      <c r="AO220" s="12">
        <f t="shared" si="105"/>
        <v>0</v>
      </c>
      <c r="AP220" s="12">
        <f t="shared" si="105"/>
        <v>0</v>
      </c>
      <c r="AQ220" s="12">
        <f t="shared" si="105"/>
        <v>0</v>
      </c>
      <c r="AR220" s="12">
        <f t="shared" ref="AR220:AY229" si="106">$I220*AR$20</f>
        <v>0</v>
      </c>
      <c r="AS220" s="12">
        <f t="shared" si="106"/>
        <v>0</v>
      </c>
      <c r="AT220" s="69">
        <f t="shared" si="106"/>
        <v>0</v>
      </c>
      <c r="AU220" s="152">
        <f t="shared" si="106"/>
        <v>0</v>
      </c>
      <c r="AV220" s="12">
        <f t="shared" si="106"/>
        <v>0</v>
      </c>
      <c r="AW220" s="12">
        <f t="shared" si="106"/>
        <v>0</v>
      </c>
      <c r="AX220" s="12">
        <f t="shared" si="106"/>
        <v>0</v>
      </c>
      <c r="AY220" s="12">
        <f t="shared" si="106"/>
        <v>0</v>
      </c>
      <c r="BA220" s="88" t="str">
        <f t="shared" ca="1" si="102"/>
        <v>Depreciation</v>
      </c>
      <c r="BB220" s="1" t="str">
        <f t="shared" si="103"/>
        <v>Differential</v>
      </c>
    </row>
    <row r="221" spans="5:54" x14ac:dyDescent="0.35">
      <c r="E221" s="2">
        <v>41729</v>
      </c>
      <c r="G221" t="str">
        <f t="shared" si="97"/>
        <v>£m 23/24 prices</v>
      </c>
      <c r="I221" s="12">
        <f t="shared" si="98"/>
        <v>0</v>
      </c>
      <c r="J221" t="s">
        <v>13</v>
      </c>
      <c r="X221" s="12">
        <f t="shared" si="104"/>
        <v>0</v>
      </c>
      <c r="Y221" s="12">
        <f t="shared" si="104"/>
        <v>0</v>
      </c>
      <c r="Z221" s="12">
        <f t="shared" si="104"/>
        <v>0</v>
      </c>
      <c r="AA221" s="12">
        <f t="shared" si="104"/>
        <v>0</v>
      </c>
      <c r="AB221" s="12">
        <f t="shared" si="104"/>
        <v>0</v>
      </c>
      <c r="AC221" s="12">
        <f t="shared" si="104"/>
        <v>0</v>
      </c>
      <c r="AD221" s="12">
        <f t="shared" si="104"/>
        <v>0</v>
      </c>
      <c r="AE221" s="12">
        <f t="shared" si="104"/>
        <v>0</v>
      </c>
      <c r="AF221" s="12">
        <f t="shared" si="104"/>
        <v>0</v>
      </c>
      <c r="AG221" s="12">
        <f t="shared" si="104"/>
        <v>0</v>
      </c>
      <c r="AH221" s="12">
        <f t="shared" si="105"/>
        <v>0</v>
      </c>
      <c r="AI221" s="12">
        <f t="shared" si="105"/>
        <v>0</v>
      </c>
      <c r="AJ221" s="12">
        <f t="shared" si="105"/>
        <v>0</v>
      </c>
      <c r="AK221" s="12">
        <f t="shared" si="105"/>
        <v>0</v>
      </c>
      <c r="AL221" s="12">
        <f t="shared" si="105"/>
        <v>0</v>
      </c>
      <c r="AM221" s="12">
        <f t="shared" si="105"/>
        <v>0</v>
      </c>
      <c r="AN221" s="12">
        <f t="shared" si="105"/>
        <v>0</v>
      </c>
      <c r="AO221" s="12">
        <f t="shared" si="105"/>
        <v>0</v>
      </c>
      <c r="AP221" s="12">
        <f t="shared" si="105"/>
        <v>0</v>
      </c>
      <c r="AQ221" s="12">
        <f t="shared" si="105"/>
        <v>0</v>
      </c>
      <c r="AR221" s="12">
        <f t="shared" si="106"/>
        <v>0</v>
      </c>
      <c r="AS221" s="12">
        <f t="shared" si="106"/>
        <v>0</v>
      </c>
      <c r="AT221" s="69">
        <f t="shared" si="106"/>
        <v>0</v>
      </c>
      <c r="AU221" s="152">
        <f t="shared" si="106"/>
        <v>0</v>
      </c>
      <c r="AV221" s="12">
        <f t="shared" si="106"/>
        <v>0</v>
      </c>
      <c r="AW221" s="12">
        <f t="shared" si="106"/>
        <v>0</v>
      </c>
      <c r="AX221" s="12">
        <f t="shared" si="106"/>
        <v>0</v>
      </c>
      <c r="AY221" s="12">
        <f t="shared" si="106"/>
        <v>0</v>
      </c>
      <c r="BA221" s="88" t="str">
        <f t="shared" ca="1" si="102"/>
        <v>Depreciation</v>
      </c>
      <c r="BB221" s="1" t="str">
        <f t="shared" si="103"/>
        <v>Differential</v>
      </c>
    </row>
    <row r="222" spans="5:54" x14ac:dyDescent="0.35">
      <c r="E222" s="2">
        <v>42094</v>
      </c>
      <c r="G222" t="str">
        <f t="shared" si="97"/>
        <v>£m 23/24 prices</v>
      </c>
      <c r="I222" s="12">
        <f t="shared" si="98"/>
        <v>0</v>
      </c>
      <c r="J222" t="s">
        <v>13</v>
      </c>
      <c r="X222" s="12">
        <f t="shared" si="104"/>
        <v>0</v>
      </c>
      <c r="Y222" s="12">
        <f t="shared" si="104"/>
        <v>0</v>
      </c>
      <c r="Z222" s="12">
        <f t="shared" si="104"/>
        <v>0</v>
      </c>
      <c r="AA222" s="12">
        <f t="shared" si="104"/>
        <v>0</v>
      </c>
      <c r="AB222" s="12">
        <f t="shared" si="104"/>
        <v>0</v>
      </c>
      <c r="AC222" s="12">
        <f t="shared" si="104"/>
        <v>0</v>
      </c>
      <c r="AD222" s="12">
        <f t="shared" si="104"/>
        <v>0</v>
      </c>
      <c r="AE222" s="12">
        <f t="shared" si="104"/>
        <v>0</v>
      </c>
      <c r="AF222" s="12">
        <f t="shared" si="104"/>
        <v>0</v>
      </c>
      <c r="AG222" s="12">
        <f t="shared" si="104"/>
        <v>0</v>
      </c>
      <c r="AH222" s="12">
        <f t="shared" si="105"/>
        <v>0</v>
      </c>
      <c r="AI222" s="12">
        <f t="shared" si="105"/>
        <v>0</v>
      </c>
      <c r="AJ222" s="12">
        <f t="shared" si="105"/>
        <v>0</v>
      </c>
      <c r="AK222" s="12">
        <f t="shared" si="105"/>
        <v>0</v>
      </c>
      <c r="AL222" s="12">
        <f t="shared" si="105"/>
        <v>0</v>
      </c>
      <c r="AM222" s="12">
        <f t="shared" si="105"/>
        <v>0</v>
      </c>
      <c r="AN222" s="12">
        <f t="shared" si="105"/>
        <v>0</v>
      </c>
      <c r="AO222" s="12">
        <f t="shared" si="105"/>
        <v>0</v>
      </c>
      <c r="AP222" s="12">
        <f t="shared" si="105"/>
        <v>0</v>
      </c>
      <c r="AQ222" s="12">
        <f t="shared" si="105"/>
        <v>0</v>
      </c>
      <c r="AR222" s="12">
        <f t="shared" si="106"/>
        <v>0</v>
      </c>
      <c r="AS222" s="12">
        <f t="shared" si="106"/>
        <v>0</v>
      </c>
      <c r="AT222" s="69">
        <f t="shared" si="106"/>
        <v>0</v>
      </c>
      <c r="AU222" s="152">
        <f t="shared" si="106"/>
        <v>0</v>
      </c>
      <c r="AV222" s="12">
        <f t="shared" si="106"/>
        <v>0</v>
      </c>
      <c r="AW222" s="12">
        <f t="shared" si="106"/>
        <v>0</v>
      </c>
      <c r="AX222" s="12">
        <f t="shared" si="106"/>
        <v>0</v>
      </c>
      <c r="AY222" s="12">
        <f t="shared" si="106"/>
        <v>0</v>
      </c>
      <c r="BA222" s="88" t="str">
        <f t="shared" ca="1" si="102"/>
        <v>Depreciation</v>
      </c>
      <c r="BB222" s="1" t="str">
        <f t="shared" si="103"/>
        <v>Differential</v>
      </c>
    </row>
    <row r="223" spans="5:54" x14ac:dyDescent="0.35">
      <c r="E223" s="2">
        <v>42460</v>
      </c>
      <c r="G223" t="str">
        <f t="shared" si="97"/>
        <v>£m 23/24 prices</v>
      </c>
      <c r="I223" s="12">
        <f t="shared" si="98"/>
        <v>0</v>
      </c>
      <c r="J223" t="s">
        <v>13</v>
      </c>
      <c r="X223" s="12">
        <f t="shared" si="104"/>
        <v>0</v>
      </c>
      <c r="Y223" s="12">
        <f t="shared" si="104"/>
        <v>0</v>
      </c>
      <c r="Z223" s="12">
        <f t="shared" si="104"/>
        <v>0</v>
      </c>
      <c r="AA223" s="12">
        <f t="shared" si="104"/>
        <v>0</v>
      </c>
      <c r="AB223" s="12">
        <f t="shared" si="104"/>
        <v>0</v>
      </c>
      <c r="AC223" s="12">
        <f t="shared" si="104"/>
        <v>0</v>
      </c>
      <c r="AD223" s="12">
        <f t="shared" si="104"/>
        <v>0</v>
      </c>
      <c r="AE223" s="12">
        <f t="shared" si="104"/>
        <v>0</v>
      </c>
      <c r="AF223" s="12">
        <f t="shared" si="104"/>
        <v>0</v>
      </c>
      <c r="AG223" s="12">
        <f t="shared" si="104"/>
        <v>0</v>
      </c>
      <c r="AH223" s="12">
        <f t="shared" si="105"/>
        <v>0</v>
      </c>
      <c r="AI223" s="12">
        <f t="shared" si="105"/>
        <v>0</v>
      </c>
      <c r="AJ223" s="12">
        <f t="shared" si="105"/>
        <v>0</v>
      </c>
      <c r="AK223" s="12">
        <f t="shared" si="105"/>
        <v>0</v>
      </c>
      <c r="AL223" s="12">
        <f t="shared" si="105"/>
        <v>0</v>
      </c>
      <c r="AM223" s="12">
        <f t="shared" si="105"/>
        <v>0</v>
      </c>
      <c r="AN223" s="12">
        <f t="shared" si="105"/>
        <v>0</v>
      </c>
      <c r="AO223" s="12">
        <f t="shared" si="105"/>
        <v>0</v>
      </c>
      <c r="AP223" s="12">
        <f t="shared" si="105"/>
        <v>0</v>
      </c>
      <c r="AQ223" s="12">
        <f t="shared" si="105"/>
        <v>0</v>
      </c>
      <c r="AR223" s="12">
        <f t="shared" si="106"/>
        <v>0</v>
      </c>
      <c r="AS223" s="12">
        <f t="shared" si="106"/>
        <v>0</v>
      </c>
      <c r="AT223" s="69">
        <f t="shared" si="106"/>
        <v>0</v>
      </c>
      <c r="AU223" s="152">
        <f t="shared" si="106"/>
        <v>0</v>
      </c>
      <c r="AV223" s="12">
        <f t="shared" si="106"/>
        <v>0</v>
      </c>
      <c r="AW223" s="12">
        <f t="shared" si="106"/>
        <v>0</v>
      </c>
      <c r="AX223" s="12">
        <f t="shared" si="106"/>
        <v>0</v>
      </c>
      <c r="AY223" s="12">
        <f t="shared" si="106"/>
        <v>0</v>
      </c>
      <c r="BA223" s="88" t="str">
        <f t="shared" ca="1" si="102"/>
        <v>Depreciation</v>
      </c>
      <c r="BB223" s="1" t="str">
        <f t="shared" si="103"/>
        <v>Differential</v>
      </c>
    </row>
    <row r="224" spans="5:54" x14ac:dyDescent="0.35">
      <c r="E224" s="2">
        <v>42825</v>
      </c>
      <c r="G224" t="str">
        <f t="shared" si="97"/>
        <v>£m 23/24 prices</v>
      </c>
      <c r="I224" s="12">
        <f t="shared" si="98"/>
        <v>0</v>
      </c>
      <c r="J224" t="s">
        <v>13</v>
      </c>
      <c r="X224" s="12">
        <f t="shared" si="104"/>
        <v>0</v>
      </c>
      <c r="Y224" s="12">
        <f t="shared" si="104"/>
        <v>0</v>
      </c>
      <c r="Z224" s="12">
        <f t="shared" si="104"/>
        <v>0</v>
      </c>
      <c r="AA224" s="12">
        <f t="shared" si="104"/>
        <v>0</v>
      </c>
      <c r="AB224" s="12">
        <f t="shared" si="104"/>
        <v>0</v>
      </c>
      <c r="AC224" s="12">
        <f t="shared" si="104"/>
        <v>0</v>
      </c>
      <c r="AD224" s="12">
        <f t="shared" si="104"/>
        <v>0</v>
      </c>
      <c r="AE224" s="12">
        <f t="shared" si="104"/>
        <v>0</v>
      </c>
      <c r="AF224" s="12">
        <f t="shared" si="104"/>
        <v>0</v>
      </c>
      <c r="AG224" s="12">
        <f t="shared" si="104"/>
        <v>0</v>
      </c>
      <c r="AH224" s="12">
        <f t="shared" si="105"/>
        <v>0</v>
      </c>
      <c r="AI224" s="12">
        <f t="shared" si="105"/>
        <v>0</v>
      </c>
      <c r="AJ224" s="12">
        <f t="shared" si="105"/>
        <v>0</v>
      </c>
      <c r="AK224" s="12">
        <f t="shared" si="105"/>
        <v>0</v>
      </c>
      <c r="AL224" s="12">
        <f t="shared" si="105"/>
        <v>0</v>
      </c>
      <c r="AM224" s="12">
        <f t="shared" si="105"/>
        <v>0</v>
      </c>
      <c r="AN224" s="12">
        <f t="shared" si="105"/>
        <v>0</v>
      </c>
      <c r="AO224" s="12">
        <f t="shared" si="105"/>
        <v>0</v>
      </c>
      <c r="AP224" s="12">
        <f t="shared" si="105"/>
        <v>0</v>
      </c>
      <c r="AQ224" s="12">
        <f t="shared" si="105"/>
        <v>0</v>
      </c>
      <c r="AR224" s="12">
        <f t="shared" si="106"/>
        <v>0</v>
      </c>
      <c r="AS224" s="12">
        <f t="shared" si="106"/>
        <v>0</v>
      </c>
      <c r="AT224" s="69">
        <f t="shared" si="106"/>
        <v>0</v>
      </c>
      <c r="AU224" s="152">
        <f t="shared" si="106"/>
        <v>0</v>
      </c>
      <c r="AV224" s="12">
        <f t="shared" si="106"/>
        <v>0</v>
      </c>
      <c r="AW224" s="12">
        <f t="shared" si="106"/>
        <v>0</v>
      </c>
      <c r="AX224" s="12">
        <f t="shared" si="106"/>
        <v>0</v>
      </c>
      <c r="AY224" s="12">
        <f t="shared" si="106"/>
        <v>0</v>
      </c>
      <c r="BA224" s="88" t="str">
        <f t="shared" ca="1" si="102"/>
        <v>Depreciation</v>
      </c>
      <c r="BB224" s="1" t="str">
        <f t="shared" si="103"/>
        <v>Differential</v>
      </c>
    </row>
    <row r="225" spans="5:54" x14ac:dyDescent="0.35">
      <c r="E225" s="2">
        <v>43190</v>
      </c>
      <c r="G225" t="str">
        <f t="shared" si="97"/>
        <v>£m 23/24 prices</v>
      </c>
      <c r="I225" s="12">
        <f t="shared" si="98"/>
        <v>0</v>
      </c>
      <c r="J225" t="s">
        <v>13</v>
      </c>
      <c r="X225" s="12">
        <f t="shared" si="104"/>
        <v>0</v>
      </c>
      <c r="Y225" s="12">
        <f t="shared" si="104"/>
        <v>0</v>
      </c>
      <c r="Z225" s="12">
        <f t="shared" si="104"/>
        <v>0</v>
      </c>
      <c r="AA225" s="12">
        <f t="shared" si="104"/>
        <v>0</v>
      </c>
      <c r="AB225" s="12">
        <f t="shared" si="104"/>
        <v>0</v>
      </c>
      <c r="AC225" s="12">
        <f t="shared" si="104"/>
        <v>0</v>
      </c>
      <c r="AD225" s="12">
        <f t="shared" si="104"/>
        <v>0</v>
      </c>
      <c r="AE225" s="12">
        <f t="shared" si="104"/>
        <v>0</v>
      </c>
      <c r="AF225" s="12">
        <f t="shared" si="104"/>
        <v>0</v>
      </c>
      <c r="AG225" s="12">
        <f t="shared" si="104"/>
        <v>0</v>
      </c>
      <c r="AH225" s="12">
        <f t="shared" si="105"/>
        <v>0</v>
      </c>
      <c r="AI225" s="12">
        <f t="shared" si="105"/>
        <v>0</v>
      </c>
      <c r="AJ225" s="12">
        <f t="shared" si="105"/>
        <v>0</v>
      </c>
      <c r="AK225" s="12">
        <f t="shared" si="105"/>
        <v>0</v>
      </c>
      <c r="AL225" s="12">
        <f t="shared" si="105"/>
        <v>0</v>
      </c>
      <c r="AM225" s="12">
        <f t="shared" si="105"/>
        <v>0</v>
      </c>
      <c r="AN225" s="12">
        <f t="shared" si="105"/>
        <v>0</v>
      </c>
      <c r="AO225" s="12">
        <f t="shared" si="105"/>
        <v>0</v>
      </c>
      <c r="AP225" s="12">
        <f t="shared" si="105"/>
        <v>0</v>
      </c>
      <c r="AQ225" s="12">
        <f t="shared" si="105"/>
        <v>0</v>
      </c>
      <c r="AR225" s="12">
        <f t="shared" si="106"/>
        <v>0</v>
      </c>
      <c r="AS225" s="12">
        <f t="shared" si="106"/>
        <v>0</v>
      </c>
      <c r="AT225" s="69">
        <f t="shared" si="106"/>
        <v>0</v>
      </c>
      <c r="AU225" s="152">
        <f t="shared" si="106"/>
        <v>0</v>
      </c>
      <c r="AV225" s="12">
        <f t="shared" si="106"/>
        <v>0</v>
      </c>
      <c r="AW225" s="12">
        <f t="shared" si="106"/>
        <v>0</v>
      </c>
      <c r="AX225" s="12">
        <f t="shared" si="106"/>
        <v>0</v>
      </c>
      <c r="AY225" s="12">
        <f t="shared" si="106"/>
        <v>0</v>
      </c>
      <c r="BA225" s="88" t="str">
        <f t="shared" ca="1" si="102"/>
        <v>Depreciation</v>
      </c>
      <c r="BB225" s="1" t="str">
        <f t="shared" si="103"/>
        <v>Differential</v>
      </c>
    </row>
    <row r="226" spans="5:54" x14ac:dyDescent="0.35">
      <c r="E226" s="2">
        <v>43555</v>
      </c>
      <c r="G226" t="str">
        <f t="shared" si="97"/>
        <v>£m 23/24 prices</v>
      </c>
      <c r="I226" s="12">
        <f t="shared" si="98"/>
        <v>0</v>
      </c>
      <c r="J226" t="s">
        <v>13</v>
      </c>
      <c r="X226" s="12">
        <f t="shared" si="104"/>
        <v>0</v>
      </c>
      <c r="Y226" s="12">
        <f t="shared" si="104"/>
        <v>0</v>
      </c>
      <c r="Z226" s="12">
        <f t="shared" si="104"/>
        <v>0</v>
      </c>
      <c r="AA226" s="12">
        <f t="shared" si="104"/>
        <v>0</v>
      </c>
      <c r="AB226" s="12">
        <f t="shared" si="104"/>
        <v>0</v>
      </c>
      <c r="AC226" s="12">
        <f t="shared" si="104"/>
        <v>0</v>
      </c>
      <c r="AD226" s="12">
        <f t="shared" si="104"/>
        <v>0</v>
      </c>
      <c r="AE226" s="12">
        <f t="shared" si="104"/>
        <v>0</v>
      </c>
      <c r="AF226" s="12">
        <f t="shared" si="104"/>
        <v>0</v>
      </c>
      <c r="AG226" s="12">
        <f t="shared" si="104"/>
        <v>0</v>
      </c>
      <c r="AH226" s="12">
        <f t="shared" si="105"/>
        <v>0</v>
      </c>
      <c r="AI226" s="12">
        <f t="shared" si="105"/>
        <v>0</v>
      </c>
      <c r="AJ226" s="12">
        <f t="shared" si="105"/>
        <v>0</v>
      </c>
      <c r="AK226" s="12">
        <f t="shared" si="105"/>
        <v>0</v>
      </c>
      <c r="AL226" s="12">
        <f t="shared" si="105"/>
        <v>0</v>
      </c>
      <c r="AM226" s="12">
        <f t="shared" si="105"/>
        <v>0</v>
      </c>
      <c r="AN226" s="12">
        <f t="shared" si="105"/>
        <v>0</v>
      </c>
      <c r="AO226" s="12">
        <f t="shared" si="105"/>
        <v>0</v>
      </c>
      <c r="AP226" s="12">
        <f t="shared" si="105"/>
        <v>0</v>
      </c>
      <c r="AQ226" s="12">
        <f t="shared" si="105"/>
        <v>0</v>
      </c>
      <c r="AR226" s="12">
        <f t="shared" si="106"/>
        <v>0</v>
      </c>
      <c r="AS226" s="12">
        <f t="shared" si="106"/>
        <v>0</v>
      </c>
      <c r="AT226" s="69">
        <f t="shared" si="106"/>
        <v>0</v>
      </c>
      <c r="AU226" s="152">
        <f t="shared" si="106"/>
        <v>0</v>
      </c>
      <c r="AV226" s="12">
        <f t="shared" si="106"/>
        <v>0</v>
      </c>
      <c r="AW226" s="12">
        <f t="shared" si="106"/>
        <v>0</v>
      </c>
      <c r="AX226" s="12">
        <f t="shared" si="106"/>
        <v>0</v>
      </c>
      <c r="AY226" s="12">
        <f t="shared" si="106"/>
        <v>0</v>
      </c>
      <c r="BA226" s="88" t="str">
        <f t="shared" ca="1" si="102"/>
        <v>Depreciation</v>
      </c>
      <c r="BB226" s="1" t="str">
        <f t="shared" si="103"/>
        <v>Differential</v>
      </c>
    </row>
    <row r="227" spans="5:54" x14ac:dyDescent="0.35">
      <c r="E227" s="2">
        <v>43921</v>
      </c>
      <c r="G227" t="str">
        <f t="shared" si="97"/>
        <v>£m 23/24 prices</v>
      </c>
      <c r="I227" s="12">
        <f t="shared" si="98"/>
        <v>0</v>
      </c>
      <c r="J227" t="s">
        <v>13</v>
      </c>
      <c r="X227" s="12">
        <f t="shared" si="104"/>
        <v>0</v>
      </c>
      <c r="Y227" s="12">
        <f t="shared" si="104"/>
        <v>0</v>
      </c>
      <c r="Z227" s="12">
        <f t="shared" si="104"/>
        <v>0</v>
      </c>
      <c r="AA227" s="12">
        <f t="shared" si="104"/>
        <v>0</v>
      </c>
      <c r="AB227" s="12">
        <f t="shared" si="104"/>
        <v>0</v>
      </c>
      <c r="AC227" s="12">
        <f t="shared" si="104"/>
        <v>0</v>
      </c>
      <c r="AD227" s="12">
        <f t="shared" si="104"/>
        <v>0</v>
      </c>
      <c r="AE227" s="12">
        <f t="shared" si="104"/>
        <v>0</v>
      </c>
      <c r="AF227" s="12">
        <f t="shared" si="104"/>
        <v>0</v>
      </c>
      <c r="AG227" s="12">
        <f t="shared" si="104"/>
        <v>0</v>
      </c>
      <c r="AH227" s="12">
        <f t="shared" si="105"/>
        <v>0</v>
      </c>
      <c r="AI227" s="12">
        <f t="shared" si="105"/>
        <v>0</v>
      </c>
      <c r="AJ227" s="12">
        <f t="shared" si="105"/>
        <v>0</v>
      </c>
      <c r="AK227" s="12">
        <f t="shared" si="105"/>
        <v>0</v>
      </c>
      <c r="AL227" s="12">
        <f t="shared" si="105"/>
        <v>0</v>
      </c>
      <c r="AM227" s="12">
        <f t="shared" si="105"/>
        <v>0</v>
      </c>
      <c r="AN227" s="12">
        <f t="shared" si="105"/>
        <v>0</v>
      </c>
      <c r="AO227" s="12">
        <f t="shared" si="105"/>
        <v>0</v>
      </c>
      <c r="AP227" s="12">
        <f t="shared" si="105"/>
        <v>0</v>
      </c>
      <c r="AQ227" s="12">
        <f t="shared" si="105"/>
        <v>0</v>
      </c>
      <c r="AR227" s="12">
        <f t="shared" si="106"/>
        <v>0</v>
      </c>
      <c r="AS227" s="12">
        <f t="shared" si="106"/>
        <v>0</v>
      </c>
      <c r="AT227" s="69">
        <f t="shared" si="106"/>
        <v>0</v>
      </c>
      <c r="AU227" s="152">
        <f t="shared" si="106"/>
        <v>0</v>
      </c>
      <c r="AV227" s="12">
        <f t="shared" si="106"/>
        <v>0</v>
      </c>
      <c r="AW227" s="12">
        <f t="shared" si="106"/>
        <v>0</v>
      </c>
      <c r="AX227" s="12">
        <f t="shared" si="106"/>
        <v>0</v>
      </c>
      <c r="AY227" s="12">
        <f t="shared" si="106"/>
        <v>0</v>
      </c>
      <c r="BA227" s="88" t="str">
        <f t="shared" ca="1" si="102"/>
        <v>Depreciation</v>
      </c>
      <c r="BB227" s="1" t="str">
        <f t="shared" si="103"/>
        <v>Differential</v>
      </c>
    </row>
    <row r="228" spans="5:54" x14ac:dyDescent="0.35">
      <c r="E228" s="2">
        <v>44286</v>
      </c>
      <c r="G228" t="str">
        <f t="shared" si="97"/>
        <v>£m 23/24 prices</v>
      </c>
      <c r="I228" s="12">
        <f t="shared" si="98"/>
        <v>0</v>
      </c>
      <c r="J228" t="s">
        <v>13</v>
      </c>
      <c r="X228" s="12">
        <f t="shared" si="104"/>
        <v>0</v>
      </c>
      <c r="Y228" s="12">
        <f t="shared" si="104"/>
        <v>0</v>
      </c>
      <c r="Z228" s="12">
        <f t="shared" si="104"/>
        <v>0</v>
      </c>
      <c r="AA228" s="12">
        <f t="shared" si="104"/>
        <v>0</v>
      </c>
      <c r="AB228" s="12">
        <f t="shared" si="104"/>
        <v>0</v>
      </c>
      <c r="AC228" s="12">
        <f t="shared" si="104"/>
        <v>0</v>
      </c>
      <c r="AD228" s="12">
        <f t="shared" si="104"/>
        <v>0</v>
      </c>
      <c r="AE228" s="12">
        <f t="shared" si="104"/>
        <v>0</v>
      </c>
      <c r="AF228" s="12">
        <f t="shared" si="104"/>
        <v>0</v>
      </c>
      <c r="AG228" s="12">
        <f t="shared" si="104"/>
        <v>0</v>
      </c>
      <c r="AH228" s="12">
        <f t="shared" si="105"/>
        <v>0</v>
      </c>
      <c r="AI228" s="12">
        <f t="shared" si="105"/>
        <v>0</v>
      </c>
      <c r="AJ228" s="12">
        <f t="shared" si="105"/>
        <v>0</v>
      </c>
      <c r="AK228" s="12">
        <f t="shared" si="105"/>
        <v>0</v>
      </c>
      <c r="AL228" s="12">
        <f t="shared" si="105"/>
        <v>0</v>
      </c>
      <c r="AM228" s="12">
        <f t="shared" si="105"/>
        <v>0</v>
      </c>
      <c r="AN228" s="12">
        <f t="shared" si="105"/>
        <v>0</v>
      </c>
      <c r="AO228" s="12">
        <f t="shared" si="105"/>
        <v>0</v>
      </c>
      <c r="AP228" s="12">
        <f t="shared" si="105"/>
        <v>0</v>
      </c>
      <c r="AQ228" s="12">
        <f t="shared" si="105"/>
        <v>0</v>
      </c>
      <c r="AR228" s="12">
        <f t="shared" si="106"/>
        <v>0</v>
      </c>
      <c r="AS228" s="12">
        <f t="shared" si="106"/>
        <v>0</v>
      </c>
      <c r="AT228" s="69">
        <f t="shared" si="106"/>
        <v>0</v>
      </c>
      <c r="AU228" s="152">
        <f t="shared" si="106"/>
        <v>0</v>
      </c>
      <c r="AV228" s="12">
        <f t="shared" si="106"/>
        <v>0</v>
      </c>
      <c r="AW228" s="12">
        <f t="shared" si="106"/>
        <v>0</v>
      </c>
      <c r="AX228" s="12">
        <f t="shared" si="106"/>
        <v>0</v>
      </c>
      <c r="AY228" s="12">
        <f t="shared" si="106"/>
        <v>0</v>
      </c>
      <c r="BA228" s="88" t="str">
        <f t="shared" ca="1" si="102"/>
        <v>Depreciation</v>
      </c>
      <c r="BB228" s="1" t="str">
        <f t="shared" si="103"/>
        <v>Differential</v>
      </c>
    </row>
    <row r="229" spans="5:54" x14ac:dyDescent="0.35">
      <c r="E229" s="2">
        <v>44651</v>
      </c>
      <c r="G229" t="str">
        <f t="shared" si="97"/>
        <v>£m 23/24 prices</v>
      </c>
      <c r="I229" s="12">
        <f t="shared" si="98"/>
        <v>0</v>
      </c>
      <c r="J229" t="s">
        <v>13</v>
      </c>
      <c r="X229" s="12">
        <f t="shared" si="104"/>
        <v>0</v>
      </c>
      <c r="Y229" s="12">
        <f t="shared" si="104"/>
        <v>0</v>
      </c>
      <c r="Z229" s="12">
        <f t="shared" si="104"/>
        <v>0</v>
      </c>
      <c r="AA229" s="12">
        <f t="shared" si="104"/>
        <v>0</v>
      </c>
      <c r="AB229" s="12">
        <f t="shared" si="104"/>
        <v>0</v>
      </c>
      <c r="AC229" s="12">
        <f t="shared" si="104"/>
        <v>0</v>
      </c>
      <c r="AD229" s="12">
        <f t="shared" si="104"/>
        <v>0</v>
      </c>
      <c r="AE229" s="12">
        <f t="shared" si="104"/>
        <v>0</v>
      </c>
      <c r="AF229" s="12">
        <f t="shared" si="104"/>
        <v>0</v>
      </c>
      <c r="AG229" s="12">
        <f t="shared" si="104"/>
        <v>0</v>
      </c>
      <c r="AH229" s="12">
        <f t="shared" si="105"/>
        <v>0</v>
      </c>
      <c r="AI229" s="12">
        <f t="shared" si="105"/>
        <v>0</v>
      </c>
      <c r="AJ229" s="12">
        <f t="shared" si="105"/>
        <v>0</v>
      </c>
      <c r="AK229" s="12">
        <f t="shared" si="105"/>
        <v>0</v>
      </c>
      <c r="AL229" s="12">
        <f t="shared" si="105"/>
        <v>0</v>
      </c>
      <c r="AM229" s="12">
        <f t="shared" si="105"/>
        <v>0</v>
      </c>
      <c r="AN229" s="12">
        <f t="shared" si="105"/>
        <v>0</v>
      </c>
      <c r="AO229" s="12">
        <f t="shared" si="105"/>
        <v>0</v>
      </c>
      <c r="AP229" s="12">
        <f t="shared" si="105"/>
        <v>0</v>
      </c>
      <c r="AQ229" s="12">
        <f t="shared" si="105"/>
        <v>0</v>
      </c>
      <c r="AR229" s="12">
        <f t="shared" si="106"/>
        <v>0</v>
      </c>
      <c r="AS229" s="12">
        <f t="shared" si="106"/>
        <v>0</v>
      </c>
      <c r="AT229" s="69">
        <f t="shared" si="106"/>
        <v>0</v>
      </c>
      <c r="AU229" s="152">
        <f t="shared" si="106"/>
        <v>0</v>
      </c>
      <c r="AV229" s="12">
        <f t="shared" si="106"/>
        <v>0</v>
      </c>
      <c r="AW229" s="12">
        <f t="shared" si="106"/>
        <v>0</v>
      </c>
      <c r="AX229" s="12">
        <f t="shared" si="106"/>
        <v>0</v>
      </c>
      <c r="AY229" s="12">
        <f t="shared" si="106"/>
        <v>0</v>
      </c>
      <c r="BA229" s="88" t="str">
        <f t="shared" ca="1" si="102"/>
        <v>Depreciation</v>
      </c>
      <c r="BB229" s="1" t="str">
        <f t="shared" si="103"/>
        <v>Differential</v>
      </c>
    </row>
    <row r="230" spans="5:54" x14ac:dyDescent="0.35">
      <c r="E230" s="2">
        <v>45016</v>
      </c>
      <c r="G230" t="str">
        <f t="shared" si="97"/>
        <v>£m 23/24 prices</v>
      </c>
      <c r="I230" s="12">
        <f t="shared" si="98"/>
        <v>0</v>
      </c>
      <c r="J230" t="s">
        <v>13</v>
      </c>
      <c r="X230" s="12">
        <f t="shared" ref="X230:AG238" si="107">$I230*X$20</f>
        <v>0</v>
      </c>
      <c r="Y230" s="12">
        <f t="shared" si="107"/>
        <v>0</v>
      </c>
      <c r="Z230" s="12">
        <f t="shared" si="107"/>
        <v>0</v>
      </c>
      <c r="AA230" s="12">
        <f t="shared" si="107"/>
        <v>0</v>
      </c>
      <c r="AB230" s="12">
        <f t="shared" si="107"/>
        <v>0</v>
      </c>
      <c r="AC230" s="12">
        <f t="shared" si="107"/>
        <v>0</v>
      </c>
      <c r="AD230" s="12">
        <f t="shared" si="107"/>
        <v>0</v>
      </c>
      <c r="AE230" s="12">
        <f t="shared" si="107"/>
        <v>0</v>
      </c>
      <c r="AF230" s="12">
        <f t="shared" si="107"/>
        <v>0</v>
      </c>
      <c r="AG230" s="12">
        <f t="shared" si="107"/>
        <v>0</v>
      </c>
      <c r="AH230" s="12">
        <f t="shared" ref="AH230:AQ238" si="108">$I230*AH$20</f>
        <v>0</v>
      </c>
      <c r="AI230" s="12">
        <f t="shared" si="108"/>
        <v>0</v>
      </c>
      <c r="AJ230" s="12">
        <f t="shared" si="108"/>
        <v>0</v>
      </c>
      <c r="AK230" s="12">
        <f t="shared" si="108"/>
        <v>0</v>
      </c>
      <c r="AL230" s="12">
        <f t="shared" si="108"/>
        <v>0</v>
      </c>
      <c r="AM230" s="12">
        <f t="shared" si="108"/>
        <v>0</v>
      </c>
      <c r="AN230" s="12">
        <f t="shared" si="108"/>
        <v>0</v>
      </c>
      <c r="AO230" s="12">
        <f t="shared" si="108"/>
        <v>0</v>
      </c>
      <c r="AP230" s="12">
        <f t="shared" si="108"/>
        <v>0</v>
      </c>
      <c r="AQ230" s="12">
        <f t="shared" si="108"/>
        <v>0</v>
      </c>
      <c r="AR230" s="12">
        <f t="shared" ref="AR230:AY238" si="109">$I230*AR$20</f>
        <v>0</v>
      </c>
      <c r="AS230" s="12">
        <f t="shared" si="109"/>
        <v>0</v>
      </c>
      <c r="AT230" s="69">
        <f t="shared" si="109"/>
        <v>0</v>
      </c>
      <c r="AU230" s="152">
        <f t="shared" si="109"/>
        <v>0</v>
      </c>
      <c r="AV230" s="12">
        <f t="shared" si="109"/>
        <v>0</v>
      </c>
      <c r="AW230" s="12">
        <f t="shared" si="109"/>
        <v>0</v>
      </c>
      <c r="AX230" s="12">
        <f t="shared" si="109"/>
        <v>0</v>
      </c>
      <c r="AY230" s="12">
        <f t="shared" si="109"/>
        <v>0</v>
      </c>
      <c r="BA230" s="88" t="str">
        <f t="shared" ca="1" si="102"/>
        <v>Depreciation</v>
      </c>
      <c r="BB230" s="1" t="str">
        <f t="shared" si="103"/>
        <v>Differential</v>
      </c>
    </row>
    <row r="231" spans="5:54" x14ac:dyDescent="0.35">
      <c r="E231" s="2">
        <v>45382</v>
      </c>
      <c r="G231" t="str">
        <f t="shared" si="97"/>
        <v>£m 23/24 prices</v>
      </c>
      <c r="I231" s="12">
        <f t="shared" si="98"/>
        <v>0</v>
      </c>
      <c r="J231" t="s">
        <v>13</v>
      </c>
      <c r="X231" s="12">
        <f t="shared" si="107"/>
        <v>0</v>
      </c>
      <c r="Y231" s="12">
        <f t="shared" si="107"/>
        <v>0</v>
      </c>
      <c r="Z231" s="12">
        <f t="shared" si="107"/>
        <v>0</v>
      </c>
      <c r="AA231" s="12">
        <f t="shared" si="107"/>
        <v>0</v>
      </c>
      <c r="AB231" s="12">
        <f t="shared" si="107"/>
        <v>0</v>
      </c>
      <c r="AC231" s="12">
        <f t="shared" si="107"/>
        <v>0</v>
      </c>
      <c r="AD231" s="12">
        <f t="shared" si="107"/>
        <v>0</v>
      </c>
      <c r="AE231" s="12">
        <f t="shared" si="107"/>
        <v>0</v>
      </c>
      <c r="AF231" s="12">
        <f t="shared" si="107"/>
        <v>0</v>
      </c>
      <c r="AG231" s="12">
        <f t="shared" si="107"/>
        <v>0</v>
      </c>
      <c r="AH231" s="12">
        <f t="shared" si="108"/>
        <v>0</v>
      </c>
      <c r="AI231" s="12">
        <f t="shared" si="108"/>
        <v>0</v>
      </c>
      <c r="AJ231" s="12">
        <f t="shared" si="108"/>
        <v>0</v>
      </c>
      <c r="AK231" s="12">
        <f t="shared" si="108"/>
        <v>0</v>
      </c>
      <c r="AL231" s="12">
        <f t="shared" si="108"/>
        <v>0</v>
      </c>
      <c r="AM231" s="12">
        <f t="shared" si="108"/>
        <v>0</v>
      </c>
      <c r="AN231" s="12">
        <f t="shared" si="108"/>
        <v>0</v>
      </c>
      <c r="AO231" s="12">
        <f t="shared" si="108"/>
        <v>0</v>
      </c>
      <c r="AP231" s="12">
        <f t="shared" si="108"/>
        <v>0</v>
      </c>
      <c r="AQ231" s="12">
        <f t="shared" si="108"/>
        <v>0</v>
      </c>
      <c r="AR231" s="12">
        <f t="shared" si="109"/>
        <v>0</v>
      </c>
      <c r="AS231" s="12">
        <f t="shared" si="109"/>
        <v>0</v>
      </c>
      <c r="AT231" s="69">
        <f t="shared" si="109"/>
        <v>0</v>
      </c>
      <c r="AU231" s="152">
        <f t="shared" si="109"/>
        <v>0</v>
      </c>
      <c r="AV231" s="12">
        <f t="shared" si="109"/>
        <v>0</v>
      </c>
      <c r="AW231" s="12">
        <f t="shared" si="109"/>
        <v>0</v>
      </c>
      <c r="AX231" s="12">
        <f t="shared" si="109"/>
        <v>0</v>
      </c>
      <c r="AY231" s="12">
        <f t="shared" si="109"/>
        <v>0</v>
      </c>
      <c r="BA231" s="88" t="str">
        <f t="shared" ca="1" si="102"/>
        <v>Depreciation</v>
      </c>
      <c r="BB231" s="1" t="str">
        <f t="shared" si="103"/>
        <v>Differential</v>
      </c>
    </row>
    <row r="232" spans="5:54" x14ac:dyDescent="0.35">
      <c r="E232" s="2">
        <v>45747</v>
      </c>
      <c r="G232" t="str">
        <f t="shared" si="97"/>
        <v>£m 23/24 prices</v>
      </c>
      <c r="I232" s="12">
        <f t="shared" si="98"/>
        <v>0</v>
      </c>
      <c r="J232" t="s">
        <v>13</v>
      </c>
      <c r="X232" s="12">
        <f t="shared" si="107"/>
        <v>0</v>
      </c>
      <c r="Y232" s="12">
        <f t="shared" si="107"/>
        <v>0</v>
      </c>
      <c r="Z232" s="12">
        <f t="shared" si="107"/>
        <v>0</v>
      </c>
      <c r="AA232" s="12">
        <f t="shared" si="107"/>
        <v>0</v>
      </c>
      <c r="AB232" s="12">
        <f t="shared" si="107"/>
        <v>0</v>
      </c>
      <c r="AC232" s="12">
        <f t="shared" si="107"/>
        <v>0</v>
      </c>
      <c r="AD232" s="12">
        <f t="shared" si="107"/>
        <v>0</v>
      </c>
      <c r="AE232" s="12">
        <f t="shared" si="107"/>
        <v>0</v>
      </c>
      <c r="AF232" s="12">
        <f t="shared" si="107"/>
        <v>0</v>
      </c>
      <c r="AG232" s="12">
        <f t="shared" si="107"/>
        <v>0</v>
      </c>
      <c r="AH232" s="12">
        <f t="shared" si="108"/>
        <v>0</v>
      </c>
      <c r="AI232" s="12">
        <f t="shared" si="108"/>
        <v>0</v>
      </c>
      <c r="AJ232" s="12">
        <f t="shared" si="108"/>
        <v>0</v>
      </c>
      <c r="AK232" s="12">
        <f t="shared" si="108"/>
        <v>0</v>
      </c>
      <c r="AL232" s="12">
        <f t="shared" si="108"/>
        <v>0</v>
      </c>
      <c r="AM232" s="12">
        <f t="shared" si="108"/>
        <v>0</v>
      </c>
      <c r="AN232" s="12">
        <f t="shared" si="108"/>
        <v>0</v>
      </c>
      <c r="AO232" s="12">
        <f t="shared" si="108"/>
        <v>0</v>
      </c>
      <c r="AP232" s="12">
        <f t="shared" si="108"/>
        <v>0</v>
      </c>
      <c r="AQ232" s="12">
        <f t="shared" si="108"/>
        <v>0</v>
      </c>
      <c r="AR232" s="12">
        <f t="shared" si="109"/>
        <v>0</v>
      </c>
      <c r="AS232" s="12">
        <f t="shared" si="109"/>
        <v>0</v>
      </c>
      <c r="AT232" s="69">
        <f t="shared" si="109"/>
        <v>0</v>
      </c>
      <c r="AU232" s="152">
        <f t="shared" si="109"/>
        <v>0</v>
      </c>
      <c r="AV232" s="12">
        <f t="shared" si="109"/>
        <v>0</v>
      </c>
      <c r="AW232" s="12">
        <f t="shared" si="109"/>
        <v>0</v>
      </c>
      <c r="AX232" s="12">
        <f t="shared" si="109"/>
        <v>0</v>
      </c>
      <c r="AY232" s="12">
        <f t="shared" si="109"/>
        <v>0</v>
      </c>
      <c r="BA232" s="88" t="str">
        <f t="shared" ca="1" si="102"/>
        <v>Depreciation</v>
      </c>
      <c r="BB232" s="1" t="str">
        <f t="shared" si="103"/>
        <v>Differential</v>
      </c>
    </row>
    <row r="233" spans="5:54" x14ac:dyDescent="0.35">
      <c r="E233" s="2">
        <v>46112</v>
      </c>
      <c r="G233" t="str">
        <f t="shared" si="97"/>
        <v>£m 23/24 prices</v>
      </c>
      <c r="I233" s="12">
        <f t="shared" si="98"/>
        <v>0</v>
      </c>
      <c r="J233" t="s">
        <v>13</v>
      </c>
      <c r="X233" s="12">
        <f t="shared" si="107"/>
        <v>0</v>
      </c>
      <c r="Y233" s="12">
        <f t="shared" si="107"/>
        <v>0</v>
      </c>
      <c r="Z233" s="12">
        <f t="shared" si="107"/>
        <v>0</v>
      </c>
      <c r="AA233" s="12">
        <f t="shared" si="107"/>
        <v>0</v>
      </c>
      <c r="AB233" s="12">
        <f t="shared" si="107"/>
        <v>0</v>
      </c>
      <c r="AC233" s="12">
        <f t="shared" si="107"/>
        <v>0</v>
      </c>
      <c r="AD233" s="12">
        <f t="shared" si="107"/>
        <v>0</v>
      </c>
      <c r="AE233" s="12">
        <f t="shared" si="107"/>
        <v>0</v>
      </c>
      <c r="AF233" s="12">
        <f t="shared" si="107"/>
        <v>0</v>
      </c>
      <c r="AG233" s="12">
        <f t="shared" si="107"/>
        <v>0</v>
      </c>
      <c r="AH233" s="12">
        <f t="shared" si="108"/>
        <v>0</v>
      </c>
      <c r="AI233" s="12">
        <f t="shared" si="108"/>
        <v>0</v>
      </c>
      <c r="AJ233" s="12">
        <f t="shared" si="108"/>
        <v>0</v>
      </c>
      <c r="AK233" s="12">
        <f t="shared" si="108"/>
        <v>0</v>
      </c>
      <c r="AL233" s="12">
        <f t="shared" si="108"/>
        <v>0</v>
      </c>
      <c r="AM233" s="12">
        <f t="shared" si="108"/>
        <v>0</v>
      </c>
      <c r="AN233" s="12">
        <f t="shared" si="108"/>
        <v>0</v>
      </c>
      <c r="AO233" s="12">
        <f t="shared" si="108"/>
        <v>0</v>
      </c>
      <c r="AP233" s="12">
        <f t="shared" si="108"/>
        <v>0</v>
      </c>
      <c r="AQ233" s="12">
        <f t="shared" si="108"/>
        <v>0</v>
      </c>
      <c r="AR233" s="12">
        <f t="shared" si="109"/>
        <v>0</v>
      </c>
      <c r="AS233" s="12">
        <f t="shared" si="109"/>
        <v>0</v>
      </c>
      <c r="AT233" s="69">
        <f t="shared" si="109"/>
        <v>0</v>
      </c>
      <c r="AU233" s="152">
        <f t="shared" si="109"/>
        <v>0</v>
      </c>
      <c r="AV233" s="12">
        <f t="shared" si="109"/>
        <v>0</v>
      </c>
      <c r="AW233" s="12">
        <f t="shared" si="109"/>
        <v>0</v>
      </c>
      <c r="AX233" s="12">
        <f t="shared" si="109"/>
        <v>0</v>
      </c>
      <c r="AY233" s="12">
        <f t="shared" si="109"/>
        <v>0</v>
      </c>
      <c r="BA233" s="88" t="str">
        <f t="shared" ca="1" si="102"/>
        <v>Depreciation</v>
      </c>
      <c r="BB233" s="1" t="str">
        <f t="shared" si="103"/>
        <v>Differential</v>
      </c>
    </row>
    <row r="234" spans="5:54" x14ac:dyDescent="0.35">
      <c r="E234" s="2">
        <v>46477</v>
      </c>
      <c r="G234" t="str">
        <f t="shared" si="97"/>
        <v>£m 23/24 prices</v>
      </c>
      <c r="I234" s="12">
        <f t="shared" si="98"/>
        <v>0</v>
      </c>
      <c r="J234" t="s">
        <v>13</v>
      </c>
      <c r="X234" s="12">
        <f t="shared" si="107"/>
        <v>0</v>
      </c>
      <c r="Y234" s="12">
        <f t="shared" si="107"/>
        <v>0</v>
      </c>
      <c r="Z234" s="12">
        <f t="shared" si="107"/>
        <v>0</v>
      </c>
      <c r="AA234" s="12">
        <f t="shared" si="107"/>
        <v>0</v>
      </c>
      <c r="AB234" s="12">
        <f t="shared" si="107"/>
        <v>0</v>
      </c>
      <c r="AC234" s="12">
        <f t="shared" si="107"/>
        <v>0</v>
      </c>
      <c r="AD234" s="12">
        <f t="shared" si="107"/>
        <v>0</v>
      </c>
      <c r="AE234" s="12">
        <f t="shared" si="107"/>
        <v>0</v>
      </c>
      <c r="AF234" s="12">
        <f t="shared" si="107"/>
        <v>0</v>
      </c>
      <c r="AG234" s="12">
        <f t="shared" si="107"/>
        <v>0</v>
      </c>
      <c r="AH234" s="12">
        <f t="shared" si="108"/>
        <v>0</v>
      </c>
      <c r="AI234" s="12">
        <f t="shared" si="108"/>
        <v>0</v>
      </c>
      <c r="AJ234" s="12">
        <f t="shared" si="108"/>
        <v>0</v>
      </c>
      <c r="AK234" s="12">
        <f t="shared" si="108"/>
        <v>0</v>
      </c>
      <c r="AL234" s="12">
        <f t="shared" si="108"/>
        <v>0</v>
      </c>
      <c r="AM234" s="12">
        <f t="shared" si="108"/>
        <v>0</v>
      </c>
      <c r="AN234" s="12">
        <f t="shared" si="108"/>
        <v>0</v>
      </c>
      <c r="AO234" s="12">
        <f t="shared" si="108"/>
        <v>0</v>
      </c>
      <c r="AP234" s="12">
        <f t="shared" si="108"/>
        <v>0</v>
      </c>
      <c r="AQ234" s="12">
        <f t="shared" si="108"/>
        <v>0</v>
      </c>
      <c r="AR234" s="12">
        <f t="shared" si="109"/>
        <v>0</v>
      </c>
      <c r="AS234" s="12">
        <f t="shared" si="109"/>
        <v>0</v>
      </c>
      <c r="AT234" s="69">
        <f t="shared" si="109"/>
        <v>0</v>
      </c>
      <c r="AU234" s="152">
        <f t="shared" si="109"/>
        <v>0</v>
      </c>
      <c r="AV234" s="12">
        <f t="shared" si="109"/>
        <v>0</v>
      </c>
      <c r="AW234" s="12">
        <f t="shared" si="109"/>
        <v>0</v>
      </c>
      <c r="AX234" s="12">
        <f t="shared" si="109"/>
        <v>0</v>
      </c>
      <c r="AY234" s="12">
        <f t="shared" si="109"/>
        <v>0</v>
      </c>
      <c r="BA234" s="88" t="str">
        <f t="shared" ca="1" si="102"/>
        <v>Depreciation</v>
      </c>
      <c r="BB234" s="1" t="str">
        <f t="shared" si="103"/>
        <v>Differential</v>
      </c>
    </row>
    <row r="235" spans="5:54" x14ac:dyDescent="0.35">
      <c r="E235" s="2">
        <v>46843</v>
      </c>
      <c r="G235" t="str">
        <f t="shared" si="97"/>
        <v>£m 23/24 prices</v>
      </c>
      <c r="I235" s="12">
        <f t="shared" si="98"/>
        <v>0</v>
      </c>
      <c r="J235" t="s">
        <v>13</v>
      </c>
      <c r="X235" s="12">
        <f t="shared" si="107"/>
        <v>0</v>
      </c>
      <c r="Y235" s="12">
        <f t="shared" si="107"/>
        <v>0</v>
      </c>
      <c r="Z235" s="12">
        <f t="shared" si="107"/>
        <v>0</v>
      </c>
      <c r="AA235" s="12">
        <f t="shared" si="107"/>
        <v>0</v>
      </c>
      <c r="AB235" s="12">
        <f t="shared" si="107"/>
        <v>0</v>
      </c>
      <c r="AC235" s="12">
        <f t="shared" si="107"/>
        <v>0</v>
      </c>
      <c r="AD235" s="12">
        <f t="shared" si="107"/>
        <v>0</v>
      </c>
      <c r="AE235" s="12">
        <f t="shared" si="107"/>
        <v>0</v>
      </c>
      <c r="AF235" s="12">
        <f t="shared" si="107"/>
        <v>0</v>
      </c>
      <c r="AG235" s="12">
        <f t="shared" si="107"/>
        <v>0</v>
      </c>
      <c r="AH235" s="12">
        <f t="shared" si="108"/>
        <v>0</v>
      </c>
      <c r="AI235" s="12">
        <f t="shared" si="108"/>
        <v>0</v>
      </c>
      <c r="AJ235" s="12">
        <f t="shared" si="108"/>
        <v>0</v>
      </c>
      <c r="AK235" s="12">
        <f t="shared" si="108"/>
        <v>0</v>
      </c>
      <c r="AL235" s="12">
        <f t="shared" si="108"/>
        <v>0</v>
      </c>
      <c r="AM235" s="12">
        <f t="shared" si="108"/>
        <v>0</v>
      </c>
      <c r="AN235" s="12">
        <f t="shared" si="108"/>
        <v>0</v>
      </c>
      <c r="AO235" s="12">
        <f t="shared" si="108"/>
        <v>0</v>
      </c>
      <c r="AP235" s="12">
        <f t="shared" si="108"/>
        <v>0</v>
      </c>
      <c r="AQ235" s="12">
        <f t="shared" si="108"/>
        <v>0</v>
      </c>
      <c r="AR235" s="12">
        <f t="shared" si="109"/>
        <v>0</v>
      </c>
      <c r="AS235" s="12">
        <f t="shared" si="109"/>
        <v>0</v>
      </c>
      <c r="AT235" s="69">
        <f t="shared" si="109"/>
        <v>0</v>
      </c>
      <c r="AU235" s="152">
        <f t="shared" si="109"/>
        <v>0</v>
      </c>
      <c r="AV235" s="12">
        <f t="shared" si="109"/>
        <v>0</v>
      </c>
      <c r="AW235" s="12">
        <f t="shared" si="109"/>
        <v>0</v>
      </c>
      <c r="AX235" s="12">
        <f t="shared" si="109"/>
        <v>0</v>
      </c>
      <c r="AY235" s="12">
        <f t="shared" si="109"/>
        <v>0</v>
      </c>
      <c r="BA235" s="88" t="str">
        <f t="shared" ca="1" si="102"/>
        <v>Depreciation</v>
      </c>
      <c r="BB235" s="1" t="str">
        <f t="shared" si="103"/>
        <v>Differential</v>
      </c>
    </row>
    <row r="236" spans="5:54" x14ac:dyDescent="0.35">
      <c r="E236" s="2">
        <v>47208</v>
      </c>
      <c r="G236" t="str">
        <f t="shared" si="97"/>
        <v>£m 23/24 prices</v>
      </c>
      <c r="I236" s="12">
        <f t="shared" si="98"/>
        <v>0</v>
      </c>
      <c r="J236" t="s">
        <v>13</v>
      </c>
      <c r="X236" s="12">
        <f t="shared" si="107"/>
        <v>0</v>
      </c>
      <c r="Y236" s="12">
        <f t="shared" si="107"/>
        <v>0</v>
      </c>
      <c r="Z236" s="12">
        <f t="shared" si="107"/>
        <v>0</v>
      </c>
      <c r="AA236" s="12">
        <f t="shared" si="107"/>
        <v>0</v>
      </c>
      <c r="AB236" s="12">
        <f t="shared" si="107"/>
        <v>0</v>
      </c>
      <c r="AC236" s="12">
        <f t="shared" si="107"/>
        <v>0</v>
      </c>
      <c r="AD236" s="12">
        <f t="shared" si="107"/>
        <v>0</v>
      </c>
      <c r="AE236" s="12">
        <f t="shared" si="107"/>
        <v>0</v>
      </c>
      <c r="AF236" s="12">
        <f t="shared" si="107"/>
        <v>0</v>
      </c>
      <c r="AG236" s="12">
        <f t="shared" si="107"/>
        <v>0</v>
      </c>
      <c r="AH236" s="12">
        <f t="shared" si="108"/>
        <v>0</v>
      </c>
      <c r="AI236" s="12">
        <f t="shared" si="108"/>
        <v>0</v>
      </c>
      <c r="AJ236" s="12">
        <f t="shared" si="108"/>
        <v>0</v>
      </c>
      <c r="AK236" s="12">
        <f t="shared" si="108"/>
        <v>0</v>
      </c>
      <c r="AL236" s="12">
        <f t="shared" si="108"/>
        <v>0</v>
      </c>
      <c r="AM236" s="12">
        <f t="shared" si="108"/>
        <v>0</v>
      </c>
      <c r="AN236" s="12">
        <f t="shared" si="108"/>
        <v>0</v>
      </c>
      <c r="AO236" s="12">
        <f t="shared" si="108"/>
        <v>0</v>
      </c>
      <c r="AP236" s="12">
        <f t="shared" si="108"/>
        <v>0</v>
      </c>
      <c r="AQ236" s="12">
        <f t="shared" si="108"/>
        <v>0</v>
      </c>
      <c r="AR236" s="12">
        <f t="shared" si="109"/>
        <v>0</v>
      </c>
      <c r="AS236" s="12">
        <f t="shared" si="109"/>
        <v>0</v>
      </c>
      <c r="AT236" s="69">
        <f t="shared" si="109"/>
        <v>0</v>
      </c>
      <c r="AU236" s="152">
        <f t="shared" si="109"/>
        <v>0</v>
      </c>
      <c r="AV236" s="12">
        <f t="shared" si="109"/>
        <v>0</v>
      </c>
      <c r="AW236" s="12">
        <f t="shared" si="109"/>
        <v>0</v>
      </c>
      <c r="AX236" s="12">
        <f t="shared" si="109"/>
        <v>0</v>
      </c>
      <c r="AY236" s="12">
        <f t="shared" si="109"/>
        <v>0</v>
      </c>
      <c r="BA236" s="88" t="str">
        <f t="shared" ca="1" si="102"/>
        <v>Depreciation</v>
      </c>
      <c r="BB236" s="1" t="str">
        <f t="shared" si="103"/>
        <v>Differential</v>
      </c>
    </row>
    <row r="237" spans="5:54" x14ac:dyDescent="0.35">
      <c r="E237" s="2">
        <v>47573</v>
      </c>
      <c r="G237" t="str">
        <f t="shared" si="97"/>
        <v>£m 23/24 prices</v>
      </c>
      <c r="I237" s="12">
        <f t="shared" si="98"/>
        <v>0</v>
      </c>
      <c r="J237" t="s">
        <v>13</v>
      </c>
      <c r="X237" s="12">
        <f t="shared" si="107"/>
        <v>0</v>
      </c>
      <c r="Y237" s="12">
        <f t="shared" si="107"/>
        <v>0</v>
      </c>
      <c r="Z237" s="12">
        <f t="shared" si="107"/>
        <v>0</v>
      </c>
      <c r="AA237" s="12">
        <f t="shared" si="107"/>
        <v>0</v>
      </c>
      <c r="AB237" s="12">
        <f t="shared" si="107"/>
        <v>0</v>
      </c>
      <c r="AC237" s="12">
        <f t="shared" si="107"/>
        <v>0</v>
      </c>
      <c r="AD237" s="12">
        <f t="shared" si="107"/>
        <v>0</v>
      </c>
      <c r="AE237" s="12">
        <f t="shared" si="107"/>
        <v>0</v>
      </c>
      <c r="AF237" s="12">
        <f t="shared" si="107"/>
        <v>0</v>
      </c>
      <c r="AG237" s="12">
        <f t="shared" si="107"/>
        <v>0</v>
      </c>
      <c r="AH237" s="12">
        <f t="shared" si="108"/>
        <v>0</v>
      </c>
      <c r="AI237" s="12">
        <f t="shared" si="108"/>
        <v>0</v>
      </c>
      <c r="AJ237" s="12">
        <f t="shared" si="108"/>
        <v>0</v>
      </c>
      <c r="AK237" s="12">
        <f t="shared" si="108"/>
        <v>0</v>
      </c>
      <c r="AL237" s="12">
        <f t="shared" si="108"/>
        <v>0</v>
      </c>
      <c r="AM237" s="12">
        <f t="shared" si="108"/>
        <v>0</v>
      </c>
      <c r="AN237" s="12">
        <f t="shared" si="108"/>
        <v>0</v>
      </c>
      <c r="AO237" s="12">
        <f t="shared" si="108"/>
        <v>0</v>
      </c>
      <c r="AP237" s="12">
        <f t="shared" si="108"/>
        <v>0</v>
      </c>
      <c r="AQ237" s="12">
        <f t="shared" si="108"/>
        <v>0</v>
      </c>
      <c r="AR237" s="12">
        <f t="shared" si="109"/>
        <v>0</v>
      </c>
      <c r="AS237" s="12">
        <f t="shared" si="109"/>
        <v>0</v>
      </c>
      <c r="AT237" s="69">
        <f t="shared" si="109"/>
        <v>0</v>
      </c>
      <c r="AU237" s="152">
        <f t="shared" si="109"/>
        <v>0</v>
      </c>
      <c r="AV237" s="12">
        <f t="shared" si="109"/>
        <v>0</v>
      </c>
      <c r="AW237" s="12">
        <f t="shared" si="109"/>
        <v>0</v>
      </c>
      <c r="AX237" s="12">
        <f t="shared" si="109"/>
        <v>0</v>
      </c>
      <c r="AY237" s="12">
        <f t="shared" si="109"/>
        <v>0</v>
      </c>
      <c r="BA237" s="88" t="str">
        <f t="shared" ca="1" si="102"/>
        <v>Depreciation</v>
      </c>
      <c r="BB237" s="1" t="str">
        <f t="shared" si="103"/>
        <v>Differential</v>
      </c>
    </row>
    <row r="238" spans="5:54" x14ac:dyDescent="0.35">
      <c r="E238" s="2">
        <v>47938</v>
      </c>
      <c r="G238" t="str">
        <f t="shared" si="97"/>
        <v>£m 23/24 prices</v>
      </c>
      <c r="I238" s="12">
        <f t="shared" si="98"/>
        <v>0</v>
      </c>
      <c r="J238" t="s">
        <v>13</v>
      </c>
      <c r="X238" s="12">
        <f t="shared" si="107"/>
        <v>0</v>
      </c>
      <c r="Y238" s="12">
        <f t="shared" si="107"/>
        <v>0</v>
      </c>
      <c r="Z238" s="12">
        <f t="shared" si="107"/>
        <v>0</v>
      </c>
      <c r="AA238" s="12">
        <f t="shared" si="107"/>
        <v>0</v>
      </c>
      <c r="AB238" s="12">
        <f t="shared" si="107"/>
        <v>0</v>
      </c>
      <c r="AC238" s="12">
        <f t="shared" si="107"/>
        <v>0</v>
      </c>
      <c r="AD238" s="12">
        <f t="shared" si="107"/>
        <v>0</v>
      </c>
      <c r="AE238" s="12">
        <f t="shared" si="107"/>
        <v>0</v>
      </c>
      <c r="AF238" s="12">
        <f t="shared" si="107"/>
        <v>0</v>
      </c>
      <c r="AG238" s="12">
        <f t="shared" si="107"/>
        <v>0</v>
      </c>
      <c r="AH238" s="12">
        <f t="shared" si="108"/>
        <v>0</v>
      </c>
      <c r="AI238" s="12">
        <f t="shared" si="108"/>
        <v>0</v>
      </c>
      <c r="AJ238" s="12">
        <f t="shared" si="108"/>
        <v>0</v>
      </c>
      <c r="AK238" s="12">
        <f t="shared" si="108"/>
        <v>0</v>
      </c>
      <c r="AL238" s="12">
        <f t="shared" si="108"/>
        <v>0</v>
      </c>
      <c r="AM238" s="12">
        <f t="shared" si="108"/>
        <v>0</v>
      </c>
      <c r="AN238" s="12">
        <f t="shared" si="108"/>
        <v>0</v>
      </c>
      <c r="AO238" s="12">
        <f t="shared" si="108"/>
        <v>0</v>
      </c>
      <c r="AP238" s="12">
        <f t="shared" si="108"/>
        <v>0</v>
      </c>
      <c r="AQ238" s="12">
        <f t="shared" si="108"/>
        <v>0</v>
      </c>
      <c r="AR238" s="12">
        <f t="shared" si="109"/>
        <v>0</v>
      </c>
      <c r="AS238" s="12">
        <f t="shared" si="109"/>
        <v>0</v>
      </c>
      <c r="AT238" s="69">
        <f t="shared" si="109"/>
        <v>0</v>
      </c>
      <c r="AU238" s="152">
        <f t="shared" si="109"/>
        <v>0</v>
      </c>
      <c r="AV238" s="12">
        <f t="shared" si="109"/>
        <v>0</v>
      </c>
      <c r="AW238" s="12">
        <f t="shared" si="109"/>
        <v>0</v>
      </c>
      <c r="AX238" s="12">
        <f t="shared" si="109"/>
        <v>0</v>
      </c>
      <c r="AY238" s="12">
        <f t="shared" si="109"/>
        <v>0</v>
      </c>
      <c r="BA238" s="88" t="str">
        <f t="shared" ca="1" si="102"/>
        <v>Depreciation</v>
      </c>
      <c r="BB238" s="1" t="str">
        <f t="shared" si="103"/>
        <v>Differential</v>
      </c>
    </row>
    <row r="239" spans="5:54" x14ac:dyDescent="0.35">
      <c r="E239" s="2"/>
    </row>
    <row r="240" spans="5:54" x14ac:dyDescent="0.35"/>
    <row r="241" spans="1:58" ht="20" thickBot="1" x14ac:dyDescent="0.5">
      <c r="A241" s="13" t="s">
        <v>556</v>
      </c>
    </row>
    <row r="242" spans="1:58" ht="15" thickTop="1" x14ac:dyDescent="0.35">
      <c r="E242" t="s">
        <v>486</v>
      </c>
      <c r="G242" t="str">
        <f>price_label</f>
        <v>£m 23/24 prices</v>
      </c>
      <c r="J242" t="s">
        <v>13</v>
      </c>
      <c r="X242" s="12">
        <f t="shared" ref="X242:AY242" si="110">X24*SUM(X$177:X$205)+X25*SUM(X$143:X$171)+SUM(X$210:X$238)</f>
        <v>2.0423436761684775</v>
      </c>
      <c r="Y242" s="12">
        <f t="shared" si="110"/>
        <v>3.8004645743413414</v>
      </c>
      <c r="Z242" s="12">
        <f t="shared" si="110"/>
        <v>5.0733765872216949</v>
      </c>
      <c r="AA242" s="12">
        <f t="shared" si="110"/>
        <v>6.5621375624757015</v>
      </c>
      <c r="AB242" s="12">
        <f t="shared" si="110"/>
        <v>7.6653386240803449</v>
      </c>
      <c r="AC242" s="12">
        <f t="shared" si="110"/>
        <v>10.629319679551656</v>
      </c>
      <c r="AD242" s="12">
        <f t="shared" si="110"/>
        <v>13.829837123018617</v>
      </c>
      <c r="AE242" s="12">
        <f t="shared" si="110"/>
        <v>18.043108420780158</v>
      </c>
      <c r="AF242" s="12">
        <f t="shared" si="110"/>
        <v>22.432456921740119</v>
      </c>
      <c r="AG242" s="12">
        <f t="shared" si="110"/>
        <v>26.37135581905536</v>
      </c>
      <c r="AH242" s="12">
        <f t="shared" si="110"/>
        <v>66.072921266726254</v>
      </c>
      <c r="AI242" s="12">
        <f t="shared" si="110"/>
        <v>69.746330108509241</v>
      </c>
      <c r="AJ242" s="12">
        <f t="shared" si="110"/>
        <v>60.887268016500748</v>
      </c>
      <c r="AK242" s="12">
        <f t="shared" si="110"/>
        <v>61.93065028158518</v>
      </c>
      <c r="AL242" s="12">
        <f t="shared" si="110"/>
        <v>70.803989040820397</v>
      </c>
      <c r="AM242" s="12">
        <f t="shared" si="110"/>
        <v>82.044208405955771</v>
      </c>
      <c r="AN242" s="12">
        <f t="shared" si="110"/>
        <v>93.735429258447937</v>
      </c>
      <c r="AO242" s="12">
        <f t="shared" si="110"/>
        <v>107.47977412060553</v>
      </c>
      <c r="AP242" s="12">
        <f t="shared" si="110"/>
        <v>81.638203390367821</v>
      </c>
      <c r="AQ242" s="12">
        <f t="shared" si="110"/>
        <v>84.973698645089371</v>
      </c>
      <c r="AR242" s="12">
        <f t="shared" si="110"/>
        <v>88.683386642628705</v>
      </c>
      <c r="AS242" s="12">
        <f t="shared" si="110"/>
        <v>93.013838943075072</v>
      </c>
      <c r="AT242" s="69">
        <f t="shared" si="110"/>
        <v>97.142892925293637</v>
      </c>
      <c r="AU242" s="152">
        <f t="shared" si="110"/>
        <v>101.54083811883412</v>
      </c>
      <c r="AV242" s="12">
        <f t="shared" si="110"/>
        <v>110.35895590230443</v>
      </c>
      <c r="AW242" s="12">
        <f t="shared" si="110"/>
        <v>119.95354729483191</v>
      </c>
      <c r="AX242" s="12">
        <f t="shared" si="110"/>
        <v>129.44358857484778</v>
      </c>
      <c r="AY242" s="12">
        <f t="shared" si="110"/>
        <v>138.61849820138238</v>
      </c>
      <c r="BA242" s="88" t="str">
        <f t="shared" ref="BA242" ca="1" si="111">$A$1</f>
        <v>Depreciation</v>
      </c>
      <c r="BB242" s="1" t="str">
        <f>$A$241</f>
        <v>Depreciation summary</v>
      </c>
    </row>
    <row r="243" spans="1:58" x14ac:dyDescent="0.35">
      <c r="E243" s="2"/>
      <c r="X243" s="76"/>
      <c r="Y243" s="76"/>
      <c r="Z243" s="76"/>
      <c r="AA243" s="76"/>
      <c r="AB243" s="76"/>
      <c r="AC243" s="76"/>
      <c r="AD243" s="76"/>
      <c r="AE243" s="76"/>
      <c r="AF243" s="76"/>
      <c r="AG243" s="76"/>
      <c r="AH243" s="76"/>
      <c r="AI243" s="76"/>
      <c r="AJ243" s="76"/>
      <c r="AK243" s="76"/>
      <c r="AL243" s="76"/>
      <c r="AM243" s="76"/>
      <c r="AN243" s="76"/>
      <c r="AO243" s="76"/>
      <c r="AP243" s="76"/>
      <c r="AQ243" s="76"/>
      <c r="AR243" s="76"/>
      <c r="AS243" s="76"/>
      <c r="AT243" s="178"/>
      <c r="AU243" s="76"/>
      <c r="AV243" s="76"/>
      <c r="AW243" s="76"/>
      <c r="AX243" s="76"/>
      <c r="AY243" s="76"/>
    </row>
    <row r="244" spans="1:58" ht="20" thickBot="1" x14ac:dyDescent="0.5">
      <c r="A244" s="13" t="s">
        <v>386</v>
      </c>
      <c r="BD244"/>
      <c r="BF244" s="6"/>
    </row>
    <row r="245" spans="1:58" ht="15" thickTop="1" x14ac:dyDescent="0.35">
      <c r="E245" s="2"/>
      <c r="X245" s="76"/>
      <c r="Y245" s="76"/>
      <c r="Z245" s="76"/>
      <c r="AA245" s="76"/>
      <c r="AB245" s="76"/>
      <c r="AC245" s="76"/>
      <c r="AD245" s="76"/>
      <c r="AE245" s="76"/>
      <c r="AF245" s="76"/>
      <c r="AG245" s="76"/>
      <c r="AH245" s="76"/>
      <c r="AI245" s="76"/>
      <c r="AJ245" s="76"/>
      <c r="AK245" s="76"/>
      <c r="AL245" s="76"/>
      <c r="AM245" s="76"/>
      <c r="AN245" s="76"/>
      <c r="AO245" s="76"/>
      <c r="AP245" s="76"/>
      <c r="AQ245" s="76"/>
      <c r="AR245" s="76"/>
      <c r="AS245" s="76"/>
      <c r="AT245" s="178"/>
      <c r="AU245" s="76"/>
      <c r="AV245" s="76"/>
      <c r="AW245" s="76"/>
      <c r="AX245" s="76"/>
      <c r="AY245" s="76"/>
    </row>
    <row r="246" spans="1:58" x14ac:dyDescent="0.35">
      <c r="E246" s="2"/>
      <c r="X246" s="76"/>
      <c r="Y246" s="76"/>
      <c r="Z246" s="76"/>
      <c r="AA246" s="76"/>
      <c r="AB246" s="76"/>
      <c r="AC246" s="76"/>
      <c r="AD246" s="76"/>
      <c r="AE246" s="76"/>
      <c r="AF246" s="76"/>
      <c r="AG246" s="76"/>
      <c r="AH246" s="76"/>
      <c r="AI246" s="76"/>
      <c r="AJ246" s="76"/>
      <c r="AK246" s="76"/>
      <c r="AL246" s="76"/>
      <c r="AM246" s="76"/>
      <c r="AN246" s="76"/>
      <c r="AO246" s="76"/>
      <c r="AP246" s="76"/>
      <c r="AQ246" s="76"/>
      <c r="AR246" s="76"/>
      <c r="AS246" s="76"/>
      <c r="AT246" s="178"/>
      <c r="AU246" s="76"/>
      <c r="AV246" s="76"/>
      <c r="AW246" s="76"/>
      <c r="AX246" s="76"/>
      <c r="AY246" s="76"/>
    </row>
    <row r="247" spans="1:58" hidden="1" x14ac:dyDescent="0.35">
      <c r="E247" s="2"/>
      <c r="X247" s="76"/>
      <c r="Y247" s="76"/>
      <c r="Z247" s="76"/>
      <c r="AA247" s="76"/>
      <c r="AB247" s="76"/>
      <c r="AC247" s="76"/>
      <c r="AD247" s="76"/>
      <c r="AE247" s="76"/>
      <c r="AF247" s="76"/>
      <c r="AG247" s="76"/>
      <c r="AH247" s="76"/>
      <c r="AI247" s="76"/>
      <c r="AJ247" s="76"/>
      <c r="AK247" s="76"/>
      <c r="AL247" s="76"/>
      <c r="AM247" s="76"/>
      <c r="AN247" s="76"/>
      <c r="AO247" s="76"/>
      <c r="AP247" s="76"/>
      <c r="AQ247" s="76"/>
      <c r="AR247" s="76"/>
      <c r="AS247" s="76"/>
      <c r="AT247" s="178"/>
      <c r="AU247" s="76"/>
      <c r="AV247" s="76"/>
      <c r="AW247" s="76"/>
      <c r="AX247" s="76"/>
      <c r="AY247" s="76"/>
    </row>
    <row r="248" spans="1:58" hidden="1" x14ac:dyDescent="0.35">
      <c r="E248" s="2"/>
      <c r="X248" s="76"/>
      <c r="Y248" s="76"/>
      <c r="Z248" s="76"/>
      <c r="AA248" s="76"/>
      <c r="AB248" s="76"/>
      <c r="AC248" s="76"/>
      <c r="AD248" s="76"/>
      <c r="AE248" s="76"/>
      <c r="AF248" s="76"/>
      <c r="AG248" s="76"/>
      <c r="AH248" s="76"/>
      <c r="AI248" s="76"/>
      <c r="AJ248" s="76"/>
      <c r="AK248" s="76"/>
      <c r="AL248" s="76"/>
      <c r="AM248" s="76"/>
      <c r="AN248" s="76"/>
      <c r="AO248" s="76"/>
      <c r="AP248" s="76"/>
      <c r="AQ248" s="76"/>
      <c r="AR248" s="76"/>
      <c r="AS248" s="76"/>
      <c r="AT248" s="178"/>
      <c r="AU248" s="76"/>
      <c r="AV248" s="76"/>
      <c r="AW248" s="76"/>
      <c r="AX248" s="76"/>
      <c r="AY248" s="76"/>
    </row>
    <row r="249" spans="1:58" hidden="1" x14ac:dyDescent="0.35">
      <c r="E249" s="2"/>
      <c r="X249" s="76"/>
      <c r="Y249" s="76"/>
      <c r="Z249" s="76"/>
      <c r="AA249" s="76"/>
      <c r="AB249" s="76"/>
      <c r="AC249" s="76"/>
      <c r="AD249" s="76"/>
      <c r="AE249" s="76"/>
      <c r="AF249" s="76"/>
      <c r="AG249" s="76"/>
      <c r="AH249" s="76"/>
      <c r="AI249" s="76"/>
      <c r="AJ249" s="76"/>
      <c r="AK249" s="76"/>
      <c r="AL249" s="76"/>
      <c r="AM249" s="76"/>
      <c r="AN249" s="76"/>
      <c r="AO249" s="76"/>
      <c r="AP249" s="76"/>
      <c r="AQ249" s="76"/>
      <c r="AR249" s="76"/>
      <c r="AS249" s="76"/>
      <c r="AT249" s="178"/>
      <c r="AU249" s="76"/>
      <c r="AV249" s="76"/>
      <c r="AW249" s="76"/>
      <c r="AX249" s="76"/>
      <c r="AY249" s="76"/>
    </row>
    <row r="250" spans="1:58" hidden="1" x14ac:dyDescent="0.35">
      <c r="E250" s="2"/>
      <c r="X250" s="76"/>
      <c r="Y250" s="76"/>
      <c r="Z250" s="76"/>
      <c r="AA250" s="76"/>
      <c r="AB250" s="76"/>
      <c r="AC250" s="76"/>
      <c r="AD250" s="76"/>
      <c r="AE250" s="76"/>
      <c r="AF250" s="76"/>
      <c r="AG250" s="76"/>
      <c r="AH250" s="76"/>
      <c r="AI250" s="76"/>
      <c r="AJ250" s="76"/>
      <c r="AK250" s="76"/>
      <c r="AL250" s="76"/>
      <c r="AM250" s="76"/>
      <c r="AN250" s="76"/>
      <c r="AO250" s="76"/>
      <c r="AP250" s="76"/>
      <c r="AQ250" s="76"/>
      <c r="AR250" s="76"/>
      <c r="AS250" s="76"/>
      <c r="AT250" s="178"/>
      <c r="AU250" s="76"/>
      <c r="AV250" s="76"/>
      <c r="AW250" s="76"/>
      <c r="AX250" s="76"/>
      <c r="AY250" s="76"/>
    </row>
    <row r="251" spans="1:58" hidden="1" x14ac:dyDescent="0.35">
      <c r="E251" s="2"/>
      <c r="X251" s="76"/>
      <c r="Y251" s="76"/>
      <c r="Z251" s="76"/>
      <c r="AA251" s="76"/>
      <c r="AB251" s="76"/>
      <c r="AC251" s="76"/>
      <c r="AD251" s="76"/>
      <c r="AE251" s="76"/>
      <c r="AF251" s="76"/>
      <c r="AG251" s="76"/>
      <c r="AH251" s="76"/>
      <c r="AI251" s="76"/>
      <c r="AJ251" s="76"/>
      <c r="AK251" s="76"/>
      <c r="AL251" s="76"/>
      <c r="AM251" s="76"/>
      <c r="AN251" s="76"/>
      <c r="AO251" s="76"/>
      <c r="AP251" s="76"/>
      <c r="AQ251" s="76"/>
      <c r="AR251" s="76"/>
      <c r="AS251" s="76"/>
      <c r="AT251" s="178"/>
      <c r="AU251" s="76"/>
      <c r="AV251" s="76"/>
      <c r="AW251" s="76"/>
      <c r="AX251" s="76"/>
      <c r="AY251" s="76"/>
    </row>
    <row r="252" spans="1:58" hidden="1" x14ac:dyDescent="0.35">
      <c r="E252" s="2"/>
      <c r="X252" s="76"/>
      <c r="Y252" s="76"/>
      <c r="Z252" s="76"/>
      <c r="AA252" s="76"/>
      <c r="AB252" s="76"/>
      <c r="AC252" s="76"/>
      <c r="AD252" s="76"/>
      <c r="AE252" s="76"/>
      <c r="AF252" s="76"/>
      <c r="AG252" s="76"/>
      <c r="AH252" s="76"/>
      <c r="AI252" s="76"/>
      <c r="AJ252" s="76"/>
      <c r="AK252" s="76"/>
      <c r="AL252" s="76"/>
      <c r="AM252" s="76"/>
      <c r="AN252" s="76"/>
      <c r="AO252" s="76"/>
      <c r="AP252" s="76"/>
      <c r="AQ252" s="76"/>
      <c r="AR252" s="76"/>
      <c r="AS252" s="76"/>
      <c r="AT252" s="178"/>
      <c r="AU252" s="76"/>
      <c r="AV252" s="76"/>
      <c r="AW252" s="76"/>
      <c r="AX252" s="76"/>
      <c r="AY252" s="76"/>
    </row>
    <row r="253" spans="1:58" hidden="1" x14ac:dyDescent="0.35">
      <c r="E253" s="2"/>
      <c r="X253" s="76"/>
      <c r="Y253" s="76"/>
      <c r="Z253" s="76"/>
      <c r="AA253" s="76"/>
      <c r="AB253" s="76"/>
      <c r="AC253" s="76"/>
      <c r="AD253" s="76"/>
      <c r="AE253" s="76"/>
      <c r="AF253" s="76"/>
      <c r="AG253" s="76"/>
      <c r="AH253" s="76"/>
      <c r="AI253" s="76"/>
      <c r="AJ253" s="76"/>
      <c r="AK253" s="76"/>
      <c r="AL253" s="76"/>
      <c r="AM253" s="76"/>
      <c r="AN253" s="76"/>
      <c r="AO253" s="76"/>
      <c r="AP253" s="76"/>
      <c r="AQ253" s="76"/>
      <c r="AR253" s="76"/>
      <c r="AS253" s="76"/>
      <c r="AT253" s="178"/>
      <c r="AU253" s="76"/>
      <c r="AV253" s="76"/>
      <c r="AW253" s="76"/>
      <c r="AX253" s="76"/>
      <c r="AY253" s="76"/>
    </row>
    <row r="254" spans="1:58" hidden="1" x14ac:dyDescent="0.35">
      <c r="E254" s="2"/>
      <c r="X254" s="76"/>
      <c r="Y254" s="76"/>
      <c r="Z254" s="76"/>
      <c r="AA254" s="76"/>
      <c r="AB254" s="76"/>
      <c r="AC254" s="76"/>
      <c r="AD254" s="76"/>
      <c r="AE254" s="76"/>
      <c r="AF254" s="76"/>
      <c r="AG254" s="76"/>
      <c r="AH254" s="76"/>
      <c r="AI254" s="76"/>
      <c r="AJ254" s="76"/>
      <c r="AK254" s="76"/>
      <c r="AL254" s="76"/>
      <c r="AM254" s="76"/>
      <c r="AN254" s="76"/>
      <c r="AO254" s="76"/>
      <c r="AP254" s="76"/>
      <c r="AQ254" s="76"/>
      <c r="AR254" s="76"/>
      <c r="AS254" s="76"/>
      <c r="AT254" s="178"/>
      <c r="AU254" s="76"/>
      <c r="AV254" s="76"/>
      <c r="AW254" s="76"/>
      <c r="AX254" s="76"/>
      <c r="AY254" s="76"/>
    </row>
    <row r="255" spans="1:58" hidden="1" x14ac:dyDescent="0.35">
      <c r="E255" s="2"/>
      <c r="X255" s="76"/>
      <c r="Y255" s="76"/>
      <c r="Z255" s="76"/>
      <c r="AA255" s="76"/>
      <c r="AB255" s="76"/>
      <c r="AC255" s="76"/>
      <c r="AD255" s="76"/>
      <c r="AE255" s="76"/>
      <c r="AF255" s="76"/>
      <c r="AG255" s="76"/>
      <c r="AH255" s="76"/>
      <c r="AI255" s="76"/>
      <c r="AJ255" s="76"/>
      <c r="AK255" s="76"/>
      <c r="AL255" s="76"/>
      <c r="AM255" s="76"/>
      <c r="AN255" s="76"/>
      <c r="AO255" s="76"/>
      <c r="AP255" s="76"/>
      <c r="AQ255" s="76"/>
      <c r="AR255" s="76"/>
      <c r="AS255" s="76"/>
      <c r="AT255" s="178"/>
      <c r="AU255" s="76"/>
      <c r="AV255" s="76"/>
      <c r="AW255" s="76"/>
      <c r="AX255" s="76"/>
      <c r="AY255" s="76"/>
    </row>
    <row r="256" spans="1:58" hidden="1" x14ac:dyDescent="0.35">
      <c r="E256" s="2"/>
      <c r="X256" s="76"/>
      <c r="Y256" s="76"/>
      <c r="Z256" s="76"/>
      <c r="AA256" s="76"/>
      <c r="AB256" s="76"/>
      <c r="AC256" s="76"/>
      <c r="AD256" s="76"/>
      <c r="AE256" s="76"/>
      <c r="AF256" s="76"/>
      <c r="AG256" s="76"/>
      <c r="AH256" s="76"/>
      <c r="AI256" s="76"/>
      <c r="AJ256" s="76"/>
      <c r="AK256" s="76"/>
      <c r="AL256" s="76"/>
      <c r="AM256" s="76"/>
      <c r="AN256" s="76"/>
      <c r="AO256" s="76"/>
      <c r="AP256" s="76"/>
      <c r="AQ256" s="76"/>
      <c r="AR256" s="76"/>
      <c r="AS256" s="76"/>
      <c r="AT256" s="178"/>
      <c r="AU256" s="76"/>
      <c r="AV256" s="76"/>
      <c r="AW256" s="76"/>
      <c r="AX256" s="76"/>
      <c r="AY256" s="76"/>
    </row>
    <row r="257" spans="5:51" hidden="1" x14ac:dyDescent="0.35">
      <c r="E257" s="2"/>
      <c r="X257" s="76"/>
      <c r="Y257" s="76"/>
      <c r="Z257" s="76"/>
      <c r="AA257" s="76"/>
      <c r="AB257" s="76"/>
      <c r="AC257" s="76"/>
      <c r="AD257" s="76"/>
      <c r="AE257" s="76"/>
      <c r="AF257" s="76"/>
      <c r="AG257" s="76"/>
      <c r="AH257" s="76"/>
      <c r="AI257" s="76"/>
      <c r="AJ257" s="76"/>
      <c r="AK257" s="76"/>
      <c r="AL257" s="76"/>
      <c r="AM257" s="76"/>
      <c r="AN257" s="76"/>
      <c r="AO257" s="76"/>
      <c r="AP257" s="76"/>
      <c r="AQ257" s="76"/>
      <c r="AR257" s="76"/>
      <c r="AS257" s="76"/>
      <c r="AT257" s="178"/>
      <c r="AU257" s="76"/>
      <c r="AV257" s="76"/>
      <c r="AW257" s="76"/>
      <c r="AX257" s="76"/>
      <c r="AY257" s="76"/>
    </row>
    <row r="258" spans="5:51" hidden="1" x14ac:dyDescent="0.35">
      <c r="E258" s="2"/>
      <c r="X258" s="76"/>
      <c r="Y258" s="76"/>
      <c r="Z258" s="76"/>
      <c r="AA258" s="76"/>
      <c r="AB258" s="76"/>
      <c r="AC258" s="76"/>
      <c r="AD258" s="76"/>
      <c r="AE258" s="76"/>
      <c r="AF258" s="76"/>
      <c r="AG258" s="76"/>
      <c r="AH258" s="76"/>
      <c r="AI258" s="76"/>
      <c r="AJ258" s="76"/>
      <c r="AK258" s="76"/>
      <c r="AL258" s="76"/>
      <c r="AM258" s="76"/>
      <c r="AN258" s="76"/>
      <c r="AO258" s="76"/>
      <c r="AP258" s="76"/>
      <c r="AQ258" s="76"/>
      <c r="AR258" s="76"/>
      <c r="AS258" s="76"/>
      <c r="AT258" s="178"/>
      <c r="AU258" s="76"/>
      <c r="AV258" s="76"/>
      <c r="AW258" s="76"/>
      <c r="AX258" s="76"/>
      <c r="AY258" s="76"/>
    </row>
    <row r="259" spans="5:51" hidden="1" x14ac:dyDescent="0.35">
      <c r="E259" s="2"/>
      <c r="X259" s="76"/>
      <c r="Y259" s="76"/>
      <c r="Z259" s="76"/>
      <c r="AA259" s="76"/>
      <c r="AB259" s="76"/>
      <c r="AC259" s="76"/>
      <c r="AD259" s="76"/>
      <c r="AE259" s="76"/>
      <c r="AF259" s="76"/>
      <c r="AG259" s="76"/>
      <c r="AH259" s="76"/>
      <c r="AI259" s="76"/>
      <c r="AJ259" s="76"/>
      <c r="AK259" s="76"/>
      <c r="AL259" s="76"/>
      <c r="AM259" s="76"/>
      <c r="AN259" s="76"/>
      <c r="AO259" s="76"/>
      <c r="AP259" s="76"/>
      <c r="AQ259" s="76"/>
      <c r="AR259" s="76"/>
      <c r="AS259" s="76"/>
      <c r="AT259" s="178"/>
      <c r="AU259" s="76"/>
      <c r="AV259" s="76"/>
      <c r="AW259" s="76"/>
      <c r="AX259" s="76"/>
      <c r="AY259" s="76"/>
    </row>
    <row r="260" spans="5:51" hidden="1" x14ac:dyDescent="0.35">
      <c r="E260" s="2"/>
      <c r="X260" s="76"/>
      <c r="Y260" s="76"/>
      <c r="Z260" s="76"/>
      <c r="AA260" s="76"/>
      <c r="AB260" s="76"/>
      <c r="AC260" s="76"/>
      <c r="AD260" s="76"/>
      <c r="AE260" s="76"/>
      <c r="AF260" s="76"/>
      <c r="AG260" s="76"/>
      <c r="AH260" s="76"/>
      <c r="AI260" s="76"/>
      <c r="AJ260" s="76"/>
      <c r="AK260" s="76"/>
      <c r="AL260" s="76"/>
      <c r="AM260" s="76"/>
      <c r="AN260" s="76"/>
      <c r="AO260" s="76"/>
      <c r="AP260" s="76"/>
      <c r="AQ260" s="76"/>
      <c r="AR260" s="76"/>
      <c r="AS260" s="76"/>
      <c r="AT260" s="178"/>
      <c r="AU260" s="76"/>
      <c r="AV260" s="76"/>
      <c r="AW260" s="76"/>
      <c r="AX260" s="76"/>
      <c r="AY260" s="76"/>
    </row>
    <row r="261" spans="5:51" hidden="1" x14ac:dyDescent="0.35">
      <c r="E261" s="2"/>
      <c r="X261" s="76"/>
      <c r="Y261" s="76"/>
      <c r="Z261" s="76"/>
      <c r="AA261" s="76"/>
      <c r="AB261" s="76"/>
      <c r="AC261" s="76"/>
      <c r="AD261" s="76"/>
      <c r="AE261" s="76"/>
      <c r="AF261" s="76"/>
      <c r="AG261" s="76"/>
      <c r="AH261" s="76"/>
      <c r="AI261" s="76"/>
      <c r="AJ261" s="76"/>
      <c r="AK261" s="76"/>
      <c r="AL261" s="76"/>
      <c r="AM261" s="76"/>
      <c r="AN261" s="76"/>
      <c r="AO261" s="76"/>
      <c r="AP261" s="76"/>
      <c r="AQ261" s="76"/>
      <c r="AR261" s="76"/>
      <c r="AS261" s="76"/>
      <c r="AT261" s="178"/>
      <c r="AU261" s="76"/>
      <c r="AV261" s="76"/>
      <c r="AW261" s="76"/>
      <c r="AX261" s="76"/>
      <c r="AY261" s="76"/>
    </row>
    <row r="262" spans="5:51" hidden="1" x14ac:dyDescent="0.35">
      <c r="E262" s="2"/>
      <c r="X262" s="76"/>
      <c r="Y262" s="76"/>
      <c r="Z262" s="76"/>
      <c r="AA262" s="76"/>
      <c r="AB262" s="76"/>
      <c r="AC262" s="76"/>
      <c r="AD262" s="76"/>
      <c r="AE262" s="76"/>
      <c r="AF262" s="76"/>
      <c r="AG262" s="76"/>
      <c r="AH262" s="76"/>
      <c r="AI262" s="76"/>
      <c r="AJ262" s="76"/>
      <c r="AK262" s="76"/>
      <c r="AL262" s="76"/>
      <c r="AM262" s="76"/>
      <c r="AN262" s="76"/>
      <c r="AO262" s="76"/>
      <c r="AP262" s="76"/>
      <c r="AQ262" s="76"/>
      <c r="AR262" s="76"/>
      <c r="AS262" s="76"/>
      <c r="AT262" s="178"/>
      <c r="AU262" s="76"/>
      <c r="AV262" s="76"/>
      <c r="AW262" s="76"/>
      <c r="AX262" s="76"/>
      <c r="AY262" s="76"/>
    </row>
    <row r="263" spans="5:51" hidden="1" x14ac:dyDescent="0.35">
      <c r="E263" s="2"/>
      <c r="X263" s="76"/>
      <c r="Y263" s="76"/>
      <c r="Z263" s="76"/>
      <c r="AA263" s="76"/>
      <c r="AB263" s="76"/>
      <c r="AC263" s="76"/>
      <c r="AD263" s="76"/>
      <c r="AE263" s="76"/>
      <c r="AF263" s="76"/>
      <c r="AG263" s="76"/>
      <c r="AH263" s="76"/>
      <c r="AI263" s="76"/>
      <c r="AJ263" s="76"/>
      <c r="AK263" s="76"/>
      <c r="AL263" s="76"/>
      <c r="AM263" s="76"/>
      <c r="AN263" s="76"/>
      <c r="AO263" s="76"/>
      <c r="AP263" s="76"/>
      <c r="AQ263" s="76"/>
      <c r="AR263" s="76"/>
      <c r="AS263" s="76"/>
      <c r="AT263" s="178"/>
      <c r="AU263" s="76"/>
      <c r="AV263" s="76"/>
      <c r="AW263" s="76"/>
      <c r="AX263" s="76"/>
      <c r="AY263" s="76"/>
    </row>
    <row r="264" spans="5:51" hidden="1" x14ac:dyDescent="0.35">
      <c r="E264" s="2"/>
      <c r="X264" s="76"/>
      <c r="Y264" s="76"/>
      <c r="Z264" s="76"/>
      <c r="AA264" s="76"/>
      <c r="AB264" s="76"/>
      <c r="AC264" s="76"/>
      <c r="AD264" s="76"/>
      <c r="AE264" s="76"/>
      <c r="AF264" s="76"/>
      <c r="AG264" s="76"/>
      <c r="AH264" s="76"/>
      <c r="AI264" s="76"/>
      <c r="AJ264" s="76"/>
      <c r="AK264" s="76"/>
      <c r="AL264" s="76"/>
      <c r="AM264" s="76"/>
      <c r="AN264" s="76"/>
      <c r="AO264" s="76"/>
      <c r="AP264" s="76"/>
      <c r="AQ264" s="76"/>
      <c r="AR264" s="76"/>
      <c r="AS264" s="76"/>
      <c r="AT264" s="178"/>
      <c r="AU264" s="76"/>
      <c r="AV264" s="76"/>
      <c r="AW264" s="76"/>
      <c r="AX264" s="76"/>
      <c r="AY264" s="76"/>
    </row>
    <row r="265" spans="5:51" hidden="1" x14ac:dyDescent="0.35">
      <c r="E265" s="2"/>
      <c r="X265" s="76"/>
      <c r="Y265" s="76"/>
      <c r="Z265" s="76"/>
      <c r="AA265" s="76"/>
      <c r="AB265" s="76"/>
      <c r="AC265" s="76"/>
      <c r="AD265" s="76"/>
      <c r="AE265" s="76"/>
      <c r="AF265" s="76"/>
      <c r="AG265" s="76"/>
      <c r="AH265" s="76"/>
      <c r="AI265" s="76"/>
      <c r="AJ265" s="76"/>
      <c r="AK265" s="76"/>
      <c r="AL265" s="76"/>
      <c r="AM265" s="76"/>
      <c r="AN265" s="76"/>
      <c r="AO265" s="76"/>
      <c r="AP265" s="76"/>
      <c r="AQ265" s="76"/>
      <c r="AR265" s="76"/>
      <c r="AS265" s="76"/>
      <c r="AT265" s="178"/>
      <c r="AU265" s="76"/>
      <c r="AV265" s="76"/>
      <c r="AW265" s="76"/>
      <c r="AX265" s="76"/>
      <c r="AY265" s="76"/>
    </row>
    <row r="266" spans="5:51" hidden="1" x14ac:dyDescent="0.35">
      <c r="E266" s="2"/>
      <c r="X266" s="76"/>
      <c r="Y266" s="76"/>
      <c r="Z266" s="76"/>
      <c r="AA266" s="76"/>
      <c r="AB266" s="76"/>
      <c r="AC266" s="76"/>
      <c r="AD266" s="76"/>
      <c r="AE266" s="76"/>
      <c r="AF266" s="76"/>
      <c r="AG266" s="76"/>
      <c r="AH266" s="76"/>
      <c r="AI266" s="76"/>
      <c r="AJ266" s="76"/>
      <c r="AK266" s="76"/>
      <c r="AL266" s="76"/>
      <c r="AM266" s="76"/>
      <c r="AN266" s="76"/>
      <c r="AO266" s="76"/>
      <c r="AP266" s="76"/>
      <c r="AQ266" s="76"/>
      <c r="AR266" s="76"/>
      <c r="AS266" s="76"/>
      <c r="AT266" s="178"/>
      <c r="AU266" s="76"/>
      <c r="AV266" s="76"/>
      <c r="AW266" s="76"/>
      <c r="AX266" s="76"/>
      <c r="AY266" s="76"/>
    </row>
    <row r="267" spans="5:51" hidden="1" x14ac:dyDescent="0.35">
      <c r="E267" s="2"/>
      <c r="X267" s="76"/>
      <c r="Y267" s="76"/>
      <c r="Z267" s="76"/>
      <c r="AA267" s="76"/>
      <c r="AB267" s="76"/>
      <c r="AC267" s="76"/>
      <c r="AD267" s="76"/>
      <c r="AE267" s="76"/>
      <c r="AF267" s="76"/>
      <c r="AG267" s="76"/>
      <c r="AH267" s="76"/>
      <c r="AI267" s="76"/>
      <c r="AJ267" s="76"/>
      <c r="AK267" s="76"/>
      <c r="AL267" s="76"/>
      <c r="AM267" s="76"/>
      <c r="AN267" s="76"/>
      <c r="AO267" s="76"/>
      <c r="AP267" s="76"/>
      <c r="AQ267" s="76"/>
      <c r="AR267" s="76"/>
      <c r="AS267" s="76"/>
      <c r="AT267" s="178"/>
      <c r="AU267" s="76"/>
      <c r="AV267" s="76"/>
      <c r="AW267" s="76"/>
      <c r="AX267" s="76"/>
      <c r="AY267" s="76"/>
    </row>
  </sheetData>
  <conditionalFormatting sqref="H1">
    <cfRule type="cellIs" dxfId="10" priority="1" operator="equal">
      <formula>"ERROR"</formula>
    </cfRule>
  </conditionalFormatting>
  <pageMargins left="0.7" right="0.7" top="0.75" bottom="0.75" header="0.3" footer="0.3"/>
  <pageSetup paperSize="9" orientation="portrait" r:id="rId1"/>
  <headerFooter>
    <oddHeader>&amp;L&amp;"Aptos"&amp;10&amp;K000000 Classified as Internal&amp;1#_x000D_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Drop Down 1">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C7DE8-E169-4E73-9D7D-3E1B8A7D8A5C}">
  <sheetPr codeName="Sheet14">
    <tabColor rgb="FFBAA0CC"/>
    <pageSetUpPr autoPageBreaks="0"/>
  </sheetPr>
  <dimension ref="A1:BF100"/>
  <sheetViews>
    <sheetView zoomScaleNormal="100" workbookViewId="0">
      <pane xSplit="46" ySplit="4" topLeftCell="AU5" activePane="bottomRight" state="frozen"/>
      <selection pane="topRight" activeCell="AU1" sqref="AU1"/>
      <selection pane="bottomLeft" activeCell="A5" sqref="A5"/>
      <selection pane="bottomRight"/>
    </sheetView>
  </sheetViews>
  <sheetFormatPr defaultColWidth="0" defaultRowHeight="14.5" zeroHeight="1" outlineLevelRow="2" outlineLevelCol="1" x14ac:dyDescent="0.35"/>
  <cols>
    <col min="1" max="3" width="1.90625" customWidth="1"/>
    <col min="4" max="4" width="15.6328125" customWidth="1"/>
    <col min="5" max="5" width="65.6328125" customWidth="1"/>
    <col min="6" max="6" width="8.6328125" customWidth="1"/>
    <col min="7" max="7" width="17.6328125" customWidth="1"/>
    <col min="8" max="8" width="9.6328125" customWidth="1"/>
    <col min="9" max="9" width="11.6328125" customWidth="1"/>
    <col min="10" max="10" width="2.08984375" customWidth="1"/>
    <col min="11" max="45" width="11.6328125" hidden="1" customWidth="1" outlineLevel="1"/>
    <col min="46" max="46" width="11.6328125" style="61" hidden="1" customWidth="1" outlineLevel="1"/>
    <col min="47" max="47" width="11.6328125" customWidth="1" collapsed="1"/>
    <col min="48" max="51" width="11.6328125" customWidth="1"/>
    <col min="52" max="52" width="18.6328125" customWidth="1"/>
    <col min="53" max="55" width="10.6328125" style="1" customWidth="1"/>
    <col min="56" max="57" width="10.6328125" customWidth="1"/>
    <col min="58" max="58" width="1.6328125" style="33" customWidth="1"/>
  </cols>
  <sheetData>
    <row r="1" spans="1:56" s="90" customFormat="1" x14ac:dyDescent="0.35">
      <c r="A1" s="89" t="str" cm="1">
        <f t="array" aca="1" ref="A1" ca="1">MID(CELL("filename",$A$1),FIND("]",CELL("filename",$A$1))+1,255)</f>
        <v>FuelPoor</v>
      </c>
      <c r="E1" s="107"/>
      <c r="G1" s="90" t="s">
        <v>572</v>
      </c>
      <c r="H1" s="27" t="e">
        <f>Checks!I7</f>
        <v>#REF!</v>
      </c>
      <c r="AT1" s="96"/>
      <c r="BA1" s="92"/>
      <c r="BB1" s="92"/>
    </row>
    <row r="2" spans="1:56" s="90" customFormat="1" ht="15" customHeight="1" x14ac:dyDescent="0.35">
      <c r="AT2" s="96"/>
      <c r="BA2" s="92"/>
      <c r="BB2" s="92"/>
    </row>
    <row r="3" spans="1:56" s="90" customFormat="1" ht="15" customHeight="1" x14ac:dyDescent="0.35">
      <c r="E3" s="90" t="s">
        <v>1</v>
      </c>
      <c r="F3" s="90" t="s">
        <v>2</v>
      </c>
      <c r="G3" s="90" t="s">
        <v>3</v>
      </c>
      <c r="H3" s="90" t="s">
        <v>4</v>
      </c>
      <c r="I3" s="90" t="s">
        <v>5</v>
      </c>
      <c r="AT3" s="96"/>
      <c r="AU3" s="90" t="s">
        <v>6</v>
      </c>
      <c r="BA3" s="92"/>
      <c r="BB3" s="92"/>
    </row>
    <row r="4" spans="1:56" s="90" customFormat="1" ht="15" customHeight="1" x14ac:dyDescent="0.35">
      <c r="D4" s="92" t="s">
        <v>459</v>
      </c>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92" t="s">
        <v>591</v>
      </c>
      <c r="BB4" s="92" t="s">
        <v>592</v>
      </c>
      <c r="BC4" s="92" t="s">
        <v>593</v>
      </c>
      <c r="BD4" s="92" t="s">
        <v>594</v>
      </c>
    </row>
    <row r="5" spans="1:56" x14ac:dyDescent="0.35"/>
    <row r="6" spans="1:56" ht="20" outlineLevel="1" thickBot="1" x14ac:dyDescent="0.5">
      <c r="A6" s="13" t="s">
        <v>484</v>
      </c>
    </row>
    <row r="7" spans="1:56" ht="15" outlineLevel="2" thickTop="1" x14ac:dyDescent="0.35">
      <c r="D7" s="1" t="str" cm="1">
        <f t="array" aca="1" ref="D7" ca="1">IFERROR(MID(_xlfn.FORMULATEXT(I7),FIND("=",_xlfn.FORMULATEXT(I7))+1,FIND("!",_xlfn.FORMULATEXT(I7))-2),MID(_xlfn.FORMULATEXT(INDEX(L7:AV7,MATCH(FALSE,ISBLANK(L7:AV7),0))),FIND("=",_xlfn.FORMULATEXT(INDEX(L7:AV7,MATCH(FALSE,ISBLANK(L7:AV7),0))))+1,FIND("!",_xlfn.FORMULATEXT(INDEX(L7:AV7,MATCH(FALSE,ISBLANK(L7:AV7),0))))-2))</f>
        <v>Transform</v>
      </c>
      <c r="E7" t="s">
        <v>199</v>
      </c>
      <c r="G7" t="str">
        <f>price_label</f>
        <v>£m 23/24 prices</v>
      </c>
      <c r="J7" t="s">
        <v>13</v>
      </c>
      <c r="AD7" s="50">
        <f>Transform!AD46</f>
        <v>0</v>
      </c>
      <c r="AE7" s="50">
        <f>Transform!AE46</f>
        <v>0</v>
      </c>
      <c r="AF7" s="50">
        <f>Transform!AF46</f>
        <v>0</v>
      </c>
      <c r="AG7" s="50">
        <f>Transform!AG46</f>
        <v>0</v>
      </c>
      <c r="AZ7" s="1"/>
      <c r="BA7" s="34"/>
    </row>
    <row r="8" spans="1:56" outlineLevel="2" x14ac:dyDescent="0.35">
      <c r="D8" s="1" t="str" cm="1">
        <f t="array" aca="1" ref="D8" ca="1">IFERROR(MID(_xlfn.FORMULATEXT(I8),FIND("=",_xlfn.FORMULATEXT(I8))+1,FIND("!",_xlfn.FORMULATEXT(I8))-2),MID(_xlfn.FORMULATEXT(INDEX(L8:AV8,MATCH(FALSE,ISBLANK(L8:AV8),0))),FIND("=",_xlfn.FORMULATEXT(INDEX(L8:AV8,MATCH(FALSE,ISBLANK(L8:AV8),0))))+1,FIND("!",_xlfn.FORMULATEXT(INDEX(L8:AV8,MATCH(FALSE,ISBLANK(L8:AV8),0))))-2))</f>
        <v>Transform</v>
      </c>
      <c r="E8" t="s">
        <v>200</v>
      </c>
      <c r="G8" t="str">
        <f>price_label</f>
        <v>£m 23/24 prices</v>
      </c>
      <c r="J8" t="s">
        <v>13</v>
      </c>
      <c r="AD8" s="50">
        <f>Transform!AD47</f>
        <v>0</v>
      </c>
      <c r="AE8" s="50">
        <f>Transform!AE47</f>
        <v>0</v>
      </c>
      <c r="AF8" s="50">
        <f>Transform!AF47</f>
        <v>0</v>
      </c>
      <c r="AG8" s="50">
        <f>Transform!AG47</f>
        <v>0</v>
      </c>
      <c r="AZ8" s="1"/>
      <c r="BA8" s="34"/>
    </row>
    <row r="9" spans="1:56" outlineLevel="2" x14ac:dyDescent="0.35">
      <c r="D9" s="1" t="str" cm="1">
        <f t="array" aca="1" ref="D9" ca="1">IFERROR(MID(_xlfn.FORMULATEXT(I9),FIND("=",_xlfn.FORMULATEXT(I9))+1,FIND("!",_xlfn.FORMULATEXT(I9))-2),MID(_xlfn.FORMULATEXT(INDEX(L9:AV9,MATCH(FALSE,ISBLANK(L9:AV9),0))),FIND("=",_xlfn.FORMULATEXT(INDEX(L9:AV9,MATCH(FALSE,ISBLANK(L9:AV9),0))))+1,FIND("!",_xlfn.FORMULATEXT(INDEX(L9:AV9,MATCH(FALSE,ISBLANK(L9:AV9),0))))-2))</f>
        <v>Transform</v>
      </c>
      <c r="E9" t="s">
        <v>201</v>
      </c>
      <c r="G9" t="str">
        <f>price_label</f>
        <v>£m 23/24 prices</v>
      </c>
      <c r="J9" t="s">
        <v>13</v>
      </c>
      <c r="AD9" s="50">
        <f>Transform!AD48</f>
        <v>3.8738486569847601</v>
      </c>
      <c r="AE9" s="50">
        <f>Transform!AE48</f>
        <v>6.4058681806719227</v>
      </c>
      <c r="AF9" s="50">
        <f>Transform!AF48</f>
        <v>7.2340525287469379</v>
      </c>
      <c r="AG9" s="50">
        <f>Transform!AG48</f>
        <v>5.2649264003666829</v>
      </c>
      <c r="AZ9" s="1"/>
      <c r="BA9" s="34"/>
    </row>
    <row r="10" spans="1:56" outlineLevel="2" x14ac:dyDescent="0.35">
      <c r="D10" s="1" t="str" cm="1">
        <f t="array" aca="1" ref="D10" ca="1">IFERROR(MID(_xlfn.FORMULATEXT(I10),FIND("=",_xlfn.FORMULATEXT(I10))+1,FIND("!",_xlfn.FORMULATEXT(I10))-2),MID(_xlfn.FORMULATEXT(INDEX(L10:AV10,MATCH(FALSE,ISBLANK(L10:AV10),0))),FIND("=",_xlfn.FORMULATEXT(INDEX(L10:AV10,MATCH(FALSE,ISBLANK(L10:AV10),0))))+1,FIND("!",_xlfn.FORMULATEXT(INDEX(L10:AV10,MATCH(FALSE,ISBLANK(L10:AV10),0))))-2))</f>
        <v>Transform</v>
      </c>
      <c r="E10" t="s">
        <v>197</v>
      </c>
      <c r="G10" t="s">
        <v>190</v>
      </c>
      <c r="I10" s="19">
        <f>Transform!I44</f>
        <v>45</v>
      </c>
      <c r="AZ10" s="1"/>
      <c r="BA10" s="34"/>
    </row>
    <row r="11" spans="1:56" outlineLevel="2" x14ac:dyDescent="0.35">
      <c r="D11" s="1" t="str" cm="1">
        <f t="array" aca="1" ref="D11" ca="1">IFERROR(MID(_xlfn.FORMULATEXT(I11),FIND("=",_xlfn.FORMULATEXT(I11))+1,FIND("!",_xlfn.FORMULATEXT(I11))-2),MID(_xlfn.FORMULATEXT(INDEX(L11:AV11,MATCH(FALSE,ISBLANK(L11:AV11),0))),FIND("=",_xlfn.FORMULATEXT(INDEX(L11:AV11,MATCH(FALSE,ISBLANK(L11:AV11),0))))+1,FIND("!",_xlfn.FORMULATEXT(INDEX(L11:AV11,MATCH(FALSE,ISBLANK(L11:AV11),0))))-2))</f>
        <v>Transform</v>
      </c>
      <c r="E11" t="s">
        <v>198</v>
      </c>
      <c r="G11" t="s">
        <v>190</v>
      </c>
      <c r="I11" s="19">
        <f>Transform!I45</f>
        <v>5</v>
      </c>
      <c r="AZ11" s="1"/>
      <c r="BA11" s="34"/>
    </row>
    <row r="12" spans="1:56" s="1" customFormat="1" x14ac:dyDescent="0.35">
      <c r="A12" s="3"/>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s="61"/>
      <c r="AU12" s="51"/>
      <c r="AV12" s="51"/>
      <c r="AW12" s="51"/>
      <c r="AX12" s="51"/>
      <c r="AY12" s="51"/>
      <c r="AZ12"/>
      <c r="BA12" s="34"/>
    </row>
    <row r="13" spans="1:56" s="1" customFormat="1" ht="20" thickBot="1" x14ac:dyDescent="0.5">
      <c r="A13" s="13" t="s">
        <v>395</v>
      </c>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s="61"/>
      <c r="AU13" s="51"/>
      <c r="AV13" s="51"/>
      <c r="AW13" s="51"/>
      <c r="AX13" s="51"/>
      <c r="AY13" s="51"/>
      <c r="AZ13"/>
      <c r="BA13" s="34"/>
    </row>
    <row r="14" spans="1:56" s="1" customFormat="1" ht="15" thickTop="1" x14ac:dyDescent="0.35">
      <c r="A14"/>
      <c r="B14"/>
      <c r="C14"/>
      <c r="D14"/>
      <c r="E14" t="s">
        <v>285</v>
      </c>
      <c r="F14"/>
      <c r="G14" t="str">
        <f>price_label</f>
        <v>£m 23/24 prices</v>
      </c>
      <c r="H14"/>
      <c r="I14"/>
      <c r="J14" t="s">
        <v>13</v>
      </c>
      <c r="K14"/>
      <c r="L14"/>
      <c r="M14"/>
      <c r="N14"/>
      <c r="O14"/>
      <c r="P14"/>
      <c r="Q14"/>
      <c r="R14"/>
      <c r="S14"/>
      <c r="T14"/>
      <c r="U14"/>
      <c r="V14"/>
      <c r="W14"/>
      <c r="X14"/>
      <c r="Y14"/>
      <c r="Z14"/>
      <c r="AA14"/>
      <c r="AB14"/>
      <c r="AC14"/>
      <c r="AD14" s="12">
        <f t="shared" ref="AD14:AG14" si="0">IF(AD7&gt;=AD8,AD7-AD8,0)</f>
        <v>0</v>
      </c>
      <c r="AE14" s="12">
        <f t="shared" si="0"/>
        <v>0</v>
      </c>
      <c r="AF14" s="12">
        <f t="shared" si="0"/>
        <v>0</v>
      </c>
      <c r="AG14" s="12">
        <f t="shared" si="0"/>
        <v>0</v>
      </c>
      <c r="AH14"/>
      <c r="AI14"/>
      <c r="AJ14"/>
      <c r="AK14"/>
      <c r="AL14"/>
      <c r="AM14"/>
      <c r="AN14"/>
      <c r="AO14"/>
      <c r="AP14"/>
      <c r="AQ14"/>
      <c r="AR14"/>
      <c r="AS14"/>
      <c r="AT14" s="61"/>
      <c r="AU14"/>
      <c r="AV14"/>
      <c r="AW14"/>
      <c r="AX14"/>
      <c r="AY14"/>
      <c r="AZ14"/>
      <c r="BA14" s="34" t="str">
        <f ca="1">$A$1</f>
        <v>FuelPoor</v>
      </c>
      <c r="BB14" s="1" t="str">
        <f>$A$13</f>
        <v>Input calculations</v>
      </c>
    </row>
    <row r="15" spans="1:56" s="1" customFormat="1" x14ac:dyDescent="0.35">
      <c r="A15" s="3"/>
      <c r="B15"/>
      <c r="C15"/>
      <c r="D15"/>
      <c r="E15" t="s">
        <v>286</v>
      </c>
      <c r="F15"/>
      <c r="G15" t="s">
        <v>287</v>
      </c>
      <c r="H15"/>
      <c r="I15" s="44">
        <f>I10*(1+I10)/2</f>
        <v>1035</v>
      </c>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s="61"/>
      <c r="AU15"/>
      <c r="AV15"/>
      <c r="AW15"/>
      <c r="AX15"/>
      <c r="AY15"/>
      <c r="AZ15"/>
      <c r="BA15" s="34" t="str">
        <f t="shared" ref="BA15" ca="1" si="1">$A$1</f>
        <v>FuelPoor</v>
      </c>
      <c r="BB15" s="1" t="str">
        <f>$A$13</f>
        <v>Input calculations</v>
      </c>
    </row>
    <row r="16" spans="1:56" x14ac:dyDescent="0.35"/>
    <row r="17" spans="1:56" s="1" customFormat="1" ht="20" thickBot="1" x14ac:dyDescent="0.5">
      <c r="A17" s="13" t="s">
        <v>294</v>
      </c>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s="61"/>
      <c r="AU17"/>
      <c r="AV17"/>
      <c r="AW17"/>
      <c r="AX17"/>
      <c r="AY17"/>
      <c r="AZ17"/>
      <c r="BA17" s="34"/>
      <c r="BD17"/>
    </row>
    <row r="18" spans="1:56" ht="18" thickTop="1" thickBot="1" x14ac:dyDescent="0.45">
      <c r="B18" s="15" t="s">
        <v>0</v>
      </c>
      <c r="BA18"/>
      <c r="BB18"/>
      <c r="BC18"/>
    </row>
    <row r="19" spans="1:56" ht="15" thickTop="1" x14ac:dyDescent="0.35">
      <c r="E19" t="s">
        <v>288</v>
      </c>
      <c r="G19" t="s">
        <v>193</v>
      </c>
      <c r="I19" s="54">
        <f>DATE(LEFT(A17,4),3,31)</f>
        <v>40268</v>
      </c>
      <c r="BA19" s="34" t="str">
        <f t="shared" ref="BA19:BA82" ca="1" si="2">$A$1</f>
        <v>FuelPoor</v>
      </c>
      <c r="BB19" s="1" t="str">
        <f>$A$17</f>
        <v>2010 Schemes</v>
      </c>
      <c r="BC19" s="1" t="str">
        <f>$B$18</f>
        <v>Input</v>
      </c>
    </row>
    <row r="20" spans="1:56" x14ac:dyDescent="0.35">
      <c r="BA20" s="34"/>
      <c r="BB20"/>
      <c r="BC20"/>
    </row>
    <row r="21" spans="1:56" ht="17.5" thickBot="1" x14ac:dyDescent="0.45">
      <c r="B21" s="15" t="s">
        <v>289</v>
      </c>
      <c r="BA21" s="34"/>
      <c r="BB21"/>
      <c r="BC21"/>
    </row>
    <row r="22" spans="1:56" ht="15.5" thickTop="1" thickBot="1" x14ac:dyDescent="0.4">
      <c r="C22" s="11" t="s">
        <v>290</v>
      </c>
      <c r="BA22" s="34"/>
      <c r="BB22"/>
      <c r="BC22"/>
    </row>
    <row r="23" spans="1:56" x14ac:dyDescent="0.35">
      <c r="E23" t="s">
        <v>291</v>
      </c>
      <c r="G23" t="str">
        <f>price_label</f>
        <v>£m 23/24 prices</v>
      </c>
      <c r="J23" t="s">
        <v>13</v>
      </c>
      <c r="AD23" s="27">
        <f t="shared" ref="AD23:AT23" si="3">AC27</f>
        <v>0</v>
      </c>
      <c r="AE23" s="27">
        <f t="shared" si="3"/>
        <v>3.8738486569847601</v>
      </c>
      <c r="AF23" s="27">
        <f t="shared" si="3"/>
        <v>3.8738486569847601</v>
      </c>
      <c r="AG23" s="27">
        <f t="shared" si="3"/>
        <v>3.8738486569847601</v>
      </c>
      <c r="AH23" s="27">
        <f t="shared" si="3"/>
        <v>3.8738486569847601</v>
      </c>
      <c r="AI23" s="27">
        <f t="shared" si="3"/>
        <v>3.8738486569847601</v>
      </c>
      <c r="AJ23" s="27">
        <f t="shared" si="3"/>
        <v>3.8738486569847601</v>
      </c>
      <c r="AK23" s="27">
        <f t="shared" si="3"/>
        <v>3.8738486569847601</v>
      </c>
      <c r="AL23" s="27">
        <f t="shared" si="3"/>
        <v>3.8738486569847601</v>
      </c>
      <c r="AM23" s="27">
        <f t="shared" si="3"/>
        <v>3.8738486569847601</v>
      </c>
      <c r="AN23" s="27">
        <f t="shared" si="3"/>
        <v>3.8738486569847601</v>
      </c>
      <c r="AO23" s="27">
        <f t="shared" si="3"/>
        <v>3.8738486569847601</v>
      </c>
      <c r="AP23" s="27">
        <f t="shared" si="3"/>
        <v>3.8738486569847601</v>
      </c>
      <c r="AQ23" s="27">
        <f t="shared" si="3"/>
        <v>3.8738486569847601</v>
      </c>
      <c r="AR23" s="27">
        <f t="shared" si="3"/>
        <v>3.8738486569847601</v>
      </c>
      <c r="AS23" s="27">
        <f t="shared" si="3"/>
        <v>3.8738486569847601</v>
      </c>
      <c r="AT23" s="72">
        <f t="shared" si="3"/>
        <v>3.8738486569847601</v>
      </c>
      <c r="AU23" s="154">
        <f>AT27</f>
        <v>3.8738486569847601</v>
      </c>
      <c r="AV23" s="27">
        <f t="shared" ref="AV23:AY23" si="4">AU27</f>
        <v>3.8738486569847601</v>
      </c>
      <c r="AW23" s="27">
        <f t="shared" si="4"/>
        <v>3.8738486569847601</v>
      </c>
      <c r="AX23" s="27">
        <f t="shared" si="4"/>
        <v>3.8738486569847601</v>
      </c>
      <c r="AY23" s="27">
        <f t="shared" si="4"/>
        <v>3.8738486569847601</v>
      </c>
      <c r="BA23" s="34" t="str">
        <f t="shared" ca="1" si="2"/>
        <v>FuelPoor</v>
      </c>
      <c r="BB23" s="1" t="str">
        <f>$A$17</f>
        <v>2010 Schemes</v>
      </c>
      <c r="BC23" s="1" t="str">
        <f>$B$21</f>
        <v>RAV</v>
      </c>
      <c r="BD23" s="1" t="str">
        <f>$C$22</f>
        <v>Cost</v>
      </c>
    </row>
    <row r="24" spans="1:56" x14ac:dyDescent="0.35">
      <c r="E24" t="s">
        <v>759</v>
      </c>
      <c r="G24" t="str">
        <f>price_label</f>
        <v>£m 23/24 prices</v>
      </c>
      <c r="J24" t="s">
        <v>13</v>
      </c>
      <c r="AD24" s="12">
        <f t="shared" ref="AD24:AU24" si="5">(($I19=AD$4)*(AD$8))</f>
        <v>0</v>
      </c>
      <c r="AE24" s="12">
        <f t="shared" si="5"/>
        <v>0</v>
      </c>
      <c r="AF24" s="12">
        <f t="shared" si="5"/>
        <v>0</v>
      </c>
      <c r="AG24" s="12">
        <f t="shared" si="5"/>
        <v>0</v>
      </c>
      <c r="AH24" s="12">
        <f t="shared" si="5"/>
        <v>0</v>
      </c>
      <c r="AI24" s="12">
        <f t="shared" si="5"/>
        <v>0</v>
      </c>
      <c r="AJ24" s="12">
        <f t="shared" si="5"/>
        <v>0</v>
      </c>
      <c r="AK24" s="12">
        <f t="shared" si="5"/>
        <v>0</v>
      </c>
      <c r="AL24" s="12">
        <f t="shared" si="5"/>
        <v>0</v>
      </c>
      <c r="AM24" s="12">
        <f t="shared" si="5"/>
        <v>0</v>
      </c>
      <c r="AN24" s="12">
        <f t="shared" si="5"/>
        <v>0</v>
      </c>
      <c r="AO24" s="12">
        <f t="shared" si="5"/>
        <v>0</v>
      </c>
      <c r="AP24" s="12">
        <f t="shared" si="5"/>
        <v>0</v>
      </c>
      <c r="AQ24" s="12">
        <f t="shared" si="5"/>
        <v>0</v>
      </c>
      <c r="AR24" s="12">
        <f t="shared" si="5"/>
        <v>0</v>
      </c>
      <c r="AS24" s="12">
        <f t="shared" si="5"/>
        <v>0</v>
      </c>
      <c r="AT24" s="69">
        <f t="shared" si="5"/>
        <v>0</v>
      </c>
      <c r="AU24" s="152">
        <f t="shared" si="5"/>
        <v>0</v>
      </c>
      <c r="AV24" s="12">
        <f>(($I19=AV$4)*(AV$8))</f>
        <v>0</v>
      </c>
      <c r="AW24" s="12">
        <f t="shared" ref="AW24:AY24" si="6">(($I19=AW$4)*(AW$8))</f>
        <v>0</v>
      </c>
      <c r="AX24" s="12">
        <f t="shared" si="6"/>
        <v>0</v>
      </c>
      <c r="AY24" s="12">
        <f t="shared" si="6"/>
        <v>0</v>
      </c>
      <c r="BA24" s="34" t="str">
        <f t="shared" ca="1" si="2"/>
        <v>FuelPoor</v>
      </c>
      <c r="BB24" s="1" t="str">
        <f>$A$17</f>
        <v>2010 Schemes</v>
      </c>
      <c r="BC24" s="1" t="str">
        <f>$B$21</f>
        <v>RAV</v>
      </c>
      <c r="BD24" s="1" t="str">
        <f>$C$22</f>
        <v>Cost</v>
      </c>
    </row>
    <row r="25" spans="1:56" x14ac:dyDescent="0.35">
      <c r="E25" t="s">
        <v>760</v>
      </c>
      <c r="G25" t="str">
        <f>price_label</f>
        <v>£m 23/24 prices</v>
      </c>
      <c r="J25" t="s">
        <v>13</v>
      </c>
      <c r="AD25" s="12">
        <f t="shared" ref="AD25:AX25" si="7">(($I19=AD$4)*(AD$14))</f>
        <v>0</v>
      </c>
      <c r="AE25" s="12">
        <f t="shared" si="7"/>
        <v>0</v>
      </c>
      <c r="AF25" s="12">
        <f t="shared" si="7"/>
        <v>0</v>
      </c>
      <c r="AG25" s="12">
        <f t="shared" si="7"/>
        <v>0</v>
      </c>
      <c r="AH25" s="12">
        <f t="shared" si="7"/>
        <v>0</v>
      </c>
      <c r="AI25" s="12">
        <f t="shared" si="7"/>
        <v>0</v>
      </c>
      <c r="AJ25" s="12">
        <f t="shared" si="7"/>
        <v>0</v>
      </c>
      <c r="AK25" s="12">
        <f t="shared" si="7"/>
        <v>0</v>
      </c>
      <c r="AL25" s="12">
        <f t="shared" si="7"/>
        <v>0</v>
      </c>
      <c r="AM25" s="12">
        <f t="shared" si="7"/>
        <v>0</v>
      </c>
      <c r="AN25" s="12">
        <f t="shared" si="7"/>
        <v>0</v>
      </c>
      <c r="AO25" s="12">
        <f t="shared" si="7"/>
        <v>0</v>
      </c>
      <c r="AP25" s="12">
        <f t="shared" si="7"/>
        <v>0</v>
      </c>
      <c r="AQ25" s="12">
        <f t="shared" si="7"/>
        <v>0</v>
      </c>
      <c r="AR25" s="12">
        <f t="shared" si="7"/>
        <v>0</v>
      </c>
      <c r="AS25" s="12">
        <f t="shared" si="7"/>
        <v>0</v>
      </c>
      <c r="AT25" s="69">
        <f t="shared" si="7"/>
        <v>0</v>
      </c>
      <c r="AU25" s="152">
        <f t="shared" si="7"/>
        <v>0</v>
      </c>
      <c r="AV25" s="12">
        <f t="shared" si="7"/>
        <v>0</v>
      </c>
      <c r="AW25" s="12">
        <f t="shared" si="7"/>
        <v>0</v>
      </c>
      <c r="AX25" s="12">
        <f t="shared" si="7"/>
        <v>0</v>
      </c>
      <c r="AY25" s="12">
        <f>(($I19=AY$4)*(AY$14))</f>
        <v>0</v>
      </c>
      <c r="BA25" s="34" t="str">
        <f t="shared" ca="1" si="2"/>
        <v>FuelPoor</v>
      </c>
      <c r="BB25" s="1" t="str">
        <f>$A$17</f>
        <v>2010 Schemes</v>
      </c>
      <c r="BC25" s="1" t="str">
        <f>$B$21</f>
        <v>RAV</v>
      </c>
      <c r="BD25" s="1" t="str">
        <f>$C$22</f>
        <v>Cost</v>
      </c>
    </row>
    <row r="26" spans="1:56" x14ac:dyDescent="0.35">
      <c r="E26" t="s">
        <v>761</v>
      </c>
      <c r="G26" t="str">
        <f>price_label</f>
        <v>£m 23/24 prices</v>
      </c>
      <c r="J26" t="s">
        <v>13</v>
      </c>
      <c r="AD26" s="12">
        <f t="shared" ref="AD26:AX26" si="8">(($I19=AD$4)*(AD$9))</f>
        <v>3.8738486569847601</v>
      </c>
      <c r="AE26" s="12">
        <f t="shared" si="8"/>
        <v>0</v>
      </c>
      <c r="AF26" s="12">
        <f t="shared" si="8"/>
        <v>0</v>
      </c>
      <c r="AG26" s="12">
        <f t="shared" si="8"/>
        <v>0</v>
      </c>
      <c r="AH26" s="12">
        <f t="shared" si="8"/>
        <v>0</v>
      </c>
      <c r="AI26" s="12">
        <f t="shared" si="8"/>
        <v>0</v>
      </c>
      <c r="AJ26" s="12">
        <f t="shared" si="8"/>
        <v>0</v>
      </c>
      <c r="AK26" s="12">
        <f t="shared" si="8"/>
        <v>0</v>
      </c>
      <c r="AL26" s="12">
        <f t="shared" si="8"/>
        <v>0</v>
      </c>
      <c r="AM26" s="12">
        <f t="shared" si="8"/>
        <v>0</v>
      </c>
      <c r="AN26" s="12">
        <f t="shared" si="8"/>
        <v>0</v>
      </c>
      <c r="AO26" s="12">
        <f t="shared" si="8"/>
        <v>0</v>
      </c>
      <c r="AP26" s="12">
        <f t="shared" si="8"/>
        <v>0</v>
      </c>
      <c r="AQ26" s="12">
        <f t="shared" si="8"/>
        <v>0</v>
      </c>
      <c r="AR26" s="12">
        <f t="shared" si="8"/>
        <v>0</v>
      </c>
      <c r="AS26" s="12">
        <f t="shared" si="8"/>
        <v>0</v>
      </c>
      <c r="AT26" s="69">
        <f t="shared" si="8"/>
        <v>0</v>
      </c>
      <c r="AU26" s="152">
        <f t="shared" si="8"/>
        <v>0</v>
      </c>
      <c r="AV26" s="12">
        <f t="shared" si="8"/>
        <v>0</v>
      </c>
      <c r="AW26" s="12">
        <f t="shared" si="8"/>
        <v>0</v>
      </c>
      <c r="AX26" s="12">
        <f t="shared" si="8"/>
        <v>0</v>
      </c>
      <c r="AY26" s="12">
        <f>(($I19=AY$4)*(AY$9))</f>
        <v>0</v>
      </c>
      <c r="BA26" s="34" t="str">
        <f t="shared" ca="1" si="2"/>
        <v>FuelPoor</v>
      </c>
      <c r="BB26" s="1" t="str">
        <f>$A$17</f>
        <v>2010 Schemes</v>
      </c>
      <c r="BC26" s="1" t="str">
        <f>$B$21</f>
        <v>RAV</v>
      </c>
      <c r="BD26" s="1" t="str">
        <f>$C$22</f>
        <v>Cost</v>
      </c>
    </row>
    <row r="27" spans="1:56" x14ac:dyDescent="0.35">
      <c r="E27" t="s">
        <v>323</v>
      </c>
      <c r="G27" t="str">
        <f>price_label</f>
        <v>£m 23/24 prices</v>
      </c>
      <c r="J27" t="s">
        <v>13</v>
      </c>
      <c r="AD27" s="12">
        <f t="shared" ref="AD27:AT27" si="9">SUM(AD23:AD26)</f>
        <v>3.8738486569847601</v>
      </c>
      <c r="AE27" s="12">
        <f t="shared" si="9"/>
        <v>3.8738486569847601</v>
      </c>
      <c r="AF27" s="12">
        <f t="shared" si="9"/>
        <v>3.8738486569847601</v>
      </c>
      <c r="AG27" s="12">
        <f t="shared" si="9"/>
        <v>3.8738486569847601</v>
      </c>
      <c r="AH27" s="12">
        <f t="shared" si="9"/>
        <v>3.8738486569847601</v>
      </c>
      <c r="AI27" s="12">
        <f t="shared" si="9"/>
        <v>3.8738486569847601</v>
      </c>
      <c r="AJ27" s="12">
        <f t="shared" si="9"/>
        <v>3.8738486569847601</v>
      </c>
      <c r="AK27" s="12">
        <f t="shared" si="9"/>
        <v>3.8738486569847601</v>
      </c>
      <c r="AL27" s="12">
        <f t="shared" si="9"/>
        <v>3.8738486569847601</v>
      </c>
      <c r="AM27" s="12">
        <f t="shared" si="9"/>
        <v>3.8738486569847601</v>
      </c>
      <c r="AN27" s="12">
        <f t="shared" si="9"/>
        <v>3.8738486569847601</v>
      </c>
      <c r="AO27" s="12">
        <f t="shared" si="9"/>
        <v>3.8738486569847601</v>
      </c>
      <c r="AP27" s="12">
        <f t="shared" si="9"/>
        <v>3.8738486569847601</v>
      </c>
      <c r="AQ27" s="12">
        <f t="shared" si="9"/>
        <v>3.8738486569847601</v>
      </c>
      <c r="AR27" s="12">
        <f t="shared" si="9"/>
        <v>3.8738486569847601</v>
      </c>
      <c r="AS27" s="12">
        <f t="shared" si="9"/>
        <v>3.8738486569847601</v>
      </c>
      <c r="AT27" s="69">
        <f t="shared" si="9"/>
        <v>3.8738486569847601</v>
      </c>
      <c r="AU27" s="152">
        <f>SUM(AU23:AU26)</f>
        <v>3.8738486569847601</v>
      </c>
      <c r="AV27" s="12">
        <f t="shared" ref="AV27:AY27" si="10">SUM(AV23:AV26)</f>
        <v>3.8738486569847601</v>
      </c>
      <c r="AW27" s="12">
        <f t="shared" si="10"/>
        <v>3.8738486569847601</v>
      </c>
      <c r="AX27" s="12">
        <f t="shared" si="10"/>
        <v>3.8738486569847601</v>
      </c>
      <c r="AY27" s="12">
        <f t="shared" si="10"/>
        <v>3.8738486569847601</v>
      </c>
      <c r="BA27" s="34" t="str">
        <f t="shared" ca="1" si="2"/>
        <v>FuelPoor</v>
      </c>
      <c r="BB27" s="1" t="str">
        <f>$A$17</f>
        <v>2010 Schemes</v>
      </c>
      <c r="BC27" s="1" t="str">
        <f>$B$21</f>
        <v>RAV</v>
      </c>
      <c r="BD27" s="1" t="str">
        <f>$C$22</f>
        <v>Cost</v>
      </c>
    </row>
    <row r="28" spans="1:56" x14ac:dyDescent="0.35">
      <c r="BA28" s="34"/>
      <c r="BB28"/>
      <c r="BC28"/>
    </row>
    <row r="29" spans="1:56" ht="15" thickBot="1" x14ac:dyDescent="0.4">
      <c r="C29" s="11" t="s">
        <v>293</v>
      </c>
      <c r="BA29" s="34"/>
      <c r="BB29"/>
      <c r="BC29"/>
    </row>
    <row r="30" spans="1:56" x14ac:dyDescent="0.35">
      <c r="E30" t="s">
        <v>291</v>
      </c>
      <c r="G30" t="str">
        <f>price_label</f>
        <v>£m 23/24 prices</v>
      </c>
      <c r="J30" t="s">
        <v>13</v>
      </c>
      <c r="AD30" s="27">
        <f t="shared" ref="AD30:AT30" si="11">AC34</f>
        <v>0</v>
      </c>
      <c r="AE30" s="27">
        <f t="shared" si="11"/>
        <v>0</v>
      </c>
      <c r="AF30" s="27">
        <f t="shared" si="11"/>
        <v>0.16842820247759827</v>
      </c>
      <c r="AG30" s="27">
        <f t="shared" si="11"/>
        <v>0.33311355601124992</v>
      </c>
      <c r="AH30" s="27">
        <f t="shared" si="11"/>
        <v>0.49405606060095497</v>
      </c>
      <c r="AI30" s="27">
        <f t="shared" si="11"/>
        <v>0.65125571624671341</v>
      </c>
      <c r="AJ30" s="27">
        <f t="shared" si="11"/>
        <v>0.80471252294852513</v>
      </c>
      <c r="AK30" s="27">
        <f t="shared" si="11"/>
        <v>0.95442648070639025</v>
      </c>
      <c r="AL30" s="27">
        <f t="shared" si="11"/>
        <v>1.1003975895203086</v>
      </c>
      <c r="AM30" s="27">
        <f t="shared" si="11"/>
        <v>1.2426258493902804</v>
      </c>
      <c r="AN30" s="27">
        <f t="shared" si="11"/>
        <v>1.3811112603163056</v>
      </c>
      <c r="AO30" s="27">
        <f t="shared" si="11"/>
        <v>1.5158538222983842</v>
      </c>
      <c r="AP30" s="27">
        <f t="shared" si="11"/>
        <v>1.6468535353365161</v>
      </c>
      <c r="AQ30" s="27">
        <f t="shared" si="11"/>
        <v>1.7741103994307015</v>
      </c>
      <c r="AR30" s="27">
        <f t="shared" si="11"/>
        <v>1.8976244145809402</v>
      </c>
      <c r="AS30" s="27">
        <f t="shared" si="11"/>
        <v>2.0173955807872321</v>
      </c>
      <c r="AT30" s="72">
        <f t="shared" si="11"/>
        <v>2.1334238980495774</v>
      </c>
      <c r="AU30" s="154">
        <f>AT34</f>
        <v>2.2457093663679761</v>
      </c>
      <c r="AV30" s="27">
        <f t="shared" ref="AV30:AY30" si="12">AU34</f>
        <v>2.3542519857424282</v>
      </c>
      <c r="AW30" s="27">
        <f t="shared" si="12"/>
        <v>2.4590517561729337</v>
      </c>
      <c r="AX30" s="27">
        <f t="shared" si="12"/>
        <v>2.5601086776594926</v>
      </c>
      <c r="AY30" s="27">
        <f t="shared" si="12"/>
        <v>2.6574227502021048</v>
      </c>
      <c r="BA30" s="34" t="str">
        <f t="shared" ca="1" si="2"/>
        <v>FuelPoor</v>
      </c>
      <c r="BB30" s="1" t="str">
        <f>$A$17</f>
        <v>2010 Schemes</v>
      </c>
      <c r="BC30" s="1" t="str">
        <f>$B$21</f>
        <v>RAV</v>
      </c>
      <c r="BD30" s="1" t="str">
        <f>$C$29</f>
        <v>Depreciation</v>
      </c>
    </row>
    <row r="31" spans="1:56" x14ac:dyDescent="0.35">
      <c r="E31" t="s">
        <v>759</v>
      </c>
      <c r="G31" t="str">
        <f>price_label</f>
        <v>£m 23/24 prices</v>
      </c>
      <c r="J31" t="s">
        <v>13</v>
      </c>
      <c r="AD31" s="12">
        <f>SUM($AC24:AC24)*($I$10-(YEAR(AD$4)-YEAR($I19))+1)/$I$15</f>
        <v>0</v>
      </c>
      <c r="AE31" s="12">
        <f>SUM($AC24:AD24)*($I$10-(YEAR(AE$4)-YEAR($I19))+1)/$I$15</f>
        <v>0</v>
      </c>
      <c r="AF31" s="12">
        <f>SUM($AC24:AE24)*($I$10-(YEAR(AF$4)-YEAR($I19))+1)/$I$15</f>
        <v>0</v>
      </c>
      <c r="AG31" s="12">
        <f>SUM($AC24:AF24)*($I$10-(YEAR(AG$4)-YEAR($I19))+1)/$I$15</f>
        <v>0</v>
      </c>
      <c r="AH31" s="12">
        <f>SUM($AC24:AG24)*($I$10-(YEAR(AH$4)-YEAR($I19))+1)/$I$15</f>
        <v>0</v>
      </c>
      <c r="AI31" s="12">
        <f>SUM($AC24:AH24)*($I$10-(YEAR(AI$4)-YEAR($I19))+1)/$I$15</f>
        <v>0</v>
      </c>
      <c r="AJ31" s="12">
        <f>SUM($AC24:AI24)*($I$10-(YEAR(AJ$4)-YEAR($I19))+1)/$I$15</f>
        <v>0</v>
      </c>
      <c r="AK31" s="12">
        <f>SUM($AC24:AJ24)*($I$10-(YEAR(AK$4)-YEAR($I19))+1)/$I$15</f>
        <v>0</v>
      </c>
      <c r="AL31" s="12">
        <f>SUM($AC24:AK24)*($I$10-(YEAR(AL$4)-YEAR($I19))+1)/$I$15</f>
        <v>0</v>
      </c>
      <c r="AM31" s="12">
        <f>SUM($AC24:AL24)*($I$10-(YEAR(AM$4)-YEAR($I19))+1)/$I$15</f>
        <v>0</v>
      </c>
      <c r="AN31" s="12">
        <f>SUM($AC24:AM24)*($I$10-(YEAR(AN$4)-YEAR($I19))+1)/$I$15</f>
        <v>0</v>
      </c>
      <c r="AO31" s="12">
        <f>SUM($AC24:AN24)*($I$10-(YEAR(AO$4)-YEAR($I19))+1)/$I$15</f>
        <v>0</v>
      </c>
      <c r="AP31" s="12">
        <f>SUM($AC24:AO24)*($I$10-(YEAR(AP$4)-YEAR($I19))+1)/$I$15</f>
        <v>0</v>
      </c>
      <c r="AQ31" s="12">
        <f>SUM($AC24:AP24)*($I$10-(YEAR(AQ$4)-YEAR($I19))+1)/$I$15</f>
        <v>0</v>
      </c>
      <c r="AR31" s="12">
        <f>SUM($AC24:AQ24)*($I$10-(YEAR(AR$4)-YEAR($I19))+1)/$I$15</f>
        <v>0</v>
      </c>
      <c r="AS31" s="12">
        <f>SUM($AC24:AR24)*($I$10-(YEAR(AS$4)-YEAR($I19))+1)/$I$15</f>
        <v>0</v>
      </c>
      <c r="AT31" s="69">
        <f>SUM($AC24:AS24)*($I$10-(YEAR(AT$4)-YEAR($I19))+1)/$I$15</f>
        <v>0</v>
      </c>
      <c r="AU31" s="152">
        <f>SUM($AC24:AT24)*($I$10-(YEAR(AU$4)-YEAR($I19))+1)/$I$15</f>
        <v>0</v>
      </c>
      <c r="AV31" s="12">
        <f>SUM($AC24:AU24)*($I$10-(YEAR(AV$4)-YEAR($I19))+1)/$I$15</f>
        <v>0</v>
      </c>
      <c r="AW31" s="12">
        <f>SUM($AC24:AV24)*($I$10-(YEAR(AW$4)-YEAR($I19))+1)/$I$15</f>
        <v>0</v>
      </c>
      <c r="AX31" s="12">
        <f>SUM($AC24:AW24)*($I$10-(YEAR(AX$4)-YEAR($I19))+1)/$I$15</f>
        <v>0</v>
      </c>
      <c r="AY31" s="12">
        <f>SUM($AC24:AX24)*($I$10-(YEAR(AY$4)-YEAR($I19))+1)/$I$15</f>
        <v>0</v>
      </c>
      <c r="BA31" s="34" t="str">
        <f t="shared" ca="1" si="2"/>
        <v>FuelPoor</v>
      </c>
      <c r="BB31" s="1" t="str">
        <f>$A$17</f>
        <v>2010 Schemes</v>
      </c>
      <c r="BC31" s="1" t="str">
        <f>$B$21</f>
        <v>RAV</v>
      </c>
      <c r="BD31" s="1" t="str">
        <f>$C$29</f>
        <v>Depreciation</v>
      </c>
    </row>
    <row r="32" spans="1:56" x14ac:dyDescent="0.35">
      <c r="E32" t="s">
        <v>760</v>
      </c>
      <c r="G32" t="str">
        <f>price_label</f>
        <v>£m 23/24 prices</v>
      </c>
      <c r="J32" t="s">
        <v>13</v>
      </c>
      <c r="AD32" s="12">
        <f>((YEAR(AD$4)-YEAR($I19)&lt;=$I$11)*(SUM($AC25:AC25)/$I$11))</f>
        <v>0</v>
      </c>
      <c r="AE32" s="12">
        <f>((YEAR(AE$4)-YEAR($I19)&lt;=$I$11)*(SUM($AC25:AD25)/$I$11))</f>
        <v>0</v>
      </c>
      <c r="AF32" s="12">
        <f>((YEAR(AF$4)-YEAR($I19)&lt;=$I$11)*(SUM($AC25:AE25)/$I$11))</f>
        <v>0</v>
      </c>
      <c r="AG32" s="12">
        <f>((YEAR(AG$4)-YEAR($I19)&lt;=$I$11)*(SUM($AC25:AF25)/$I$11))</f>
        <v>0</v>
      </c>
      <c r="AH32" s="12">
        <f>((YEAR(AH$4)-YEAR($I19)&lt;=$I$11)*(SUM($AC25:AG25)/$I$11))</f>
        <v>0</v>
      </c>
      <c r="AI32" s="12">
        <f>((YEAR(AI$4)-YEAR($I19)&lt;=$I$11)*(SUM($AC25:AH25)/$I$11))</f>
        <v>0</v>
      </c>
      <c r="AJ32" s="12">
        <f>((YEAR(AJ$4)-YEAR($I19)&lt;=$I$11)*(SUM($AC25:AI25)/$I$11))</f>
        <v>0</v>
      </c>
      <c r="AK32" s="12">
        <f>((YEAR(AK$4)-YEAR($I19)&lt;=$I$11)*(SUM($AC25:AJ25)/$I$11))</f>
        <v>0</v>
      </c>
      <c r="AL32" s="12">
        <f>((YEAR(AL$4)-YEAR($I19)&lt;=$I$11)*(SUM($AC25:AK25)/$I$11))</f>
        <v>0</v>
      </c>
      <c r="AM32" s="12">
        <f>((YEAR(AM$4)-YEAR($I19)&lt;=$I$11)*(SUM($AC25:AL25)/$I$11))</f>
        <v>0</v>
      </c>
      <c r="AN32" s="12">
        <f>((YEAR(AN$4)-YEAR($I19)&lt;=$I$11)*(SUM($AC25:AM25)/$I$11))</f>
        <v>0</v>
      </c>
      <c r="AO32" s="12">
        <f>((YEAR(AO$4)-YEAR($I19)&lt;=$I$11)*(SUM($AC25:AN25)/$I$11))</f>
        <v>0</v>
      </c>
      <c r="AP32" s="12">
        <f>((YEAR(AP$4)-YEAR($I19)&lt;=$I$11)*(SUM($AC25:AO25)/$I$11))</f>
        <v>0</v>
      </c>
      <c r="AQ32" s="12">
        <f>((YEAR(AQ$4)-YEAR($I19)&lt;=$I$11)*(SUM($AC25:AP25)/$I$11))</f>
        <v>0</v>
      </c>
      <c r="AR32" s="12">
        <f>((YEAR(AR$4)-YEAR($I19)&lt;=$I$11)*(SUM($AC25:AQ25)/$I$11))</f>
        <v>0</v>
      </c>
      <c r="AS32" s="12">
        <f>((YEAR(AS$4)-YEAR($I19)&lt;=$I$11)*(SUM($AC25:AR25)/$I$11))</f>
        <v>0</v>
      </c>
      <c r="AT32" s="69">
        <f>((YEAR(AT$4)-YEAR($I19)&lt;=$I$11)*(SUM($AC25:AS25)/$I$11))</f>
        <v>0</v>
      </c>
      <c r="AU32" s="152">
        <f>((YEAR(AU$4)-YEAR($I19)&lt;=$I$11)*(SUM($AC25:AT25)/$I$11))</f>
        <v>0</v>
      </c>
      <c r="AV32" s="12">
        <f>((YEAR(AV$4)-YEAR($I19)&lt;=$I$11)*(SUM($AC25:AU25)/$I$11))</f>
        <v>0</v>
      </c>
      <c r="AW32" s="12">
        <f>((YEAR(AW$4)-YEAR($I19)&lt;=$I$11)*(SUM($AC25:AV25)/$I$11))</f>
        <v>0</v>
      </c>
      <c r="AX32" s="12">
        <f>((YEAR(AX$4)-YEAR($I19)&lt;=$I$11)*(SUM($AC25:AW25)/$I$11))</f>
        <v>0</v>
      </c>
      <c r="AY32" s="12">
        <f>((YEAR(AY$4)-YEAR($I19)&lt;=$I$11)*(SUM($AC25:AX25)/$I$11))</f>
        <v>0</v>
      </c>
      <c r="BA32" s="34" t="str">
        <f t="shared" ca="1" si="2"/>
        <v>FuelPoor</v>
      </c>
      <c r="BB32" s="1" t="str">
        <f>$A$17</f>
        <v>2010 Schemes</v>
      </c>
      <c r="BC32" s="1" t="str">
        <f>$B$21</f>
        <v>RAV</v>
      </c>
      <c r="BD32" s="1" t="str">
        <f>$C$29</f>
        <v>Depreciation</v>
      </c>
    </row>
    <row r="33" spans="1:56" x14ac:dyDescent="0.35">
      <c r="E33" t="s">
        <v>761</v>
      </c>
      <c r="G33" t="str">
        <f>price_label</f>
        <v>£m 23/24 prices</v>
      </c>
      <c r="J33" t="s">
        <v>13</v>
      </c>
      <c r="AD33" s="12">
        <f>SUM($AC26:AC26)*($I$10-(YEAR(AD$4)-YEAR($I19))+1)/$I$15</f>
        <v>0</v>
      </c>
      <c r="AE33" s="12">
        <f>SUM($AC26:AD26)*($I$10-(YEAR(AE$4)-YEAR($I19))+1)/$I$15</f>
        <v>0.16842820247759827</v>
      </c>
      <c r="AF33" s="12">
        <f>SUM($AC26:AE26)*($I$10-(YEAR(AF$4)-YEAR($I19))+1)/$I$15</f>
        <v>0.16468535353365166</v>
      </c>
      <c r="AG33" s="12">
        <f>SUM($AC26:AF26)*($I$10-(YEAR(AG$4)-YEAR($I19))+1)/$I$15</f>
        <v>0.16094250458970502</v>
      </c>
      <c r="AH33" s="12">
        <f>SUM($AC26:AG26)*($I$10-(YEAR(AH$4)-YEAR($I19))+1)/$I$15</f>
        <v>0.15719965564575838</v>
      </c>
      <c r="AI33" s="12">
        <f>SUM($AC26:AH26)*($I$10-(YEAR(AI$4)-YEAR($I19))+1)/$I$15</f>
        <v>0.15345680670181175</v>
      </c>
      <c r="AJ33" s="12">
        <f>SUM($AC26:AI26)*($I$10-(YEAR(AJ$4)-YEAR($I19))+1)/$I$15</f>
        <v>0.14971395775786514</v>
      </c>
      <c r="AK33" s="12">
        <f>SUM($AC26:AJ26)*($I$10-(YEAR(AK$4)-YEAR($I19))+1)/$I$15</f>
        <v>0.1459711088139185</v>
      </c>
      <c r="AL33" s="12">
        <f>SUM($AC26:AK26)*($I$10-(YEAR(AL$4)-YEAR($I19))+1)/$I$15</f>
        <v>0.14222825986997187</v>
      </c>
      <c r="AM33" s="12">
        <f>SUM($AC26:AL26)*($I$10-(YEAR(AM$4)-YEAR($I19))+1)/$I$15</f>
        <v>0.13848541092602523</v>
      </c>
      <c r="AN33" s="12">
        <f>SUM($AC26:AM26)*($I$10-(YEAR(AN$4)-YEAR($I19))+1)/$I$15</f>
        <v>0.1347425619820786</v>
      </c>
      <c r="AO33" s="12">
        <f>SUM($AC26:AN26)*($I$10-(YEAR(AO$4)-YEAR($I19))+1)/$I$15</f>
        <v>0.13099971303813199</v>
      </c>
      <c r="AP33" s="12">
        <f>SUM($AC26:AO26)*($I$10-(YEAR(AP$4)-YEAR($I19))+1)/$I$15</f>
        <v>0.12725686409418535</v>
      </c>
      <c r="AQ33" s="12">
        <f>SUM($AC26:AP26)*($I$10-(YEAR(AQ$4)-YEAR($I19))+1)/$I$15</f>
        <v>0.12351401515023873</v>
      </c>
      <c r="AR33" s="12">
        <f>SUM($AC26:AQ26)*($I$10-(YEAR(AR$4)-YEAR($I19))+1)/$I$15</f>
        <v>0.11977116620629211</v>
      </c>
      <c r="AS33" s="12">
        <f>SUM($AC26:AR26)*($I$10-(YEAR(AS$4)-YEAR($I19))+1)/$I$15</f>
        <v>0.11602831726234547</v>
      </c>
      <c r="AT33" s="69">
        <f>SUM($AC26:AS26)*($I$10-(YEAR(AT$4)-YEAR($I19))+1)/$I$15</f>
        <v>0.11228546831839883</v>
      </c>
      <c r="AU33" s="152">
        <f>SUM($AC26:AT26)*($I$10-(YEAR(AU$4)-YEAR($I19))+1)/$I$15</f>
        <v>0.10854261937445221</v>
      </c>
      <c r="AV33" s="12">
        <f>SUM($AC26:AU26)*($I$10-(YEAR(AV$4)-YEAR($I19))+1)/$I$15</f>
        <v>0.10479977043050559</v>
      </c>
      <c r="AW33" s="12">
        <f>SUM($AC26:AV26)*($I$10-(YEAR(AW$4)-YEAR($I19))+1)/$I$15</f>
        <v>0.10105692148655897</v>
      </c>
      <c r="AX33" s="12">
        <f>SUM($AC26:AW26)*($I$10-(YEAR(AX$4)-YEAR($I19))+1)/$I$15</f>
        <v>9.7314072542612332E-2</v>
      </c>
      <c r="AY33" s="12">
        <f>SUM($AC26:AX26)*($I$10-(YEAR(AY$4)-YEAR($I19))+1)/$I$15</f>
        <v>9.3571223598665695E-2</v>
      </c>
      <c r="BA33" s="34" t="str">
        <f t="shared" ca="1" si="2"/>
        <v>FuelPoor</v>
      </c>
      <c r="BB33" s="1" t="str">
        <f>$A$17</f>
        <v>2010 Schemes</v>
      </c>
      <c r="BC33" s="1" t="str">
        <f>$B$21</f>
        <v>RAV</v>
      </c>
      <c r="BD33" s="1" t="str">
        <f>$C$29</f>
        <v>Depreciation</v>
      </c>
    </row>
    <row r="34" spans="1:56" x14ac:dyDescent="0.35">
      <c r="E34" t="s">
        <v>323</v>
      </c>
      <c r="G34" t="str">
        <f>price_label</f>
        <v>£m 23/24 prices</v>
      </c>
      <c r="J34" t="s">
        <v>13</v>
      </c>
      <c r="AD34" s="12">
        <f t="shared" ref="AD34:AT34" si="13">SUM(AD30:AD33)</f>
        <v>0</v>
      </c>
      <c r="AE34" s="12">
        <f t="shared" si="13"/>
        <v>0.16842820247759827</v>
      </c>
      <c r="AF34" s="12">
        <f t="shared" si="13"/>
        <v>0.33311355601124992</v>
      </c>
      <c r="AG34" s="12">
        <f t="shared" si="13"/>
        <v>0.49405606060095497</v>
      </c>
      <c r="AH34" s="12">
        <f t="shared" si="13"/>
        <v>0.65125571624671341</v>
      </c>
      <c r="AI34" s="12">
        <f t="shared" si="13"/>
        <v>0.80471252294852513</v>
      </c>
      <c r="AJ34" s="12">
        <f t="shared" si="13"/>
        <v>0.95442648070639025</v>
      </c>
      <c r="AK34" s="12">
        <f t="shared" si="13"/>
        <v>1.1003975895203086</v>
      </c>
      <c r="AL34" s="12">
        <f t="shared" si="13"/>
        <v>1.2426258493902804</v>
      </c>
      <c r="AM34" s="12">
        <f t="shared" si="13"/>
        <v>1.3811112603163056</v>
      </c>
      <c r="AN34" s="12">
        <f t="shared" si="13"/>
        <v>1.5158538222983842</v>
      </c>
      <c r="AO34" s="12">
        <f t="shared" si="13"/>
        <v>1.6468535353365161</v>
      </c>
      <c r="AP34" s="12">
        <f t="shared" si="13"/>
        <v>1.7741103994307015</v>
      </c>
      <c r="AQ34" s="12">
        <f t="shared" si="13"/>
        <v>1.8976244145809402</v>
      </c>
      <c r="AR34" s="12">
        <f t="shared" si="13"/>
        <v>2.0173955807872321</v>
      </c>
      <c r="AS34" s="12">
        <f t="shared" si="13"/>
        <v>2.1334238980495774</v>
      </c>
      <c r="AT34" s="69">
        <f t="shared" si="13"/>
        <v>2.2457093663679761</v>
      </c>
      <c r="AU34" s="152">
        <f>SUM(AU30:AU33)</f>
        <v>2.3542519857424282</v>
      </c>
      <c r="AV34" s="12">
        <f t="shared" ref="AV34:AY34" si="14">SUM(AV30:AV33)</f>
        <v>2.4590517561729337</v>
      </c>
      <c r="AW34" s="12">
        <f t="shared" si="14"/>
        <v>2.5601086776594926</v>
      </c>
      <c r="AX34" s="12">
        <f t="shared" si="14"/>
        <v>2.6574227502021048</v>
      </c>
      <c r="AY34" s="12">
        <f t="shared" si="14"/>
        <v>2.7509939738007705</v>
      </c>
      <c r="BA34" s="34" t="str">
        <f t="shared" ca="1" si="2"/>
        <v>FuelPoor</v>
      </c>
      <c r="BB34" s="1" t="str">
        <f>$A$17</f>
        <v>2010 Schemes</v>
      </c>
      <c r="BC34" s="1" t="str">
        <f>$B$21</f>
        <v>RAV</v>
      </c>
      <c r="BD34" s="1" t="str">
        <f>$C$29</f>
        <v>Depreciation</v>
      </c>
    </row>
    <row r="35" spans="1:56" x14ac:dyDescent="0.35">
      <c r="BA35" s="34"/>
      <c r="BB35"/>
      <c r="BC35"/>
    </row>
    <row r="36" spans="1:56" s="1" customFormat="1" ht="20" thickBot="1" x14ac:dyDescent="0.5">
      <c r="A36" s="13" t="s">
        <v>295</v>
      </c>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s="61"/>
      <c r="AU36"/>
      <c r="AV36" s="51"/>
      <c r="AW36" s="51"/>
      <c r="AX36" s="51"/>
      <c r="AY36" s="51"/>
      <c r="AZ36"/>
      <c r="BA36" s="34"/>
      <c r="BD36"/>
    </row>
    <row r="37" spans="1:56" ht="18" thickTop="1" thickBot="1" x14ac:dyDescent="0.45">
      <c r="B37" s="15" t="s">
        <v>0</v>
      </c>
      <c r="BA37" s="34"/>
      <c r="BB37"/>
      <c r="BC37"/>
    </row>
    <row r="38" spans="1:56" ht="15" thickTop="1" x14ac:dyDescent="0.35">
      <c r="E38" t="s">
        <v>288</v>
      </c>
      <c r="G38" t="s">
        <v>193</v>
      </c>
      <c r="I38" s="54">
        <f>DATE(LEFT(A36,4),3,31)</f>
        <v>40633</v>
      </c>
      <c r="BA38" s="34" t="str">
        <f t="shared" ca="1" si="2"/>
        <v>FuelPoor</v>
      </c>
      <c r="BB38" s="1" t="str">
        <f>$A$36</f>
        <v>2011 Schemes</v>
      </c>
      <c r="BC38" s="1" t="str">
        <f>$B$37</f>
        <v>Input</v>
      </c>
    </row>
    <row r="39" spans="1:56" x14ac:dyDescent="0.35">
      <c r="BA39" s="34"/>
      <c r="BB39"/>
      <c r="BC39"/>
    </row>
    <row r="40" spans="1:56" ht="17.5" thickBot="1" x14ac:dyDescent="0.45">
      <c r="B40" s="15" t="s">
        <v>289</v>
      </c>
      <c r="BA40" s="34"/>
      <c r="BB40"/>
      <c r="BC40"/>
    </row>
    <row r="41" spans="1:56" ht="15.5" thickTop="1" thickBot="1" x14ac:dyDescent="0.4">
      <c r="C41" s="11" t="s">
        <v>290</v>
      </c>
      <c r="BA41" s="34"/>
      <c r="BB41"/>
      <c r="BC41"/>
    </row>
    <row r="42" spans="1:56" x14ac:dyDescent="0.35">
      <c r="E42" t="s">
        <v>291</v>
      </c>
      <c r="G42" t="str">
        <f>price_label</f>
        <v>£m 23/24 prices</v>
      </c>
      <c r="J42" t="s">
        <v>13</v>
      </c>
      <c r="AD42" s="27">
        <f t="shared" ref="AD42:AT42" si="15">AC46</f>
        <v>0</v>
      </c>
      <c r="AE42" s="27">
        <f t="shared" si="15"/>
        <v>0</v>
      </c>
      <c r="AF42" s="27">
        <f t="shared" si="15"/>
        <v>6.4058681806719227</v>
      </c>
      <c r="AG42" s="27">
        <f t="shared" si="15"/>
        <v>6.4058681806719227</v>
      </c>
      <c r="AH42" s="27">
        <f t="shared" si="15"/>
        <v>6.4058681806719227</v>
      </c>
      <c r="AI42" s="27">
        <f t="shared" si="15"/>
        <v>6.4058681806719227</v>
      </c>
      <c r="AJ42" s="27">
        <f t="shared" si="15"/>
        <v>6.4058681806719227</v>
      </c>
      <c r="AK42" s="27">
        <f t="shared" si="15"/>
        <v>6.4058681806719227</v>
      </c>
      <c r="AL42" s="27">
        <f t="shared" si="15"/>
        <v>6.4058681806719227</v>
      </c>
      <c r="AM42" s="27">
        <f t="shared" si="15"/>
        <v>6.4058681806719227</v>
      </c>
      <c r="AN42" s="27">
        <f t="shared" si="15"/>
        <v>6.4058681806719227</v>
      </c>
      <c r="AO42" s="27">
        <f t="shared" si="15"/>
        <v>6.4058681806719227</v>
      </c>
      <c r="AP42" s="27">
        <f t="shared" si="15"/>
        <v>6.4058681806719227</v>
      </c>
      <c r="AQ42" s="27">
        <f t="shared" si="15"/>
        <v>6.4058681806719227</v>
      </c>
      <c r="AR42" s="27">
        <f t="shared" si="15"/>
        <v>6.4058681806719227</v>
      </c>
      <c r="AS42" s="27">
        <f t="shared" si="15"/>
        <v>6.4058681806719227</v>
      </c>
      <c r="AT42" s="72">
        <f t="shared" si="15"/>
        <v>6.4058681806719227</v>
      </c>
      <c r="AU42" s="154">
        <f>AT46</f>
        <v>6.4058681806719227</v>
      </c>
      <c r="AV42" s="27">
        <f t="shared" ref="AV42:AY42" si="16">AU46</f>
        <v>6.4058681806719227</v>
      </c>
      <c r="AW42" s="27">
        <f t="shared" si="16"/>
        <v>6.4058681806719227</v>
      </c>
      <c r="AX42" s="27">
        <f t="shared" si="16"/>
        <v>6.4058681806719227</v>
      </c>
      <c r="AY42" s="27">
        <f t="shared" si="16"/>
        <v>6.4058681806719227</v>
      </c>
      <c r="BA42" s="34" t="str">
        <f t="shared" ca="1" si="2"/>
        <v>FuelPoor</v>
      </c>
      <c r="BB42" s="1" t="str">
        <f>$A$36</f>
        <v>2011 Schemes</v>
      </c>
      <c r="BC42" s="1" t="str">
        <f>$B$40</f>
        <v>RAV</v>
      </c>
      <c r="BD42" s="1" t="str">
        <f>$C$41</f>
        <v>Cost</v>
      </c>
    </row>
    <row r="43" spans="1:56" x14ac:dyDescent="0.35">
      <c r="E43" t="s">
        <v>759</v>
      </c>
      <c r="G43" t="str">
        <f>price_label</f>
        <v>£m 23/24 prices</v>
      </c>
      <c r="J43" t="s">
        <v>13</v>
      </c>
      <c r="AD43" s="12">
        <f t="shared" ref="AD43:AX43" si="17">(($I38=AD$4)*(AD$8))</f>
        <v>0</v>
      </c>
      <c r="AE43" s="12">
        <f t="shared" si="17"/>
        <v>0</v>
      </c>
      <c r="AF43" s="12">
        <f t="shared" si="17"/>
        <v>0</v>
      </c>
      <c r="AG43" s="12">
        <f t="shared" si="17"/>
        <v>0</v>
      </c>
      <c r="AH43" s="12">
        <f t="shared" si="17"/>
        <v>0</v>
      </c>
      <c r="AI43" s="12">
        <f t="shared" si="17"/>
        <v>0</v>
      </c>
      <c r="AJ43" s="12">
        <f t="shared" si="17"/>
        <v>0</v>
      </c>
      <c r="AK43" s="12">
        <f t="shared" si="17"/>
        <v>0</v>
      </c>
      <c r="AL43" s="12">
        <f t="shared" si="17"/>
        <v>0</v>
      </c>
      <c r="AM43" s="12">
        <f t="shared" si="17"/>
        <v>0</v>
      </c>
      <c r="AN43" s="12">
        <f t="shared" si="17"/>
        <v>0</v>
      </c>
      <c r="AO43" s="12">
        <f t="shared" si="17"/>
        <v>0</v>
      </c>
      <c r="AP43" s="12">
        <f t="shared" si="17"/>
        <v>0</v>
      </c>
      <c r="AQ43" s="12">
        <f t="shared" si="17"/>
        <v>0</v>
      </c>
      <c r="AR43" s="12">
        <f t="shared" si="17"/>
        <v>0</v>
      </c>
      <c r="AS43" s="12">
        <f t="shared" si="17"/>
        <v>0</v>
      </c>
      <c r="AT43" s="69">
        <f t="shared" si="17"/>
        <v>0</v>
      </c>
      <c r="AU43" s="152">
        <f t="shared" si="17"/>
        <v>0</v>
      </c>
      <c r="AV43" s="12">
        <f t="shared" si="17"/>
        <v>0</v>
      </c>
      <c r="AW43" s="12">
        <f t="shared" si="17"/>
        <v>0</v>
      </c>
      <c r="AX43" s="12">
        <f t="shared" si="17"/>
        <v>0</v>
      </c>
      <c r="AY43" s="12">
        <f>(($I38=AY$4)*(AY$8))</f>
        <v>0</v>
      </c>
      <c r="BA43" s="34" t="str">
        <f t="shared" ca="1" si="2"/>
        <v>FuelPoor</v>
      </c>
      <c r="BB43" s="1" t="str">
        <f t="shared" ref="BB43:BB46" si="18">$A$36</f>
        <v>2011 Schemes</v>
      </c>
      <c r="BC43" s="1" t="str">
        <f t="shared" ref="BC43:BC46" si="19">$B$40</f>
        <v>RAV</v>
      </c>
      <c r="BD43" s="1" t="str">
        <f t="shared" ref="BD43:BD46" si="20">$C$41</f>
        <v>Cost</v>
      </c>
    </row>
    <row r="44" spans="1:56" x14ac:dyDescent="0.35">
      <c r="E44" t="s">
        <v>760</v>
      </c>
      <c r="G44" t="str">
        <f>price_label</f>
        <v>£m 23/24 prices</v>
      </c>
      <c r="J44" t="s">
        <v>13</v>
      </c>
      <c r="AD44" s="12">
        <f t="shared" ref="AD44:AX44" si="21">(($I38=AD$4)*(AD$14))</f>
        <v>0</v>
      </c>
      <c r="AE44" s="12">
        <f t="shared" si="21"/>
        <v>0</v>
      </c>
      <c r="AF44" s="12">
        <f t="shared" si="21"/>
        <v>0</v>
      </c>
      <c r="AG44" s="12">
        <f t="shared" si="21"/>
        <v>0</v>
      </c>
      <c r="AH44" s="12">
        <f t="shared" si="21"/>
        <v>0</v>
      </c>
      <c r="AI44" s="12">
        <f t="shared" si="21"/>
        <v>0</v>
      </c>
      <c r="AJ44" s="12">
        <f t="shared" si="21"/>
        <v>0</v>
      </c>
      <c r="AK44" s="12">
        <f t="shared" si="21"/>
        <v>0</v>
      </c>
      <c r="AL44" s="12">
        <f t="shared" si="21"/>
        <v>0</v>
      </c>
      <c r="AM44" s="12">
        <f t="shared" si="21"/>
        <v>0</v>
      </c>
      <c r="AN44" s="12">
        <f t="shared" si="21"/>
        <v>0</v>
      </c>
      <c r="AO44" s="12">
        <f t="shared" si="21"/>
        <v>0</v>
      </c>
      <c r="AP44" s="12">
        <f t="shared" si="21"/>
        <v>0</v>
      </c>
      <c r="AQ44" s="12">
        <f t="shared" si="21"/>
        <v>0</v>
      </c>
      <c r="AR44" s="12">
        <f t="shared" si="21"/>
        <v>0</v>
      </c>
      <c r="AS44" s="12">
        <f t="shared" si="21"/>
        <v>0</v>
      </c>
      <c r="AT44" s="69">
        <f t="shared" si="21"/>
        <v>0</v>
      </c>
      <c r="AU44" s="152">
        <f t="shared" si="21"/>
        <v>0</v>
      </c>
      <c r="AV44" s="12">
        <f t="shared" si="21"/>
        <v>0</v>
      </c>
      <c r="AW44" s="12">
        <f t="shared" si="21"/>
        <v>0</v>
      </c>
      <c r="AX44" s="12">
        <f t="shared" si="21"/>
        <v>0</v>
      </c>
      <c r="AY44" s="12">
        <f>(($I38=AY$4)*(AY$14))</f>
        <v>0</v>
      </c>
      <c r="BA44" s="34" t="str">
        <f t="shared" ca="1" si="2"/>
        <v>FuelPoor</v>
      </c>
      <c r="BB44" s="1" t="str">
        <f t="shared" si="18"/>
        <v>2011 Schemes</v>
      </c>
      <c r="BC44" s="1" t="str">
        <f t="shared" si="19"/>
        <v>RAV</v>
      </c>
      <c r="BD44" s="1" t="str">
        <f t="shared" si="20"/>
        <v>Cost</v>
      </c>
    </row>
    <row r="45" spans="1:56" x14ac:dyDescent="0.35">
      <c r="E45" t="s">
        <v>761</v>
      </c>
      <c r="G45" t="str">
        <f>price_label</f>
        <v>£m 23/24 prices</v>
      </c>
      <c r="J45" t="s">
        <v>13</v>
      </c>
      <c r="AD45" s="12">
        <f t="shared" ref="AD45:AX45" si="22">(($I38=AD$4)*(AD$9))</f>
        <v>0</v>
      </c>
      <c r="AE45" s="12">
        <f t="shared" si="22"/>
        <v>6.4058681806719227</v>
      </c>
      <c r="AF45" s="12">
        <f t="shared" si="22"/>
        <v>0</v>
      </c>
      <c r="AG45" s="12">
        <f t="shared" si="22"/>
        <v>0</v>
      </c>
      <c r="AH45" s="12">
        <f t="shared" si="22"/>
        <v>0</v>
      </c>
      <c r="AI45" s="12">
        <f t="shared" si="22"/>
        <v>0</v>
      </c>
      <c r="AJ45" s="12">
        <f t="shared" si="22"/>
        <v>0</v>
      </c>
      <c r="AK45" s="12">
        <f t="shared" si="22"/>
        <v>0</v>
      </c>
      <c r="AL45" s="12">
        <f t="shared" si="22"/>
        <v>0</v>
      </c>
      <c r="AM45" s="12">
        <f t="shared" si="22"/>
        <v>0</v>
      </c>
      <c r="AN45" s="12">
        <f t="shared" si="22"/>
        <v>0</v>
      </c>
      <c r="AO45" s="12">
        <f t="shared" si="22"/>
        <v>0</v>
      </c>
      <c r="AP45" s="12">
        <f t="shared" si="22"/>
        <v>0</v>
      </c>
      <c r="AQ45" s="12">
        <f t="shared" si="22"/>
        <v>0</v>
      </c>
      <c r="AR45" s="12">
        <f t="shared" si="22"/>
        <v>0</v>
      </c>
      <c r="AS45" s="12">
        <f t="shared" si="22"/>
        <v>0</v>
      </c>
      <c r="AT45" s="69">
        <f t="shared" si="22"/>
        <v>0</v>
      </c>
      <c r="AU45" s="152">
        <f t="shared" si="22"/>
        <v>0</v>
      </c>
      <c r="AV45" s="12">
        <f t="shared" si="22"/>
        <v>0</v>
      </c>
      <c r="AW45" s="12">
        <f t="shared" si="22"/>
        <v>0</v>
      </c>
      <c r="AX45" s="12">
        <f t="shared" si="22"/>
        <v>0</v>
      </c>
      <c r="AY45" s="12">
        <f>(($I38=AY$4)*(AY$9))</f>
        <v>0</v>
      </c>
      <c r="BA45" s="34" t="str">
        <f t="shared" ca="1" si="2"/>
        <v>FuelPoor</v>
      </c>
      <c r="BB45" s="1" t="str">
        <f t="shared" si="18"/>
        <v>2011 Schemes</v>
      </c>
      <c r="BC45" s="1" t="str">
        <f t="shared" si="19"/>
        <v>RAV</v>
      </c>
      <c r="BD45" s="1" t="str">
        <f t="shared" si="20"/>
        <v>Cost</v>
      </c>
    </row>
    <row r="46" spans="1:56" x14ac:dyDescent="0.35">
      <c r="E46" t="s">
        <v>323</v>
      </c>
      <c r="G46" t="str">
        <f>price_label</f>
        <v>£m 23/24 prices</v>
      </c>
      <c r="J46" t="s">
        <v>13</v>
      </c>
      <c r="AD46" s="12">
        <f t="shared" ref="AD46:AT46" si="23">SUM(AD42:AD45)</f>
        <v>0</v>
      </c>
      <c r="AE46" s="12">
        <f t="shared" si="23"/>
        <v>6.4058681806719227</v>
      </c>
      <c r="AF46" s="12">
        <f t="shared" si="23"/>
        <v>6.4058681806719227</v>
      </c>
      <c r="AG46" s="12">
        <f t="shared" si="23"/>
        <v>6.4058681806719227</v>
      </c>
      <c r="AH46" s="12">
        <f t="shared" si="23"/>
        <v>6.4058681806719227</v>
      </c>
      <c r="AI46" s="12">
        <f t="shared" si="23"/>
        <v>6.4058681806719227</v>
      </c>
      <c r="AJ46" s="12">
        <f t="shared" si="23"/>
        <v>6.4058681806719227</v>
      </c>
      <c r="AK46" s="12">
        <f t="shared" si="23"/>
        <v>6.4058681806719227</v>
      </c>
      <c r="AL46" s="12">
        <f t="shared" si="23"/>
        <v>6.4058681806719227</v>
      </c>
      <c r="AM46" s="12">
        <f t="shared" si="23"/>
        <v>6.4058681806719227</v>
      </c>
      <c r="AN46" s="12">
        <f t="shared" si="23"/>
        <v>6.4058681806719227</v>
      </c>
      <c r="AO46" s="12">
        <f t="shared" si="23"/>
        <v>6.4058681806719227</v>
      </c>
      <c r="AP46" s="12">
        <f t="shared" si="23"/>
        <v>6.4058681806719227</v>
      </c>
      <c r="AQ46" s="12">
        <f t="shared" si="23"/>
        <v>6.4058681806719227</v>
      </c>
      <c r="AR46" s="12">
        <f t="shared" si="23"/>
        <v>6.4058681806719227</v>
      </c>
      <c r="AS46" s="12">
        <f t="shared" si="23"/>
        <v>6.4058681806719227</v>
      </c>
      <c r="AT46" s="69">
        <f t="shared" si="23"/>
        <v>6.4058681806719227</v>
      </c>
      <c r="AU46" s="152">
        <f>SUM(AU42:AU45)</f>
        <v>6.4058681806719227</v>
      </c>
      <c r="AV46" s="12">
        <f t="shared" ref="AV46" si="24">SUM(AV42:AV45)</f>
        <v>6.4058681806719227</v>
      </c>
      <c r="AW46" s="12">
        <f t="shared" ref="AW46" si="25">SUM(AW42:AW45)</f>
        <v>6.4058681806719227</v>
      </c>
      <c r="AX46" s="12">
        <f t="shared" ref="AX46" si="26">SUM(AX42:AX45)</f>
        <v>6.4058681806719227</v>
      </c>
      <c r="AY46" s="12">
        <f t="shared" ref="AY46" si="27">SUM(AY42:AY45)</f>
        <v>6.4058681806719227</v>
      </c>
      <c r="BA46" s="34" t="str">
        <f t="shared" ca="1" si="2"/>
        <v>FuelPoor</v>
      </c>
      <c r="BB46" s="1" t="str">
        <f t="shared" si="18"/>
        <v>2011 Schemes</v>
      </c>
      <c r="BC46" s="1" t="str">
        <f t="shared" si="19"/>
        <v>RAV</v>
      </c>
      <c r="BD46" s="1" t="str">
        <f t="shared" si="20"/>
        <v>Cost</v>
      </c>
    </row>
    <row r="47" spans="1:56" x14ac:dyDescent="0.35">
      <c r="BA47" s="34"/>
      <c r="BB47"/>
      <c r="BC47"/>
    </row>
    <row r="48" spans="1:56" ht="15" thickBot="1" x14ac:dyDescent="0.4">
      <c r="C48" s="11" t="s">
        <v>293</v>
      </c>
      <c r="BA48" s="34"/>
      <c r="BB48"/>
      <c r="BC48"/>
    </row>
    <row r="49" spans="1:56" x14ac:dyDescent="0.35">
      <c r="E49" t="s">
        <v>291</v>
      </c>
      <c r="G49" t="str">
        <f>price_label</f>
        <v>£m 23/24 prices</v>
      </c>
      <c r="J49" t="s">
        <v>13</v>
      </c>
      <c r="AD49" s="27">
        <f t="shared" ref="AD49:AT49" si="28">AC53</f>
        <v>0</v>
      </c>
      <c r="AE49" s="27">
        <f t="shared" si="28"/>
        <v>0</v>
      </c>
      <c r="AF49" s="27">
        <f t="shared" si="28"/>
        <v>0</v>
      </c>
      <c r="AG49" s="27">
        <f t="shared" si="28"/>
        <v>0.27851600785530101</v>
      </c>
      <c r="AH49" s="27">
        <f t="shared" si="28"/>
        <v>0.5508427710915953</v>
      </c>
      <c r="AI49" s="27">
        <f t="shared" si="28"/>
        <v>0.81698028970888292</v>
      </c>
      <c r="AJ49" s="27">
        <f t="shared" si="28"/>
        <v>1.0769285637071639</v>
      </c>
      <c r="AK49" s="27">
        <f t="shared" si="28"/>
        <v>1.3306875930864381</v>
      </c>
      <c r="AL49" s="27">
        <f t="shared" si="28"/>
        <v>1.5782573778467057</v>
      </c>
      <c r="AM49" s="27">
        <f t="shared" si="28"/>
        <v>1.8196379179879667</v>
      </c>
      <c r="AN49" s="27">
        <f t="shared" si="28"/>
        <v>2.0548292135102209</v>
      </c>
      <c r="AO49" s="27">
        <f t="shared" si="28"/>
        <v>2.2838312644134682</v>
      </c>
      <c r="AP49" s="27">
        <f t="shared" si="28"/>
        <v>2.5066440706977091</v>
      </c>
      <c r="AQ49" s="27">
        <f t="shared" si="28"/>
        <v>2.7232676323629432</v>
      </c>
      <c r="AR49" s="27">
        <f t="shared" si="28"/>
        <v>2.9337019494091705</v>
      </c>
      <c r="AS49" s="27">
        <f t="shared" si="28"/>
        <v>3.1379470218363914</v>
      </c>
      <c r="AT49" s="72">
        <f t="shared" si="28"/>
        <v>3.3360028496446055</v>
      </c>
      <c r="AU49" s="154">
        <f>AT53</f>
        <v>3.5278694328338127</v>
      </c>
      <c r="AV49" s="27">
        <f t="shared" ref="AV49:AY49" si="29">AU53</f>
        <v>3.7135467714040136</v>
      </c>
      <c r="AW49" s="27">
        <f t="shared" si="29"/>
        <v>3.8930348653552076</v>
      </c>
      <c r="AX49" s="27">
        <f t="shared" si="29"/>
        <v>4.0663337146873948</v>
      </c>
      <c r="AY49" s="27">
        <f t="shared" si="29"/>
        <v>4.2334433194005756</v>
      </c>
      <c r="BA49" s="34" t="str">
        <f t="shared" ca="1" si="2"/>
        <v>FuelPoor</v>
      </c>
      <c r="BB49" s="1" t="str">
        <f>$A$36</f>
        <v>2011 Schemes</v>
      </c>
      <c r="BC49" s="1" t="str">
        <f>$B$40</f>
        <v>RAV</v>
      </c>
      <c r="BD49" s="1" t="str">
        <f>$C$48</f>
        <v>Depreciation</v>
      </c>
    </row>
    <row r="50" spans="1:56" x14ac:dyDescent="0.35">
      <c r="E50" t="s">
        <v>759</v>
      </c>
      <c r="G50" t="str">
        <f>price_label</f>
        <v>£m 23/24 prices</v>
      </c>
      <c r="J50" t="s">
        <v>13</v>
      </c>
      <c r="AD50" s="12">
        <f>SUM($AC43:AC43)*($I$10-(YEAR(AD$4)-YEAR($I38))+1)/$I$15</f>
        <v>0</v>
      </c>
      <c r="AE50" s="12">
        <f>SUM($AC43:AD43)*($I$10-(YEAR(AE$4)-YEAR($I38))+1)/$I$15</f>
        <v>0</v>
      </c>
      <c r="AF50" s="12">
        <f>SUM($AC43:AE43)*($I$10-(YEAR(AF$4)-YEAR($I38))+1)/$I$15</f>
        <v>0</v>
      </c>
      <c r="AG50" s="12">
        <f>SUM($AC43:AF43)*($I$10-(YEAR(AG$4)-YEAR($I38))+1)/$I$15</f>
        <v>0</v>
      </c>
      <c r="AH50" s="12">
        <f>SUM($AC43:AG43)*($I$10-(YEAR(AH$4)-YEAR($I38))+1)/$I$15</f>
        <v>0</v>
      </c>
      <c r="AI50" s="12">
        <f>SUM($AC43:AH43)*($I$10-(YEAR(AI$4)-YEAR($I38))+1)/$I$15</f>
        <v>0</v>
      </c>
      <c r="AJ50" s="12">
        <f>SUM($AC43:AI43)*($I$10-(YEAR(AJ$4)-YEAR($I38))+1)/$I$15</f>
        <v>0</v>
      </c>
      <c r="AK50" s="12">
        <f>SUM($AC43:AJ43)*($I$10-(YEAR(AK$4)-YEAR($I38))+1)/$I$15</f>
        <v>0</v>
      </c>
      <c r="AL50" s="12">
        <f>SUM($AC43:AK43)*($I$10-(YEAR(AL$4)-YEAR($I38))+1)/$I$15</f>
        <v>0</v>
      </c>
      <c r="AM50" s="12">
        <f>SUM($AC43:AL43)*($I$10-(YEAR(AM$4)-YEAR($I38))+1)/$I$15</f>
        <v>0</v>
      </c>
      <c r="AN50" s="12">
        <f>SUM($AC43:AM43)*($I$10-(YEAR(AN$4)-YEAR($I38))+1)/$I$15</f>
        <v>0</v>
      </c>
      <c r="AO50" s="12">
        <f>SUM($AC43:AN43)*($I$10-(YEAR(AO$4)-YEAR($I38))+1)/$I$15</f>
        <v>0</v>
      </c>
      <c r="AP50" s="12">
        <f>SUM($AC43:AO43)*($I$10-(YEAR(AP$4)-YEAR($I38))+1)/$I$15</f>
        <v>0</v>
      </c>
      <c r="AQ50" s="12">
        <f>SUM($AC43:AP43)*($I$10-(YEAR(AQ$4)-YEAR($I38))+1)/$I$15</f>
        <v>0</v>
      </c>
      <c r="AR50" s="12">
        <f>SUM($AC43:AQ43)*($I$10-(YEAR(AR$4)-YEAR($I38))+1)/$I$15</f>
        <v>0</v>
      </c>
      <c r="AS50" s="12">
        <f>SUM($AC43:AR43)*($I$10-(YEAR(AS$4)-YEAR($I38))+1)/$I$15</f>
        <v>0</v>
      </c>
      <c r="AT50" s="69">
        <f>SUM($AC43:AS43)*($I$10-(YEAR(AT$4)-YEAR($I38))+1)/$I$15</f>
        <v>0</v>
      </c>
      <c r="AU50" s="152">
        <f>SUM($AC43:AT43)*($I$10-(YEAR(AU$4)-YEAR($I38))+1)/$I$15</f>
        <v>0</v>
      </c>
      <c r="AV50" s="12">
        <f>SUM($AC43:AU43)*($I$10-(YEAR(AV$4)-YEAR($I38))+1)/$I$15</f>
        <v>0</v>
      </c>
      <c r="AW50" s="12">
        <f>SUM($AC43:AV43)*($I$10-(YEAR(AW$4)-YEAR($I38))+1)/$I$15</f>
        <v>0</v>
      </c>
      <c r="AX50" s="12">
        <f>SUM($AC43:AW43)*($I$10-(YEAR(AX$4)-YEAR($I38))+1)/$I$15</f>
        <v>0</v>
      </c>
      <c r="AY50" s="12">
        <f>SUM($AC43:AX43)*($I$10-(YEAR(AY$4)-YEAR($I38))+1)/$I$15</f>
        <v>0</v>
      </c>
      <c r="BA50" s="34" t="str">
        <f t="shared" ca="1" si="2"/>
        <v>FuelPoor</v>
      </c>
      <c r="BB50" s="1" t="str">
        <f t="shared" ref="BB50:BB53" si="30">$A$36</f>
        <v>2011 Schemes</v>
      </c>
      <c r="BC50" s="1" t="str">
        <f t="shared" ref="BC50:BC53" si="31">$B$40</f>
        <v>RAV</v>
      </c>
      <c r="BD50" s="1" t="str">
        <f t="shared" ref="BD50:BD53" si="32">$C$48</f>
        <v>Depreciation</v>
      </c>
    </row>
    <row r="51" spans="1:56" x14ac:dyDescent="0.35">
      <c r="E51" t="s">
        <v>760</v>
      </c>
      <c r="G51" t="str">
        <f>price_label</f>
        <v>£m 23/24 prices</v>
      </c>
      <c r="J51" t="s">
        <v>13</v>
      </c>
      <c r="AD51" s="12">
        <f>((YEAR(AD$4)-YEAR($I38)&lt;=$I$11)*(SUM($AC44:AC44)/$I$11))</f>
        <v>0</v>
      </c>
      <c r="AE51" s="12">
        <f>((YEAR(AE$4)-YEAR($I38)&lt;=$I$11)*(SUM($AC44:AD44)/$I$11))</f>
        <v>0</v>
      </c>
      <c r="AF51" s="12">
        <f>((YEAR(AF$4)-YEAR($I38)&lt;=$I$11)*(SUM($AC44:AE44)/$I$11))</f>
        <v>0</v>
      </c>
      <c r="AG51" s="12">
        <f>((YEAR(AG$4)-YEAR($I38)&lt;=$I$11)*(SUM($AC44:AF44)/$I$11))</f>
        <v>0</v>
      </c>
      <c r="AH51" s="12">
        <f>((YEAR(AH$4)-YEAR($I38)&lt;=$I$11)*(SUM($AC44:AG44)/$I$11))</f>
        <v>0</v>
      </c>
      <c r="AI51" s="12">
        <f>((YEAR(AI$4)-YEAR($I38)&lt;=$I$11)*(SUM($AC44:AH44)/$I$11))</f>
        <v>0</v>
      </c>
      <c r="AJ51" s="12">
        <f>((YEAR(AJ$4)-YEAR($I38)&lt;=$I$11)*(SUM($AC44:AI44)/$I$11))</f>
        <v>0</v>
      </c>
      <c r="AK51" s="12">
        <f>((YEAR(AK$4)-YEAR($I38)&lt;=$I$11)*(SUM($AC44:AJ44)/$I$11))</f>
        <v>0</v>
      </c>
      <c r="AL51" s="12">
        <f>((YEAR(AL$4)-YEAR($I38)&lt;=$I$11)*(SUM($AC44:AK44)/$I$11))</f>
        <v>0</v>
      </c>
      <c r="AM51" s="12">
        <f>((YEAR(AM$4)-YEAR($I38)&lt;=$I$11)*(SUM($AC44:AL44)/$I$11))</f>
        <v>0</v>
      </c>
      <c r="AN51" s="12">
        <f>((YEAR(AN$4)-YEAR($I38)&lt;=$I$11)*(SUM($AC44:AM44)/$I$11))</f>
        <v>0</v>
      </c>
      <c r="AO51" s="12">
        <f>((YEAR(AO$4)-YEAR($I38)&lt;=$I$11)*(SUM($AC44:AN44)/$I$11))</f>
        <v>0</v>
      </c>
      <c r="AP51" s="12">
        <f>((YEAR(AP$4)-YEAR($I38)&lt;=$I$11)*(SUM($AC44:AO44)/$I$11))</f>
        <v>0</v>
      </c>
      <c r="AQ51" s="12">
        <f>((YEAR(AQ$4)-YEAR($I38)&lt;=$I$11)*(SUM($AC44:AP44)/$I$11))</f>
        <v>0</v>
      </c>
      <c r="AR51" s="12">
        <f>((YEAR(AR$4)-YEAR($I38)&lt;=$I$11)*(SUM($AC44:AQ44)/$I$11))</f>
        <v>0</v>
      </c>
      <c r="AS51" s="12">
        <f>((YEAR(AS$4)-YEAR($I38)&lt;=$I$11)*(SUM($AC44:AR44)/$I$11))</f>
        <v>0</v>
      </c>
      <c r="AT51" s="69">
        <f>((YEAR(AT$4)-YEAR($I38)&lt;=$I$11)*(SUM($AC44:AS44)/$I$11))</f>
        <v>0</v>
      </c>
      <c r="AU51" s="152">
        <f>((YEAR(AU$4)-YEAR($I38)&lt;=$I$11)*(SUM($AC44:AT44)/$I$11))</f>
        <v>0</v>
      </c>
      <c r="AV51" s="12">
        <f>((YEAR(AV$4)-YEAR($I38)&lt;=$I$11)*(SUM($AC44:AU44)/$I$11))</f>
        <v>0</v>
      </c>
      <c r="AW51" s="12">
        <f>((YEAR(AW$4)-YEAR($I38)&lt;=$I$11)*(SUM($AC44:AV44)/$I$11))</f>
        <v>0</v>
      </c>
      <c r="AX51" s="12">
        <f>((YEAR(AX$4)-YEAR($I38)&lt;=$I$11)*(SUM($AC44:AW44)/$I$11))</f>
        <v>0</v>
      </c>
      <c r="AY51" s="12">
        <f>((YEAR(AY$4)-YEAR($I38)&lt;=$I$11)*(SUM($AC44:AX44)/$I$11))</f>
        <v>0</v>
      </c>
      <c r="BA51" s="34" t="str">
        <f t="shared" ca="1" si="2"/>
        <v>FuelPoor</v>
      </c>
      <c r="BB51" s="1" t="str">
        <f t="shared" si="30"/>
        <v>2011 Schemes</v>
      </c>
      <c r="BC51" s="1" t="str">
        <f t="shared" si="31"/>
        <v>RAV</v>
      </c>
      <c r="BD51" s="1" t="str">
        <f t="shared" si="32"/>
        <v>Depreciation</v>
      </c>
    </row>
    <row r="52" spans="1:56" x14ac:dyDescent="0.35">
      <c r="E52" t="s">
        <v>761</v>
      </c>
      <c r="G52" t="str">
        <f>price_label</f>
        <v>£m 23/24 prices</v>
      </c>
      <c r="J52" t="s">
        <v>13</v>
      </c>
      <c r="AD52" s="12">
        <f>SUM($AC45:AC45)*($I$10-(YEAR(AD$4)-YEAR($I38))+1)/$I$15</f>
        <v>0</v>
      </c>
      <c r="AE52" s="12">
        <f>SUM($AC45:AD45)*($I$10-(YEAR(AE$4)-YEAR($I38))+1)/$I$15</f>
        <v>0</v>
      </c>
      <c r="AF52" s="12">
        <f>SUM($AC45:AE45)*($I$10-(YEAR(AF$4)-YEAR($I38))+1)/$I$15</f>
        <v>0.27851600785530101</v>
      </c>
      <c r="AG52" s="12">
        <f>SUM($AC45:AF45)*($I$10-(YEAR(AG$4)-YEAR($I38))+1)/$I$15</f>
        <v>0.27232676323629429</v>
      </c>
      <c r="AH52" s="12">
        <f>SUM($AC45:AG45)*($I$10-(YEAR(AH$4)-YEAR($I38))+1)/$I$15</f>
        <v>0.26613751861728763</v>
      </c>
      <c r="AI52" s="12">
        <f>SUM($AC45:AH45)*($I$10-(YEAR(AI$4)-YEAR($I38))+1)/$I$15</f>
        <v>0.25994827399828097</v>
      </c>
      <c r="AJ52" s="12">
        <f>SUM($AC45:AI45)*($I$10-(YEAR(AJ$4)-YEAR($I38))+1)/$I$15</f>
        <v>0.25375902937927419</v>
      </c>
      <c r="AK52" s="12">
        <f>SUM($AC45:AJ45)*($I$10-(YEAR(AK$4)-YEAR($I38))+1)/$I$15</f>
        <v>0.24756978476026753</v>
      </c>
      <c r="AL52" s="12">
        <f>SUM($AC45:AK45)*($I$10-(YEAR(AL$4)-YEAR($I38))+1)/$I$15</f>
        <v>0.24138054014126087</v>
      </c>
      <c r="AM52" s="12">
        <f>SUM($AC45:AL45)*($I$10-(YEAR(AM$4)-YEAR($I38))+1)/$I$15</f>
        <v>0.23519129552225415</v>
      </c>
      <c r="AN52" s="12">
        <f>SUM($AC45:AM45)*($I$10-(YEAR(AN$4)-YEAR($I38))+1)/$I$15</f>
        <v>0.22900205090324746</v>
      </c>
      <c r="AO52" s="12">
        <f>SUM($AC45:AN45)*($I$10-(YEAR(AO$4)-YEAR($I38))+1)/$I$15</f>
        <v>0.2228128062842408</v>
      </c>
      <c r="AP52" s="12">
        <f>SUM($AC45:AO45)*($I$10-(YEAR(AP$4)-YEAR($I38))+1)/$I$15</f>
        <v>0.21662356166523411</v>
      </c>
      <c r="AQ52" s="12">
        <f>SUM($AC45:AP45)*($I$10-(YEAR(AQ$4)-YEAR($I38))+1)/$I$15</f>
        <v>0.21043431704622739</v>
      </c>
      <c r="AR52" s="12">
        <f>SUM($AC45:AQ45)*($I$10-(YEAR(AR$4)-YEAR($I38))+1)/$I$15</f>
        <v>0.2042450724272207</v>
      </c>
      <c r="AS52" s="12">
        <f>SUM($AC45:AR45)*($I$10-(YEAR(AS$4)-YEAR($I38))+1)/$I$15</f>
        <v>0.19805582780821404</v>
      </c>
      <c r="AT52" s="69">
        <f>SUM($AC45:AS45)*($I$10-(YEAR(AT$4)-YEAR($I38))+1)/$I$15</f>
        <v>0.19186658318920735</v>
      </c>
      <c r="AU52" s="152">
        <f>SUM($AC45:AT45)*($I$10-(YEAR(AU$4)-YEAR($I38))+1)/$I$15</f>
        <v>0.18567733857020066</v>
      </c>
      <c r="AV52" s="12">
        <f>SUM($AC45:AU45)*($I$10-(YEAR(AV$4)-YEAR($I38))+1)/$I$15</f>
        <v>0.17948809395119397</v>
      </c>
      <c r="AW52" s="12">
        <f>SUM($AC45:AV45)*($I$10-(YEAR(AW$4)-YEAR($I38))+1)/$I$15</f>
        <v>0.17329884933218728</v>
      </c>
      <c r="AX52" s="12">
        <f>SUM($AC45:AW45)*($I$10-(YEAR(AX$4)-YEAR($I38))+1)/$I$15</f>
        <v>0.16710960471318059</v>
      </c>
      <c r="AY52" s="12">
        <f>SUM($AC45:AX45)*($I$10-(YEAR(AY$4)-YEAR($I38))+1)/$I$15</f>
        <v>0.1609203600941739</v>
      </c>
      <c r="BA52" s="34" t="str">
        <f t="shared" ca="1" si="2"/>
        <v>FuelPoor</v>
      </c>
      <c r="BB52" s="1" t="str">
        <f t="shared" si="30"/>
        <v>2011 Schemes</v>
      </c>
      <c r="BC52" s="1" t="str">
        <f t="shared" si="31"/>
        <v>RAV</v>
      </c>
      <c r="BD52" s="1" t="str">
        <f t="shared" si="32"/>
        <v>Depreciation</v>
      </c>
    </row>
    <row r="53" spans="1:56" x14ac:dyDescent="0.35">
      <c r="E53" t="s">
        <v>323</v>
      </c>
      <c r="G53" t="str">
        <f>price_label</f>
        <v>£m 23/24 prices</v>
      </c>
      <c r="J53" t="s">
        <v>13</v>
      </c>
      <c r="AD53" s="12">
        <f t="shared" ref="AD53:AT53" si="33">SUM(AD49:AD52)</f>
        <v>0</v>
      </c>
      <c r="AE53" s="12">
        <f t="shared" si="33"/>
        <v>0</v>
      </c>
      <c r="AF53" s="12">
        <f t="shared" si="33"/>
        <v>0.27851600785530101</v>
      </c>
      <c r="AG53" s="12">
        <f t="shared" si="33"/>
        <v>0.5508427710915953</v>
      </c>
      <c r="AH53" s="12">
        <f t="shared" si="33"/>
        <v>0.81698028970888292</v>
      </c>
      <c r="AI53" s="12">
        <f t="shared" si="33"/>
        <v>1.0769285637071639</v>
      </c>
      <c r="AJ53" s="12">
        <f t="shared" si="33"/>
        <v>1.3306875930864381</v>
      </c>
      <c r="AK53" s="12">
        <f t="shared" si="33"/>
        <v>1.5782573778467057</v>
      </c>
      <c r="AL53" s="12">
        <f t="shared" si="33"/>
        <v>1.8196379179879667</v>
      </c>
      <c r="AM53" s="12">
        <f t="shared" si="33"/>
        <v>2.0548292135102209</v>
      </c>
      <c r="AN53" s="12">
        <f t="shared" si="33"/>
        <v>2.2838312644134682</v>
      </c>
      <c r="AO53" s="12">
        <f t="shared" si="33"/>
        <v>2.5066440706977091</v>
      </c>
      <c r="AP53" s="12">
        <f t="shared" si="33"/>
        <v>2.7232676323629432</v>
      </c>
      <c r="AQ53" s="12">
        <f t="shared" si="33"/>
        <v>2.9337019494091705</v>
      </c>
      <c r="AR53" s="12">
        <f t="shared" si="33"/>
        <v>3.1379470218363914</v>
      </c>
      <c r="AS53" s="12">
        <f t="shared" si="33"/>
        <v>3.3360028496446055</v>
      </c>
      <c r="AT53" s="69">
        <f t="shared" si="33"/>
        <v>3.5278694328338127</v>
      </c>
      <c r="AU53" s="152">
        <f>SUM(AU49:AU52)</f>
        <v>3.7135467714040136</v>
      </c>
      <c r="AV53" s="12">
        <f t="shared" ref="AV53" si="34">SUM(AV49:AV52)</f>
        <v>3.8930348653552076</v>
      </c>
      <c r="AW53" s="12">
        <f t="shared" ref="AW53" si="35">SUM(AW49:AW52)</f>
        <v>4.0663337146873948</v>
      </c>
      <c r="AX53" s="12">
        <f t="shared" ref="AX53" si="36">SUM(AX49:AX52)</f>
        <v>4.2334433194005756</v>
      </c>
      <c r="AY53" s="12">
        <f t="shared" ref="AY53" si="37">SUM(AY49:AY52)</f>
        <v>4.3943636794947496</v>
      </c>
      <c r="BA53" s="34" t="str">
        <f t="shared" ca="1" si="2"/>
        <v>FuelPoor</v>
      </c>
      <c r="BB53" s="1" t="str">
        <f t="shared" si="30"/>
        <v>2011 Schemes</v>
      </c>
      <c r="BC53" s="1" t="str">
        <f t="shared" si="31"/>
        <v>RAV</v>
      </c>
      <c r="BD53" s="1" t="str">
        <f t="shared" si="32"/>
        <v>Depreciation</v>
      </c>
    </row>
    <row r="54" spans="1:56" x14ac:dyDescent="0.35">
      <c r="BA54" s="34"/>
      <c r="BB54"/>
      <c r="BC54"/>
    </row>
    <row r="55" spans="1:56" s="1" customFormat="1" ht="20" thickBot="1" x14ac:dyDescent="0.5">
      <c r="A55" s="13" t="s">
        <v>296</v>
      </c>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s="61"/>
      <c r="AU55"/>
      <c r="AV55" s="51"/>
      <c r="AW55" s="51"/>
      <c r="AX55" s="51"/>
      <c r="AY55" s="51"/>
      <c r="AZ55"/>
      <c r="BA55" s="34"/>
      <c r="BD55"/>
    </row>
    <row r="56" spans="1:56" ht="18" thickTop="1" thickBot="1" x14ac:dyDescent="0.45">
      <c r="B56" s="15" t="s">
        <v>0</v>
      </c>
      <c r="BA56" s="34"/>
      <c r="BB56"/>
      <c r="BC56"/>
    </row>
    <row r="57" spans="1:56" ht="15" thickTop="1" x14ac:dyDescent="0.35">
      <c r="E57" t="s">
        <v>288</v>
      </c>
      <c r="G57" t="s">
        <v>193</v>
      </c>
      <c r="I57" s="54">
        <f>DATE(LEFT(A55,4),3,31)</f>
        <v>40999</v>
      </c>
      <c r="BA57" s="34" t="str">
        <f t="shared" ca="1" si="2"/>
        <v>FuelPoor</v>
      </c>
      <c r="BB57" s="1" t="str">
        <f>$A$55</f>
        <v>2012 Schemes</v>
      </c>
      <c r="BC57" s="1" t="str">
        <f>$B$56</f>
        <v>Input</v>
      </c>
    </row>
    <row r="58" spans="1:56" x14ac:dyDescent="0.35">
      <c r="BA58" s="34"/>
      <c r="BB58"/>
      <c r="BC58"/>
    </row>
    <row r="59" spans="1:56" ht="17.5" thickBot="1" x14ac:dyDescent="0.45">
      <c r="B59" s="15" t="s">
        <v>289</v>
      </c>
      <c r="BA59" s="34"/>
      <c r="BB59"/>
      <c r="BC59"/>
    </row>
    <row r="60" spans="1:56" ht="15.5" thickTop="1" thickBot="1" x14ac:dyDescent="0.4">
      <c r="C60" s="11" t="s">
        <v>290</v>
      </c>
      <c r="BA60" s="34"/>
      <c r="BB60"/>
      <c r="BC60"/>
    </row>
    <row r="61" spans="1:56" x14ac:dyDescent="0.35">
      <c r="E61" t="s">
        <v>291</v>
      </c>
      <c r="G61" t="str">
        <f>price_label</f>
        <v>£m 23/24 prices</v>
      </c>
      <c r="J61" t="s">
        <v>13</v>
      </c>
      <c r="AD61" s="27">
        <f t="shared" ref="AD61:AT61" si="38">AC65</f>
        <v>0</v>
      </c>
      <c r="AE61" s="27">
        <f t="shared" si="38"/>
        <v>0</v>
      </c>
      <c r="AF61" s="27">
        <f t="shared" si="38"/>
        <v>0</v>
      </c>
      <c r="AG61" s="27">
        <f t="shared" si="38"/>
        <v>7.2340525287469379</v>
      </c>
      <c r="AH61" s="27">
        <f t="shared" si="38"/>
        <v>7.2340525287469379</v>
      </c>
      <c r="AI61" s="27">
        <f t="shared" si="38"/>
        <v>7.2340525287469379</v>
      </c>
      <c r="AJ61" s="27">
        <f t="shared" si="38"/>
        <v>7.2340525287469379</v>
      </c>
      <c r="AK61" s="27">
        <f t="shared" si="38"/>
        <v>7.2340525287469379</v>
      </c>
      <c r="AL61" s="27">
        <f t="shared" si="38"/>
        <v>7.2340525287469379</v>
      </c>
      <c r="AM61" s="27">
        <f t="shared" si="38"/>
        <v>7.2340525287469379</v>
      </c>
      <c r="AN61" s="27">
        <f t="shared" si="38"/>
        <v>7.2340525287469379</v>
      </c>
      <c r="AO61" s="27">
        <f t="shared" si="38"/>
        <v>7.2340525287469379</v>
      </c>
      <c r="AP61" s="27">
        <f t="shared" si="38"/>
        <v>7.2340525287469379</v>
      </c>
      <c r="AQ61" s="27">
        <f t="shared" si="38"/>
        <v>7.2340525287469379</v>
      </c>
      <c r="AR61" s="27">
        <f t="shared" si="38"/>
        <v>7.2340525287469379</v>
      </c>
      <c r="AS61" s="27">
        <f t="shared" si="38"/>
        <v>7.2340525287469379</v>
      </c>
      <c r="AT61" s="72">
        <f t="shared" si="38"/>
        <v>7.2340525287469379</v>
      </c>
      <c r="AU61" s="154">
        <f>AT65</f>
        <v>7.2340525287469379</v>
      </c>
      <c r="AV61" s="27">
        <f t="shared" ref="AV61:AY61" si="39">AU65</f>
        <v>7.2340525287469379</v>
      </c>
      <c r="AW61" s="27">
        <f t="shared" si="39"/>
        <v>7.2340525287469379</v>
      </c>
      <c r="AX61" s="27">
        <f t="shared" si="39"/>
        <v>7.2340525287469379</v>
      </c>
      <c r="AY61" s="27">
        <f t="shared" si="39"/>
        <v>7.2340525287469379</v>
      </c>
      <c r="BA61" s="34" t="str">
        <f t="shared" ca="1" si="2"/>
        <v>FuelPoor</v>
      </c>
      <c r="BB61" s="1" t="str">
        <f>$A$55</f>
        <v>2012 Schemes</v>
      </c>
      <c r="BC61" s="1" t="str">
        <f>$B$59</f>
        <v>RAV</v>
      </c>
      <c r="BD61" s="1" t="str">
        <f>$C$60</f>
        <v>Cost</v>
      </c>
    </row>
    <row r="62" spans="1:56" x14ac:dyDescent="0.35">
      <c r="E62" t="s">
        <v>759</v>
      </c>
      <c r="G62" t="str">
        <f>price_label</f>
        <v>£m 23/24 prices</v>
      </c>
      <c r="J62" t="s">
        <v>13</v>
      </c>
      <c r="AD62" s="12">
        <f t="shared" ref="AD62:AX62" si="40">(($I57=AD$4)*(AD$8))</f>
        <v>0</v>
      </c>
      <c r="AE62" s="12">
        <f t="shared" si="40"/>
        <v>0</v>
      </c>
      <c r="AF62" s="12">
        <f t="shared" si="40"/>
        <v>0</v>
      </c>
      <c r="AG62" s="12">
        <f t="shared" si="40"/>
        <v>0</v>
      </c>
      <c r="AH62" s="12">
        <f t="shared" si="40"/>
        <v>0</v>
      </c>
      <c r="AI62" s="12">
        <f t="shared" si="40"/>
        <v>0</v>
      </c>
      <c r="AJ62" s="12">
        <f t="shared" si="40"/>
        <v>0</v>
      </c>
      <c r="AK62" s="12">
        <f t="shared" si="40"/>
        <v>0</v>
      </c>
      <c r="AL62" s="12">
        <f t="shared" si="40"/>
        <v>0</v>
      </c>
      <c r="AM62" s="12">
        <f t="shared" si="40"/>
        <v>0</v>
      </c>
      <c r="AN62" s="12">
        <f t="shared" si="40"/>
        <v>0</v>
      </c>
      <c r="AO62" s="12">
        <f t="shared" si="40"/>
        <v>0</v>
      </c>
      <c r="AP62" s="12">
        <f t="shared" si="40"/>
        <v>0</v>
      </c>
      <c r="AQ62" s="12">
        <f t="shared" si="40"/>
        <v>0</v>
      </c>
      <c r="AR62" s="12">
        <f t="shared" si="40"/>
        <v>0</v>
      </c>
      <c r="AS62" s="12">
        <f t="shared" si="40"/>
        <v>0</v>
      </c>
      <c r="AT62" s="69">
        <f t="shared" si="40"/>
        <v>0</v>
      </c>
      <c r="AU62" s="152">
        <f t="shared" si="40"/>
        <v>0</v>
      </c>
      <c r="AV62" s="12">
        <f t="shared" si="40"/>
        <v>0</v>
      </c>
      <c r="AW62" s="12">
        <f t="shared" si="40"/>
        <v>0</v>
      </c>
      <c r="AX62" s="12">
        <f t="shared" si="40"/>
        <v>0</v>
      </c>
      <c r="AY62" s="12">
        <f>(($I57=AY$4)*(AY$8))</f>
        <v>0</v>
      </c>
      <c r="BA62" s="34" t="str">
        <f t="shared" ca="1" si="2"/>
        <v>FuelPoor</v>
      </c>
      <c r="BB62" s="1" t="str">
        <f t="shared" ref="BB62:BB65" si="41">$A$55</f>
        <v>2012 Schemes</v>
      </c>
      <c r="BC62" s="1" t="str">
        <f t="shared" ref="BC62:BC65" si="42">$B$59</f>
        <v>RAV</v>
      </c>
      <c r="BD62" s="1" t="str">
        <f t="shared" ref="BD62:BD65" si="43">$C$60</f>
        <v>Cost</v>
      </c>
    </row>
    <row r="63" spans="1:56" x14ac:dyDescent="0.35">
      <c r="E63" t="s">
        <v>760</v>
      </c>
      <c r="G63" t="str">
        <f>price_label</f>
        <v>£m 23/24 prices</v>
      </c>
      <c r="J63" t="s">
        <v>13</v>
      </c>
      <c r="AD63" s="12">
        <f t="shared" ref="AD63:AX63" si="44">(($I57=AD$4)*(AD$14))</f>
        <v>0</v>
      </c>
      <c r="AE63" s="12">
        <f t="shared" si="44"/>
        <v>0</v>
      </c>
      <c r="AF63" s="12">
        <f t="shared" si="44"/>
        <v>0</v>
      </c>
      <c r="AG63" s="12">
        <f t="shared" si="44"/>
        <v>0</v>
      </c>
      <c r="AH63" s="12">
        <f t="shared" si="44"/>
        <v>0</v>
      </c>
      <c r="AI63" s="12">
        <f t="shared" si="44"/>
        <v>0</v>
      </c>
      <c r="AJ63" s="12">
        <f t="shared" si="44"/>
        <v>0</v>
      </c>
      <c r="AK63" s="12">
        <f t="shared" si="44"/>
        <v>0</v>
      </c>
      <c r="AL63" s="12">
        <f t="shared" si="44"/>
        <v>0</v>
      </c>
      <c r="AM63" s="12">
        <f t="shared" si="44"/>
        <v>0</v>
      </c>
      <c r="AN63" s="12">
        <f t="shared" si="44"/>
        <v>0</v>
      </c>
      <c r="AO63" s="12">
        <f t="shared" si="44"/>
        <v>0</v>
      </c>
      <c r="AP63" s="12">
        <f t="shared" si="44"/>
        <v>0</v>
      </c>
      <c r="AQ63" s="12">
        <f t="shared" si="44"/>
        <v>0</v>
      </c>
      <c r="AR63" s="12">
        <f t="shared" si="44"/>
        <v>0</v>
      </c>
      <c r="AS63" s="12">
        <f t="shared" si="44"/>
        <v>0</v>
      </c>
      <c r="AT63" s="69">
        <f t="shared" si="44"/>
        <v>0</v>
      </c>
      <c r="AU63" s="152">
        <f t="shared" si="44"/>
        <v>0</v>
      </c>
      <c r="AV63" s="12">
        <f t="shared" si="44"/>
        <v>0</v>
      </c>
      <c r="AW63" s="12">
        <f t="shared" si="44"/>
        <v>0</v>
      </c>
      <c r="AX63" s="12">
        <f t="shared" si="44"/>
        <v>0</v>
      </c>
      <c r="AY63" s="12">
        <f>(($I57=AY$4)*(AY$14))</f>
        <v>0</v>
      </c>
      <c r="BA63" s="34" t="str">
        <f t="shared" ca="1" si="2"/>
        <v>FuelPoor</v>
      </c>
      <c r="BB63" s="1" t="str">
        <f t="shared" si="41"/>
        <v>2012 Schemes</v>
      </c>
      <c r="BC63" s="1" t="str">
        <f t="shared" si="42"/>
        <v>RAV</v>
      </c>
      <c r="BD63" s="1" t="str">
        <f t="shared" si="43"/>
        <v>Cost</v>
      </c>
    </row>
    <row r="64" spans="1:56" x14ac:dyDescent="0.35">
      <c r="E64" t="s">
        <v>761</v>
      </c>
      <c r="G64" t="str">
        <f>price_label</f>
        <v>£m 23/24 prices</v>
      </c>
      <c r="J64" t="s">
        <v>13</v>
      </c>
      <c r="AD64" s="12">
        <f t="shared" ref="AD64:AX64" si="45">(($I57=AD$4)*(AD$9))</f>
        <v>0</v>
      </c>
      <c r="AE64" s="12">
        <f t="shared" si="45"/>
        <v>0</v>
      </c>
      <c r="AF64" s="12">
        <f t="shared" si="45"/>
        <v>7.2340525287469379</v>
      </c>
      <c r="AG64" s="12">
        <f t="shared" si="45"/>
        <v>0</v>
      </c>
      <c r="AH64" s="12">
        <f t="shared" si="45"/>
        <v>0</v>
      </c>
      <c r="AI64" s="12">
        <f t="shared" si="45"/>
        <v>0</v>
      </c>
      <c r="AJ64" s="12">
        <f t="shared" si="45"/>
        <v>0</v>
      </c>
      <c r="AK64" s="12">
        <f t="shared" si="45"/>
        <v>0</v>
      </c>
      <c r="AL64" s="12">
        <f t="shared" si="45"/>
        <v>0</v>
      </c>
      <c r="AM64" s="12">
        <f t="shared" si="45"/>
        <v>0</v>
      </c>
      <c r="AN64" s="12">
        <f t="shared" si="45"/>
        <v>0</v>
      </c>
      <c r="AO64" s="12">
        <f t="shared" si="45"/>
        <v>0</v>
      </c>
      <c r="AP64" s="12">
        <f t="shared" si="45"/>
        <v>0</v>
      </c>
      <c r="AQ64" s="12">
        <f t="shared" si="45"/>
        <v>0</v>
      </c>
      <c r="AR64" s="12">
        <f t="shared" si="45"/>
        <v>0</v>
      </c>
      <c r="AS64" s="12">
        <f t="shared" si="45"/>
        <v>0</v>
      </c>
      <c r="AT64" s="69">
        <f t="shared" si="45"/>
        <v>0</v>
      </c>
      <c r="AU64" s="152">
        <f t="shared" si="45"/>
        <v>0</v>
      </c>
      <c r="AV64" s="12">
        <f t="shared" si="45"/>
        <v>0</v>
      </c>
      <c r="AW64" s="12">
        <f t="shared" si="45"/>
        <v>0</v>
      </c>
      <c r="AX64" s="12">
        <f t="shared" si="45"/>
        <v>0</v>
      </c>
      <c r="AY64" s="12">
        <f>(($I57=AY$4)*(AY$9))</f>
        <v>0</v>
      </c>
      <c r="BA64" s="34" t="str">
        <f t="shared" ca="1" si="2"/>
        <v>FuelPoor</v>
      </c>
      <c r="BB64" s="1" t="str">
        <f t="shared" si="41"/>
        <v>2012 Schemes</v>
      </c>
      <c r="BC64" s="1" t="str">
        <f t="shared" si="42"/>
        <v>RAV</v>
      </c>
      <c r="BD64" s="1" t="str">
        <f t="shared" si="43"/>
        <v>Cost</v>
      </c>
    </row>
    <row r="65" spans="1:56" x14ac:dyDescent="0.35">
      <c r="E65" t="s">
        <v>323</v>
      </c>
      <c r="G65" t="str">
        <f>price_label</f>
        <v>£m 23/24 prices</v>
      </c>
      <c r="J65" t="s">
        <v>13</v>
      </c>
      <c r="AD65" s="12">
        <f t="shared" ref="AD65:AT65" si="46">SUM(AD61:AD64)</f>
        <v>0</v>
      </c>
      <c r="AE65" s="12">
        <f t="shared" si="46"/>
        <v>0</v>
      </c>
      <c r="AF65" s="12">
        <f t="shared" si="46"/>
        <v>7.2340525287469379</v>
      </c>
      <c r="AG65" s="12">
        <f t="shared" si="46"/>
        <v>7.2340525287469379</v>
      </c>
      <c r="AH65" s="12">
        <f t="shared" si="46"/>
        <v>7.2340525287469379</v>
      </c>
      <c r="AI65" s="12">
        <f t="shared" si="46"/>
        <v>7.2340525287469379</v>
      </c>
      <c r="AJ65" s="12">
        <f t="shared" si="46"/>
        <v>7.2340525287469379</v>
      </c>
      <c r="AK65" s="12">
        <f t="shared" si="46"/>
        <v>7.2340525287469379</v>
      </c>
      <c r="AL65" s="12">
        <f t="shared" si="46"/>
        <v>7.2340525287469379</v>
      </c>
      <c r="AM65" s="12">
        <f t="shared" si="46"/>
        <v>7.2340525287469379</v>
      </c>
      <c r="AN65" s="12">
        <f t="shared" si="46"/>
        <v>7.2340525287469379</v>
      </c>
      <c r="AO65" s="12">
        <f t="shared" si="46"/>
        <v>7.2340525287469379</v>
      </c>
      <c r="AP65" s="12">
        <f t="shared" si="46"/>
        <v>7.2340525287469379</v>
      </c>
      <c r="AQ65" s="12">
        <f t="shared" si="46"/>
        <v>7.2340525287469379</v>
      </c>
      <c r="AR65" s="12">
        <f t="shared" si="46"/>
        <v>7.2340525287469379</v>
      </c>
      <c r="AS65" s="12">
        <f t="shared" si="46"/>
        <v>7.2340525287469379</v>
      </c>
      <c r="AT65" s="69">
        <f t="shared" si="46"/>
        <v>7.2340525287469379</v>
      </c>
      <c r="AU65" s="152">
        <f>SUM(AU61:AU64)</f>
        <v>7.2340525287469379</v>
      </c>
      <c r="AV65" s="12">
        <f t="shared" ref="AV65" si="47">SUM(AV61:AV64)</f>
        <v>7.2340525287469379</v>
      </c>
      <c r="AW65" s="12">
        <f t="shared" ref="AW65" si="48">SUM(AW61:AW64)</f>
        <v>7.2340525287469379</v>
      </c>
      <c r="AX65" s="12">
        <f t="shared" ref="AX65" si="49">SUM(AX61:AX64)</f>
        <v>7.2340525287469379</v>
      </c>
      <c r="AY65" s="12">
        <f t="shared" ref="AY65" si="50">SUM(AY61:AY64)</f>
        <v>7.2340525287469379</v>
      </c>
      <c r="BA65" s="34" t="str">
        <f t="shared" ca="1" si="2"/>
        <v>FuelPoor</v>
      </c>
      <c r="BB65" s="1" t="str">
        <f t="shared" si="41"/>
        <v>2012 Schemes</v>
      </c>
      <c r="BC65" s="1" t="str">
        <f t="shared" si="42"/>
        <v>RAV</v>
      </c>
      <c r="BD65" s="1" t="str">
        <f t="shared" si="43"/>
        <v>Cost</v>
      </c>
    </row>
    <row r="66" spans="1:56" x14ac:dyDescent="0.35">
      <c r="BA66" s="34"/>
      <c r="BB66"/>
      <c r="BC66"/>
    </row>
    <row r="67" spans="1:56" ht="15" thickBot="1" x14ac:dyDescent="0.4">
      <c r="C67" s="11" t="s">
        <v>293</v>
      </c>
      <c r="BA67" s="34"/>
      <c r="BB67"/>
      <c r="BC67"/>
    </row>
    <row r="68" spans="1:56" x14ac:dyDescent="0.35">
      <c r="E68" t="s">
        <v>291</v>
      </c>
      <c r="G68" t="str">
        <f>price_label</f>
        <v>£m 23/24 prices</v>
      </c>
      <c r="J68" t="s">
        <v>13</v>
      </c>
      <c r="AD68" s="27">
        <f t="shared" ref="AD68:AT68" si="51">AC72</f>
        <v>0</v>
      </c>
      <c r="AE68" s="27">
        <f t="shared" si="51"/>
        <v>0</v>
      </c>
      <c r="AF68" s="27">
        <f t="shared" si="51"/>
        <v>0</v>
      </c>
      <c r="AG68" s="27">
        <f t="shared" si="51"/>
        <v>0</v>
      </c>
      <c r="AH68" s="27">
        <f t="shared" si="51"/>
        <v>0.31452402298899729</v>
      </c>
      <c r="AI68" s="27">
        <f t="shared" si="51"/>
        <v>0.62205862324490568</v>
      </c>
      <c r="AJ68" s="27">
        <f t="shared" si="51"/>
        <v>0.9226038007677253</v>
      </c>
      <c r="AK68" s="27">
        <f t="shared" si="51"/>
        <v>1.2161595555574563</v>
      </c>
      <c r="AL68" s="27">
        <f t="shared" si="51"/>
        <v>1.5027258876140981</v>
      </c>
      <c r="AM68" s="27">
        <f t="shared" si="51"/>
        <v>1.7823027969376513</v>
      </c>
      <c r="AN68" s="27">
        <f t="shared" si="51"/>
        <v>2.0548902835281155</v>
      </c>
      <c r="AO68" s="27">
        <f t="shared" si="51"/>
        <v>2.3204883473854911</v>
      </c>
      <c r="AP68" s="27">
        <f t="shared" si="51"/>
        <v>2.5790969885097779</v>
      </c>
      <c r="AQ68" s="27">
        <f t="shared" si="51"/>
        <v>2.8307162069009757</v>
      </c>
      <c r="AR68" s="27">
        <f t="shared" si="51"/>
        <v>3.0753460025590846</v>
      </c>
      <c r="AS68" s="27">
        <f t="shared" si="51"/>
        <v>3.3129863754841047</v>
      </c>
      <c r="AT68" s="72">
        <f t="shared" si="51"/>
        <v>3.5436373256760358</v>
      </c>
      <c r="AU68" s="154">
        <f>AT72</f>
        <v>3.7672988531348786</v>
      </c>
      <c r="AV68" s="27">
        <f t="shared" ref="AV68:AY68" si="52">AU72</f>
        <v>3.9839709578606324</v>
      </c>
      <c r="AW68" s="27">
        <f t="shared" si="52"/>
        <v>4.1936536398532969</v>
      </c>
      <c r="AX68" s="27">
        <f t="shared" si="52"/>
        <v>4.3963468991128725</v>
      </c>
      <c r="AY68" s="27">
        <f t="shared" si="52"/>
        <v>4.5920507356393596</v>
      </c>
      <c r="BA68" s="34" t="str">
        <f t="shared" ca="1" si="2"/>
        <v>FuelPoor</v>
      </c>
      <c r="BB68" s="1" t="str">
        <f>$A$55</f>
        <v>2012 Schemes</v>
      </c>
      <c r="BC68" s="1" t="str">
        <f>$B$59</f>
        <v>RAV</v>
      </c>
      <c r="BD68" s="1" t="str">
        <f>$C$67</f>
        <v>Depreciation</v>
      </c>
    </row>
    <row r="69" spans="1:56" x14ac:dyDescent="0.35">
      <c r="E69" t="s">
        <v>759</v>
      </c>
      <c r="G69" t="str">
        <f>price_label</f>
        <v>£m 23/24 prices</v>
      </c>
      <c r="J69" t="s">
        <v>13</v>
      </c>
      <c r="AD69" s="12">
        <f>SUM($AC62:AC62)*($I$10-(YEAR(AD$4)-YEAR($I57))+1)/$I$15</f>
        <v>0</v>
      </c>
      <c r="AE69" s="12">
        <f>SUM($AC62:AD62)*($I$10-(YEAR(AE$4)-YEAR($I57))+1)/$I$15</f>
        <v>0</v>
      </c>
      <c r="AF69" s="12">
        <f>SUM($AC62:AE62)*($I$10-(YEAR(AF$4)-YEAR($I57))+1)/$I$15</f>
        <v>0</v>
      </c>
      <c r="AG69" s="12">
        <f>SUM($AC62:AF62)*($I$10-(YEAR(AG$4)-YEAR($I57))+1)/$I$15</f>
        <v>0</v>
      </c>
      <c r="AH69" s="12">
        <f>SUM($AC62:AG62)*($I$10-(YEAR(AH$4)-YEAR($I57))+1)/$I$15</f>
        <v>0</v>
      </c>
      <c r="AI69" s="12">
        <f>SUM($AC62:AH62)*($I$10-(YEAR(AI$4)-YEAR($I57))+1)/$I$15</f>
        <v>0</v>
      </c>
      <c r="AJ69" s="12">
        <f>SUM($AC62:AI62)*($I$10-(YEAR(AJ$4)-YEAR($I57))+1)/$I$15</f>
        <v>0</v>
      </c>
      <c r="AK69" s="12">
        <f>SUM($AC62:AJ62)*($I$10-(YEAR(AK$4)-YEAR($I57))+1)/$I$15</f>
        <v>0</v>
      </c>
      <c r="AL69" s="12">
        <f>SUM($AC62:AK62)*($I$10-(YEAR(AL$4)-YEAR($I57))+1)/$I$15</f>
        <v>0</v>
      </c>
      <c r="AM69" s="12">
        <f>SUM($AC62:AL62)*($I$10-(YEAR(AM$4)-YEAR($I57))+1)/$I$15</f>
        <v>0</v>
      </c>
      <c r="AN69" s="12">
        <f>SUM($AC62:AM62)*($I$10-(YEAR(AN$4)-YEAR($I57))+1)/$I$15</f>
        <v>0</v>
      </c>
      <c r="AO69" s="12">
        <f>SUM($AC62:AN62)*($I$10-(YEAR(AO$4)-YEAR($I57))+1)/$I$15</f>
        <v>0</v>
      </c>
      <c r="AP69" s="12">
        <f>SUM($AC62:AO62)*($I$10-(YEAR(AP$4)-YEAR($I57))+1)/$I$15</f>
        <v>0</v>
      </c>
      <c r="AQ69" s="12">
        <f>SUM($AC62:AP62)*($I$10-(YEAR(AQ$4)-YEAR($I57))+1)/$I$15</f>
        <v>0</v>
      </c>
      <c r="AR69" s="12">
        <f>SUM($AC62:AQ62)*($I$10-(YEAR(AR$4)-YEAR($I57))+1)/$I$15</f>
        <v>0</v>
      </c>
      <c r="AS69" s="12">
        <f>SUM($AC62:AR62)*($I$10-(YEAR(AS$4)-YEAR($I57))+1)/$I$15</f>
        <v>0</v>
      </c>
      <c r="AT69" s="69">
        <f>SUM($AC62:AS62)*($I$10-(YEAR(AT$4)-YEAR($I57))+1)/$I$15</f>
        <v>0</v>
      </c>
      <c r="AU69" s="152">
        <f>SUM($AC62:AT62)*($I$10-(YEAR(AU$4)-YEAR($I57))+1)/$I$15</f>
        <v>0</v>
      </c>
      <c r="AV69" s="12">
        <f>SUM($AC62:AU62)*($I$10-(YEAR(AV$4)-YEAR($I57))+1)/$I$15</f>
        <v>0</v>
      </c>
      <c r="AW69" s="12">
        <f>SUM($AC62:AV62)*($I$10-(YEAR(AW$4)-YEAR($I57))+1)/$I$15</f>
        <v>0</v>
      </c>
      <c r="AX69" s="12">
        <f>SUM($AC62:AW62)*($I$10-(YEAR(AX$4)-YEAR($I57))+1)/$I$15</f>
        <v>0</v>
      </c>
      <c r="AY69" s="12">
        <f>SUM($AC62:AX62)*($I$10-(YEAR(AY$4)-YEAR($I57))+1)/$I$15</f>
        <v>0</v>
      </c>
      <c r="BA69" s="34" t="str">
        <f t="shared" ca="1" si="2"/>
        <v>FuelPoor</v>
      </c>
      <c r="BB69" s="1" t="str">
        <f>$A$55</f>
        <v>2012 Schemes</v>
      </c>
      <c r="BC69" s="1" t="str">
        <f>$B$59</f>
        <v>RAV</v>
      </c>
      <c r="BD69" s="1" t="str">
        <f>$C$67</f>
        <v>Depreciation</v>
      </c>
    </row>
    <row r="70" spans="1:56" x14ac:dyDescent="0.35">
      <c r="E70" t="s">
        <v>760</v>
      </c>
      <c r="G70" t="str">
        <f>price_label</f>
        <v>£m 23/24 prices</v>
      </c>
      <c r="J70" t="s">
        <v>13</v>
      </c>
      <c r="AD70" s="12">
        <f>((YEAR(AD$4)-YEAR($I57)&lt;=$I$11)*(SUM($AC63:AC63)/$I$11))</f>
        <v>0</v>
      </c>
      <c r="AE70" s="12">
        <f>((YEAR(AE$4)-YEAR($I57)&lt;=$I$11)*(SUM($AC63:AD63)/$I$11))</f>
        <v>0</v>
      </c>
      <c r="AF70" s="12">
        <f>((YEAR(AF$4)-YEAR($I57)&lt;=$I$11)*(SUM($AC63:AE63)/$I$11))</f>
        <v>0</v>
      </c>
      <c r="AG70" s="12">
        <f>((YEAR(AG$4)-YEAR($I57)&lt;=$I$11)*(SUM($AC63:AF63)/$I$11))</f>
        <v>0</v>
      </c>
      <c r="AH70" s="12">
        <f>((YEAR(AH$4)-YEAR($I57)&lt;=$I$11)*(SUM($AC63:AG63)/$I$11))</f>
        <v>0</v>
      </c>
      <c r="AI70" s="12">
        <f>((YEAR(AI$4)-YEAR($I57)&lt;=$I$11)*(SUM($AC63:AH63)/$I$11))</f>
        <v>0</v>
      </c>
      <c r="AJ70" s="12">
        <f>((YEAR(AJ$4)-YEAR($I57)&lt;=$I$11)*(SUM($AC63:AI63)/$I$11))</f>
        <v>0</v>
      </c>
      <c r="AK70" s="12">
        <f>((YEAR(AK$4)-YEAR($I57)&lt;=$I$11)*(SUM($AC63:AJ63)/$I$11))</f>
        <v>0</v>
      </c>
      <c r="AL70" s="12">
        <f>((YEAR(AL$4)-YEAR($I57)&lt;=$I$11)*(SUM($AC63:AK63)/$I$11))</f>
        <v>0</v>
      </c>
      <c r="AM70" s="12">
        <f>((YEAR(AM$4)-YEAR($I57)&lt;=$I$11)*(SUM($AC63:AL63)/$I$11))</f>
        <v>0</v>
      </c>
      <c r="AN70" s="12">
        <f>((YEAR(AN$4)-YEAR($I57)&lt;=$I$11)*(SUM($AC63:AM63)/$I$11))</f>
        <v>0</v>
      </c>
      <c r="AO70" s="12">
        <f>((YEAR(AO$4)-YEAR($I57)&lt;=$I$11)*(SUM($AC63:AN63)/$I$11))</f>
        <v>0</v>
      </c>
      <c r="AP70" s="12">
        <f>((YEAR(AP$4)-YEAR($I57)&lt;=$I$11)*(SUM($AC63:AO63)/$I$11))</f>
        <v>0</v>
      </c>
      <c r="AQ70" s="12">
        <f>((YEAR(AQ$4)-YEAR($I57)&lt;=$I$11)*(SUM($AC63:AP63)/$I$11))</f>
        <v>0</v>
      </c>
      <c r="AR70" s="12">
        <f>((YEAR(AR$4)-YEAR($I57)&lt;=$I$11)*(SUM($AC63:AQ63)/$I$11))</f>
        <v>0</v>
      </c>
      <c r="AS70" s="12">
        <f>((YEAR(AS$4)-YEAR($I57)&lt;=$I$11)*(SUM($AC63:AR63)/$I$11))</f>
        <v>0</v>
      </c>
      <c r="AT70" s="69">
        <f>((YEAR(AT$4)-YEAR($I57)&lt;=$I$11)*(SUM($AC63:AS63)/$I$11))</f>
        <v>0</v>
      </c>
      <c r="AU70" s="152">
        <f>((YEAR(AU$4)-YEAR($I57)&lt;=$I$11)*(SUM($AC63:AT63)/$I$11))</f>
        <v>0</v>
      </c>
      <c r="AV70" s="12">
        <f>((YEAR(AV$4)-YEAR($I57)&lt;=$I$11)*(SUM($AC63:AU63)/$I$11))</f>
        <v>0</v>
      </c>
      <c r="AW70" s="12">
        <f>((YEAR(AW$4)-YEAR($I57)&lt;=$I$11)*(SUM($AC63:AV63)/$I$11))</f>
        <v>0</v>
      </c>
      <c r="AX70" s="12">
        <f>((YEAR(AX$4)-YEAR($I57)&lt;=$I$11)*(SUM($AC63:AW63)/$I$11))</f>
        <v>0</v>
      </c>
      <c r="AY70" s="12">
        <f>((YEAR(AY$4)-YEAR($I57)&lt;=$I$11)*(SUM($AC63:AX63)/$I$11))</f>
        <v>0</v>
      </c>
      <c r="BA70" s="34" t="str">
        <f t="shared" ca="1" si="2"/>
        <v>FuelPoor</v>
      </c>
      <c r="BB70" s="1" t="str">
        <f>$A$55</f>
        <v>2012 Schemes</v>
      </c>
      <c r="BC70" s="1" t="str">
        <f>$B$59</f>
        <v>RAV</v>
      </c>
      <c r="BD70" s="1" t="str">
        <f>$C$67</f>
        <v>Depreciation</v>
      </c>
    </row>
    <row r="71" spans="1:56" x14ac:dyDescent="0.35">
      <c r="E71" t="s">
        <v>761</v>
      </c>
      <c r="G71" t="str">
        <f>price_label</f>
        <v>£m 23/24 prices</v>
      </c>
      <c r="J71" t="s">
        <v>13</v>
      </c>
      <c r="AD71" s="12">
        <f>SUM($AC64:AC64)*($I$10-(YEAR(AD$4)-YEAR($I57))+1)/$I$15</f>
        <v>0</v>
      </c>
      <c r="AE71" s="12">
        <f>SUM($AC64:AD64)*($I$10-(YEAR(AE$4)-YEAR($I57))+1)/$I$15</f>
        <v>0</v>
      </c>
      <c r="AF71" s="12">
        <f>SUM($AC64:AE64)*($I$10-(YEAR(AF$4)-YEAR($I57))+1)/$I$15</f>
        <v>0</v>
      </c>
      <c r="AG71" s="12">
        <f>SUM($AC64:AF64)*($I$10-(YEAR(AG$4)-YEAR($I57))+1)/$I$15</f>
        <v>0.31452402298899729</v>
      </c>
      <c r="AH71" s="12">
        <f>SUM($AC64:AG64)*($I$10-(YEAR(AH$4)-YEAR($I57))+1)/$I$15</f>
        <v>0.30753460025590845</v>
      </c>
      <c r="AI71" s="12">
        <f>SUM($AC64:AH64)*($I$10-(YEAR(AI$4)-YEAR($I57))+1)/$I$15</f>
        <v>0.30054517752281967</v>
      </c>
      <c r="AJ71" s="12">
        <f>SUM($AC64:AI64)*($I$10-(YEAR(AJ$4)-YEAR($I57))+1)/$I$15</f>
        <v>0.29355575478973084</v>
      </c>
      <c r="AK71" s="12">
        <f>SUM($AC64:AJ64)*($I$10-(YEAR(AK$4)-YEAR($I57))+1)/$I$15</f>
        <v>0.28656633205664195</v>
      </c>
      <c r="AL71" s="12">
        <f>SUM($AC64:AK64)*($I$10-(YEAR(AL$4)-YEAR($I57))+1)/$I$15</f>
        <v>0.27957690932355317</v>
      </c>
      <c r="AM71" s="12">
        <f>SUM($AC64:AL64)*($I$10-(YEAR(AM$4)-YEAR($I57))+1)/$I$15</f>
        <v>0.27258748659046433</v>
      </c>
      <c r="AN71" s="12">
        <f>SUM($AC64:AM64)*($I$10-(YEAR(AN$4)-YEAR($I57))+1)/$I$15</f>
        <v>0.2655980638573755</v>
      </c>
      <c r="AO71" s="12">
        <f>SUM($AC64:AN64)*($I$10-(YEAR(AO$4)-YEAR($I57))+1)/$I$15</f>
        <v>0.25860864112428666</v>
      </c>
      <c r="AP71" s="12">
        <f>SUM($AC64:AO64)*($I$10-(YEAR(AP$4)-YEAR($I57))+1)/$I$15</f>
        <v>0.25161921839119789</v>
      </c>
      <c r="AQ71" s="12">
        <f>SUM($AC64:AP64)*($I$10-(YEAR(AQ$4)-YEAR($I57))+1)/$I$15</f>
        <v>0.24462979565810902</v>
      </c>
      <c r="AR71" s="12">
        <f>SUM($AC64:AQ64)*($I$10-(YEAR(AR$4)-YEAR($I57))+1)/$I$15</f>
        <v>0.23764037292502019</v>
      </c>
      <c r="AS71" s="12">
        <f>SUM($AC64:AR64)*($I$10-(YEAR(AS$4)-YEAR($I57))+1)/$I$15</f>
        <v>0.23065095019193135</v>
      </c>
      <c r="AT71" s="69">
        <f>SUM($AC64:AS64)*($I$10-(YEAR(AT$4)-YEAR($I57))+1)/$I$15</f>
        <v>0.22366152745884252</v>
      </c>
      <c r="AU71" s="152">
        <f>SUM($AC64:AT64)*($I$10-(YEAR(AU$4)-YEAR($I57))+1)/$I$15</f>
        <v>0.21667210472575371</v>
      </c>
      <c r="AV71" s="12">
        <f>SUM($AC64:AU64)*($I$10-(YEAR(AV$4)-YEAR($I57))+1)/$I$15</f>
        <v>0.20968268199266485</v>
      </c>
      <c r="AW71" s="12">
        <f>SUM($AC64:AV64)*($I$10-(YEAR(AW$4)-YEAR($I57))+1)/$I$15</f>
        <v>0.20269325925957604</v>
      </c>
      <c r="AX71" s="12">
        <f>SUM($AC64:AW64)*($I$10-(YEAR(AX$4)-YEAR($I57))+1)/$I$15</f>
        <v>0.19570383652648721</v>
      </c>
      <c r="AY71" s="12">
        <f>SUM($AC64:AX64)*($I$10-(YEAR(AY$4)-YEAR($I57))+1)/$I$15</f>
        <v>0.18871441379339837</v>
      </c>
      <c r="BA71" s="34" t="str">
        <f t="shared" ca="1" si="2"/>
        <v>FuelPoor</v>
      </c>
      <c r="BB71" s="1" t="str">
        <f>$A$55</f>
        <v>2012 Schemes</v>
      </c>
      <c r="BC71" s="1" t="str">
        <f>$B$59</f>
        <v>RAV</v>
      </c>
      <c r="BD71" s="1" t="str">
        <f>$C$67</f>
        <v>Depreciation</v>
      </c>
    </row>
    <row r="72" spans="1:56" x14ac:dyDescent="0.35">
      <c r="E72" t="s">
        <v>323</v>
      </c>
      <c r="G72" t="str">
        <f>price_label</f>
        <v>£m 23/24 prices</v>
      </c>
      <c r="J72" t="s">
        <v>13</v>
      </c>
      <c r="AD72" s="12">
        <f t="shared" ref="AD72:AT72" si="53">SUM(AD68:AD71)</f>
        <v>0</v>
      </c>
      <c r="AE72" s="12">
        <f t="shared" si="53"/>
        <v>0</v>
      </c>
      <c r="AF72" s="12">
        <f t="shared" si="53"/>
        <v>0</v>
      </c>
      <c r="AG72" s="12">
        <f t="shared" si="53"/>
        <v>0.31452402298899729</v>
      </c>
      <c r="AH72" s="12">
        <f t="shared" si="53"/>
        <v>0.62205862324490568</v>
      </c>
      <c r="AI72" s="12">
        <f t="shared" si="53"/>
        <v>0.9226038007677253</v>
      </c>
      <c r="AJ72" s="12">
        <f t="shared" si="53"/>
        <v>1.2161595555574563</v>
      </c>
      <c r="AK72" s="12">
        <f t="shared" si="53"/>
        <v>1.5027258876140981</v>
      </c>
      <c r="AL72" s="12">
        <f t="shared" si="53"/>
        <v>1.7823027969376513</v>
      </c>
      <c r="AM72" s="12">
        <f t="shared" si="53"/>
        <v>2.0548902835281155</v>
      </c>
      <c r="AN72" s="12">
        <f t="shared" si="53"/>
        <v>2.3204883473854911</v>
      </c>
      <c r="AO72" s="12">
        <f t="shared" si="53"/>
        <v>2.5790969885097779</v>
      </c>
      <c r="AP72" s="12">
        <f t="shared" si="53"/>
        <v>2.8307162069009757</v>
      </c>
      <c r="AQ72" s="12">
        <f t="shared" si="53"/>
        <v>3.0753460025590846</v>
      </c>
      <c r="AR72" s="12">
        <f t="shared" si="53"/>
        <v>3.3129863754841047</v>
      </c>
      <c r="AS72" s="12">
        <f t="shared" si="53"/>
        <v>3.5436373256760358</v>
      </c>
      <c r="AT72" s="69">
        <f t="shared" si="53"/>
        <v>3.7672988531348786</v>
      </c>
      <c r="AU72" s="152">
        <f>SUM(AU68:AU71)</f>
        <v>3.9839709578606324</v>
      </c>
      <c r="AV72" s="12">
        <f t="shared" ref="AV72" si="54">SUM(AV68:AV71)</f>
        <v>4.1936536398532969</v>
      </c>
      <c r="AW72" s="12">
        <f t="shared" ref="AW72" si="55">SUM(AW68:AW71)</f>
        <v>4.3963468991128725</v>
      </c>
      <c r="AX72" s="12">
        <f t="shared" ref="AX72" si="56">SUM(AX68:AX71)</f>
        <v>4.5920507356393596</v>
      </c>
      <c r="AY72" s="12">
        <f t="shared" ref="AY72" si="57">SUM(AY68:AY71)</f>
        <v>4.7807651494327583</v>
      </c>
      <c r="BA72" s="34" t="str">
        <f t="shared" ca="1" si="2"/>
        <v>FuelPoor</v>
      </c>
      <c r="BB72" s="1" t="str">
        <f>$A$55</f>
        <v>2012 Schemes</v>
      </c>
      <c r="BC72" s="1" t="str">
        <f>$B$59</f>
        <v>RAV</v>
      </c>
      <c r="BD72" s="1" t="str">
        <f>$C$67</f>
        <v>Depreciation</v>
      </c>
    </row>
    <row r="73" spans="1:56" x14ac:dyDescent="0.35">
      <c r="BA73" s="34"/>
    </row>
    <row r="74" spans="1:56" s="1" customFormat="1" ht="20" thickBot="1" x14ac:dyDescent="0.5">
      <c r="A74" s="13" t="s">
        <v>297</v>
      </c>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s="61"/>
      <c r="AU74"/>
      <c r="AV74" s="51"/>
      <c r="AW74" s="51"/>
      <c r="AX74" s="51"/>
      <c r="AY74" s="51"/>
      <c r="AZ74"/>
      <c r="BA74" s="34"/>
      <c r="BD74"/>
    </row>
    <row r="75" spans="1:56" ht="18" thickTop="1" thickBot="1" x14ac:dyDescent="0.45">
      <c r="B75" s="15" t="s">
        <v>0</v>
      </c>
      <c r="BA75" s="34"/>
      <c r="BB75"/>
      <c r="BC75"/>
    </row>
    <row r="76" spans="1:56" ht="15" thickTop="1" x14ac:dyDescent="0.35">
      <c r="E76" t="s">
        <v>288</v>
      </c>
      <c r="G76" t="s">
        <v>193</v>
      </c>
      <c r="I76" s="54">
        <f>DATE(LEFT(A74,4),3,31)</f>
        <v>41364</v>
      </c>
      <c r="BA76" s="34" t="str">
        <f t="shared" ca="1" si="2"/>
        <v>FuelPoor</v>
      </c>
      <c r="BB76" s="1" t="str">
        <f>$A$74</f>
        <v>2013 Schemes</v>
      </c>
      <c r="BC76" s="1" t="str">
        <f>$B$75</f>
        <v>Input</v>
      </c>
    </row>
    <row r="77" spans="1:56" x14ac:dyDescent="0.35">
      <c r="BA77" s="34"/>
      <c r="BB77"/>
      <c r="BC77"/>
    </row>
    <row r="78" spans="1:56" ht="17.5" thickBot="1" x14ac:dyDescent="0.45">
      <c r="B78" s="15" t="s">
        <v>289</v>
      </c>
      <c r="BA78" s="34"/>
      <c r="BB78"/>
      <c r="BC78"/>
    </row>
    <row r="79" spans="1:56" ht="15.5" thickTop="1" thickBot="1" x14ac:dyDescent="0.4">
      <c r="C79" s="11" t="s">
        <v>290</v>
      </c>
      <c r="BA79" s="34"/>
      <c r="BB79"/>
      <c r="BC79"/>
    </row>
    <row r="80" spans="1:56" x14ac:dyDescent="0.35">
      <c r="E80" t="s">
        <v>291</v>
      </c>
      <c r="G80" t="str">
        <f>price_label</f>
        <v>£m 23/24 prices</v>
      </c>
      <c r="J80" t="s">
        <v>13</v>
      </c>
      <c r="AD80" s="27">
        <f t="shared" ref="AD80:AT80" si="58">AC84</f>
        <v>0</v>
      </c>
      <c r="AE80" s="27">
        <f t="shared" si="58"/>
        <v>0</v>
      </c>
      <c r="AF80" s="27">
        <f t="shared" si="58"/>
        <v>0</v>
      </c>
      <c r="AG80" s="27">
        <f t="shared" si="58"/>
        <v>0</v>
      </c>
      <c r="AH80" s="27">
        <f t="shared" si="58"/>
        <v>5.2649264003666829</v>
      </c>
      <c r="AI80" s="27">
        <f t="shared" si="58"/>
        <v>5.2649264003666829</v>
      </c>
      <c r="AJ80" s="27">
        <f t="shared" si="58"/>
        <v>5.2649264003666829</v>
      </c>
      <c r="AK80" s="27">
        <f t="shared" si="58"/>
        <v>5.2649264003666829</v>
      </c>
      <c r="AL80" s="27">
        <f t="shared" si="58"/>
        <v>5.2649264003666829</v>
      </c>
      <c r="AM80" s="27">
        <f t="shared" si="58"/>
        <v>5.2649264003666829</v>
      </c>
      <c r="AN80" s="27">
        <f t="shared" si="58"/>
        <v>5.2649264003666829</v>
      </c>
      <c r="AO80" s="27">
        <f t="shared" si="58"/>
        <v>5.2649264003666829</v>
      </c>
      <c r="AP80" s="27">
        <f t="shared" si="58"/>
        <v>5.2649264003666829</v>
      </c>
      <c r="AQ80" s="27">
        <f t="shared" si="58"/>
        <v>5.2649264003666829</v>
      </c>
      <c r="AR80" s="27">
        <f t="shared" si="58"/>
        <v>5.2649264003666829</v>
      </c>
      <c r="AS80" s="27">
        <f t="shared" si="58"/>
        <v>5.2649264003666829</v>
      </c>
      <c r="AT80" s="72">
        <f t="shared" si="58"/>
        <v>5.2649264003666829</v>
      </c>
      <c r="AU80" s="154">
        <f>AT84</f>
        <v>5.2649264003666829</v>
      </c>
      <c r="AV80" s="27">
        <f t="shared" ref="AV80:AY80" si="59">AU84</f>
        <v>5.2649264003666829</v>
      </c>
      <c r="AW80" s="27">
        <f t="shared" si="59"/>
        <v>5.2649264003666829</v>
      </c>
      <c r="AX80" s="27">
        <f t="shared" si="59"/>
        <v>5.2649264003666829</v>
      </c>
      <c r="AY80" s="27">
        <f t="shared" si="59"/>
        <v>5.2649264003666829</v>
      </c>
      <c r="BA80" s="34" t="str">
        <f t="shared" ca="1" si="2"/>
        <v>FuelPoor</v>
      </c>
      <c r="BB80" s="1" t="str">
        <f>$A$74</f>
        <v>2013 Schemes</v>
      </c>
      <c r="BC80" s="1" t="str">
        <f>$B$75</f>
        <v>Input</v>
      </c>
      <c r="BD80" s="1" t="str">
        <f>$C$79</f>
        <v>Cost</v>
      </c>
    </row>
    <row r="81" spans="1:56" x14ac:dyDescent="0.35">
      <c r="E81" t="s">
        <v>759</v>
      </c>
      <c r="G81" t="str">
        <f>price_label</f>
        <v>£m 23/24 prices</v>
      </c>
      <c r="J81" t="s">
        <v>13</v>
      </c>
      <c r="AD81" s="12">
        <f t="shared" ref="AD81:AX81" si="60">(($I76=AD$4)*(AD$8))</f>
        <v>0</v>
      </c>
      <c r="AE81" s="12">
        <f t="shared" si="60"/>
        <v>0</v>
      </c>
      <c r="AF81" s="12">
        <f t="shared" si="60"/>
        <v>0</v>
      </c>
      <c r="AG81" s="12">
        <f t="shared" si="60"/>
        <v>0</v>
      </c>
      <c r="AH81" s="12">
        <f t="shared" si="60"/>
        <v>0</v>
      </c>
      <c r="AI81" s="12">
        <f t="shared" si="60"/>
        <v>0</v>
      </c>
      <c r="AJ81" s="12">
        <f t="shared" si="60"/>
        <v>0</v>
      </c>
      <c r="AK81" s="12">
        <f t="shared" si="60"/>
        <v>0</v>
      </c>
      <c r="AL81" s="12">
        <f t="shared" si="60"/>
        <v>0</v>
      </c>
      <c r="AM81" s="12">
        <f t="shared" si="60"/>
        <v>0</v>
      </c>
      <c r="AN81" s="12">
        <f t="shared" si="60"/>
        <v>0</v>
      </c>
      <c r="AO81" s="12">
        <f t="shared" si="60"/>
        <v>0</v>
      </c>
      <c r="AP81" s="12">
        <f t="shared" si="60"/>
        <v>0</v>
      </c>
      <c r="AQ81" s="12">
        <f t="shared" si="60"/>
        <v>0</v>
      </c>
      <c r="AR81" s="12">
        <f t="shared" si="60"/>
        <v>0</v>
      </c>
      <c r="AS81" s="12">
        <f t="shared" si="60"/>
        <v>0</v>
      </c>
      <c r="AT81" s="69">
        <f t="shared" si="60"/>
        <v>0</v>
      </c>
      <c r="AU81" s="152">
        <f t="shared" si="60"/>
        <v>0</v>
      </c>
      <c r="AV81" s="12">
        <f t="shared" si="60"/>
        <v>0</v>
      </c>
      <c r="AW81" s="12">
        <f t="shared" si="60"/>
        <v>0</v>
      </c>
      <c r="AX81" s="12">
        <f t="shared" si="60"/>
        <v>0</v>
      </c>
      <c r="AY81" s="12">
        <f>(($I76=AY$4)*(AY$8))</f>
        <v>0</v>
      </c>
      <c r="BA81" s="34" t="str">
        <f t="shared" ca="1" si="2"/>
        <v>FuelPoor</v>
      </c>
      <c r="BB81" s="1" t="str">
        <f t="shared" ref="BB81:BB84" si="61">$A$74</f>
        <v>2013 Schemes</v>
      </c>
      <c r="BC81" s="1" t="str">
        <f t="shared" ref="BC81:BC84" si="62">$B$75</f>
        <v>Input</v>
      </c>
      <c r="BD81" s="1" t="str">
        <f t="shared" ref="BD81:BD84" si="63">$C$79</f>
        <v>Cost</v>
      </c>
    </row>
    <row r="82" spans="1:56" x14ac:dyDescent="0.35">
      <c r="E82" t="s">
        <v>760</v>
      </c>
      <c r="G82" t="str">
        <f>price_label</f>
        <v>£m 23/24 prices</v>
      </c>
      <c r="J82" t="s">
        <v>13</v>
      </c>
      <c r="AD82" s="12">
        <f t="shared" ref="AD82:AX82" si="64">(($I76=AD$4)*(AD$14))</f>
        <v>0</v>
      </c>
      <c r="AE82" s="12">
        <f t="shared" si="64"/>
        <v>0</v>
      </c>
      <c r="AF82" s="12">
        <f t="shared" si="64"/>
        <v>0</v>
      </c>
      <c r="AG82" s="12">
        <f t="shared" si="64"/>
        <v>0</v>
      </c>
      <c r="AH82" s="12">
        <f t="shared" si="64"/>
        <v>0</v>
      </c>
      <c r="AI82" s="12">
        <f t="shared" si="64"/>
        <v>0</v>
      </c>
      <c r="AJ82" s="12">
        <f t="shared" si="64"/>
        <v>0</v>
      </c>
      <c r="AK82" s="12">
        <f t="shared" si="64"/>
        <v>0</v>
      </c>
      <c r="AL82" s="12">
        <f t="shared" si="64"/>
        <v>0</v>
      </c>
      <c r="AM82" s="12">
        <f t="shared" si="64"/>
        <v>0</v>
      </c>
      <c r="AN82" s="12">
        <f t="shared" si="64"/>
        <v>0</v>
      </c>
      <c r="AO82" s="12">
        <f t="shared" si="64"/>
        <v>0</v>
      </c>
      <c r="AP82" s="12">
        <f t="shared" si="64"/>
        <v>0</v>
      </c>
      <c r="AQ82" s="12">
        <f t="shared" si="64"/>
        <v>0</v>
      </c>
      <c r="AR82" s="12">
        <f t="shared" si="64"/>
        <v>0</v>
      </c>
      <c r="AS82" s="12">
        <f t="shared" si="64"/>
        <v>0</v>
      </c>
      <c r="AT82" s="69">
        <f t="shared" si="64"/>
        <v>0</v>
      </c>
      <c r="AU82" s="152">
        <f t="shared" si="64"/>
        <v>0</v>
      </c>
      <c r="AV82" s="12">
        <f t="shared" si="64"/>
        <v>0</v>
      </c>
      <c r="AW82" s="12">
        <f t="shared" si="64"/>
        <v>0</v>
      </c>
      <c r="AX82" s="12">
        <f t="shared" si="64"/>
        <v>0</v>
      </c>
      <c r="AY82" s="12">
        <f>(($I76=AY$4)*(AY$14))</f>
        <v>0</v>
      </c>
      <c r="BA82" s="34" t="str">
        <f t="shared" ca="1" si="2"/>
        <v>FuelPoor</v>
      </c>
      <c r="BB82" s="1" t="str">
        <f t="shared" si="61"/>
        <v>2013 Schemes</v>
      </c>
      <c r="BC82" s="1" t="str">
        <f t="shared" si="62"/>
        <v>Input</v>
      </c>
      <c r="BD82" s="1" t="str">
        <f t="shared" si="63"/>
        <v>Cost</v>
      </c>
    </row>
    <row r="83" spans="1:56" x14ac:dyDescent="0.35">
      <c r="E83" t="s">
        <v>761</v>
      </c>
      <c r="G83" t="str">
        <f>price_label</f>
        <v>£m 23/24 prices</v>
      </c>
      <c r="J83" t="s">
        <v>13</v>
      </c>
      <c r="AD83" s="12">
        <f t="shared" ref="AD83:AX83" si="65">(($I76=AD$4)*(AD$9))</f>
        <v>0</v>
      </c>
      <c r="AE83" s="12">
        <f t="shared" si="65"/>
        <v>0</v>
      </c>
      <c r="AF83" s="12">
        <f t="shared" si="65"/>
        <v>0</v>
      </c>
      <c r="AG83" s="12">
        <f t="shared" si="65"/>
        <v>5.2649264003666829</v>
      </c>
      <c r="AH83" s="12">
        <f t="shared" si="65"/>
        <v>0</v>
      </c>
      <c r="AI83" s="12">
        <f t="shared" si="65"/>
        <v>0</v>
      </c>
      <c r="AJ83" s="12">
        <f t="shared" si="65"/>
        <v>0</v>
      </c>
      <c r="AK83" s="12">
        <f t="shared" si="65"/>
        <v>0</v>
      </c>
      <c r="AL83" s="12">
        <f t="shared" si="65"/>
        <v>0</v>
      </c>
      <c r="AM83" s="12">
        <f t="shared" si="65"/>
        <v>0</v>
      </c>
      <c r="AN83" s="12">
        <f t="shared" si="65"/>
        <v>0</v>
      </c>
      <c r="AO83" s="12">
        <f t="shared" si="65"/>
        <v>0</v>
      </c>
      <c r="AP83" s="12">
        <f t="shared" si="65"/>
        <v>0</v>
      </c>
      <c r="AQ83" s="12">
        <f t="shared" si="65"/>
        <v>0</v>
      </c>
      <c r="AR83" s="12">
        <f t="shared" si="65"/>
        <v>0</v>
      </c>
      <c r="AS83" s="12">
        <f t="shared" si="65"/>
        <v>0</v>
      </c>
      <c r="AT83" s="69">
        <f t="shared" si="65"/>
        <v>0</v>
      </c>
      <c r="AU83" s="152">
        <f t="shared" si="65"/>
        <v>0</v>
      </c>
      <c r="AV83" s="12">
        <f t="shared" si="65"/>
        <v>0</v>
      </c>
      <c r="AW83" s="12">
        <f t="shared" si="65"/>
        <v>0</v>
      </c>
      <c r="AX83" s="12">
        <f t="shared" si="65"/>
        <v>0</v>
      </c>
      <c r="AY83" s="12">
        <f>(($I76=AY$4)*(AY$9))</f>
        <v>0</v>
      </c>
      <c r="BA83" s="34" t="str">
        <f t="shared" ref="BA83:BA97" ca="1" si="66">$A$1</f>
        <v>FuelPoor</v>
      </c>
      <c r="BB83" s="1" t="str">
        <f t="shared" si="61"/>
        <v>2013 Schemes</v>
      </c>
      <c r="BC83" s="1" t="str">
        <f t="shared" si="62"/>
        <v>Input</v>
      </c>
      <c r="BD83" s="1" t="str">
        <f t="shared" si="63"/>
        <v>Cost</v>
      </c>
    </row>
    <row r="84" spans="1:56" x14ac:dyDescent="0.35">
      <c r="E84" t="s">
        <v>323</v>
      </c>
      <c r="G84" t="str">
        <f>price_label</f>
        <v>£m 23/24 prices</v>
      </c>
      <c r="J84" t="s">
        <v>13</v>
      </c>
      <c r="AD84" s="12">
        <f t="shared" ref="AD84:AT84" si="67">SUM(AD80:AD83)</f>
        <v>0</v>
      </c>
      <c r="AE84" s="12">
        <f t="shared" si="67"/>
        <v>0</v>
      </c>
      <c r="AF84" s="12">
        <f t="shared" si="67"/>
        <v>0</v>
      </c>
      <c r="AG84" s="12">
        <f t="shared" si="67"/>
        <v>5.2649264003666829</v>
      </c>
      <c r="AH84" s="12">
        <f t="shared" si="67"/>
        <v>5.2649264003666829</v>
      </c>
      <c r="AI84" s="12">
        <f t="shared" si="67"/>
        <v>5.2649264003666829</v>
      </c>
      <c r="AJ84" s="12">
        <f t="shared" si="67"/>
        <v>5.2649264003666829</v>
      </c>
      <c r="AK84" s="12">
        <f t="shared" si="67"/>
        <v>5.2649264003666829</v>
      </c>
      <c r="AL84" s="12">
        <f t="shared" si="67"/>
        <v>5.2649264003666829</v>
      </c>
      <c r="AM84" s="12">
        <f t="shared" si="67"/>
        <v>5.2649264003666829</v>
      </c>
      <c r="AN84" s="12">
        <f t="shared" si="67"/>
        <v>5.2649264003666829</v>
      </c>
      <c r="AO84" s="12">
        <f t="shared" si="67"/>
        <v>5.2649264003666829</v>
      </c>
      <c r="AP84" s="12">
        <f t="shared" si="67"/>
        <v>5.2649264003666829</v>
      </c>
      <c r="AQ84" s="12">
        <f t="shared" si="67"/>
        <v>5.2649264003666829</v>
      </c>
      <c r="AR84" s="12">
        <f t="shared" si="67"/>
        <v>5.2649264003666829</v>
      </c>
      <c r="AS84" s="12">
        <f t="shared" si="67"/>
        <v>5.2649264003666829</v>
      </c>
      <c r="AT84" s="69">
        <f t="shared" si="67"/>
        <v>5.2649264003666829</v>
      </c>
      <c r="AU84" s="152">
        <f>SUM(AU80:AU83)</f>
        <v>5.2649264003666829</v>
      </c>
      <c r="AV84" s="12">
        <f t="shared" ref="AV84" si="68">SUM(AV80:AV83)</f>
        <v>5.2649264003666829</v>
      </c>
      <c r="AW84" s="12">
        <f t="shared" ref="AW84" si="69">SUM(AW80:AW83)</f>
        <v>5.2649264003666829</v>
      </c>
      <c r="AX84" s="12">
        <f t="shared" ref="AX84" si="70">SUM(AX80:AX83)</f>
        <v>5.2649264003666829</v>
      </c>
      <c r="AY84" s="12">
        <f t="shared" ref="AY84" si="71">SUM(AY80:AY83)</f>
        <v>5.2649264003666829</v>
      </c>
      <c r="BA84" s="34" t="str">
        <f t="shared" ca="1" si="66"/>
        <v>FuelPoor</v>
      </c>
      <c r="BB84" s="1" t="str">
        <f t="shared" si="61"/>
        <v>2013 Schemes</v>
      </c>
      <c r="BC84" s="1" t="str">
        <f t="shared" si="62"/>
        <v>Input</v>
      </c>
      <c r="BD84" s="1" t="str">
        <f t="shared" si="63"/>
        <v>Cost</v>
      </c>
    </row>
    <row r="85" spans="1:56" x14ac:dyDescent="0.35">
      <c r="BA85" s="34"/>
      <c r="BB85"/>
      <c r="BC85"/>
    </row>
    <row r="86" spans="1:56" ht="15" thickBot="1" x14ac:dyDescent="0.4">
      <c r="C86" s="11" t="s">
        <v>293</v>
      </c>
      <c r="BA86" s="34"/>
      <c r="BB86"/>
      <c r="BC86"/>
    </row>
    <row r="87" spans="1:56" x14ac:dyDescent="0.35">
      <c r="E87" t="s">
        <v>291</v>
      </c>
      <c r="G87" t="str">
        <f>price_label</f>
        <v>£m 23/24 prices</v>
      </c>
      <c r="J87" t="s">
        <v>13</v>
      </c>
      <c r="AD87" s="27">
        <f t="shared" ref="AD87:AT87" si="72">AC91</f>
        <v>0</v>
      </c>
      <c r="AE87" s="27">
        <f t="shared" si="72"/>
        <v>0</v>
      </c>
      <c r="AF87" s="27">
        <f t="shared" si="72"/>
        <v>0</v>
      </c>
      <c r="AG87" s="27">
        <f t="shared" si="72"/>
        <v>0</v>
      </c>
      <c r="AH87" s="27">
        <f t="shared" si="72"/>
        <v>0</v>
      </c>
      <c r="AI87" s="27">
        <f t="shared" si="72"/>
        <v>0.2289098434942036</v>
      </c>
      <c r="AJ87" s="27">
        <f t="shared" si="72"/>
        <v>0.4527328015774249</v>
      </c>
      <c r="AK87" s="27">
        <f t="shared" si="72"/>
        <v>0.67146887424966395</v>
      </c>
      <c r="AL87" s="27">
        <f t="shared" si="72"/>
        <v>0.88511806151092065</v>
      </c>
      <c r="AM87" s="27">
        <f t="shared" si="72"/>
        <v>1.0936803633611951</v>
      </c>
      <c r="AN87" s="27">
        <f t="shared" si="72"/>
        <v>1.2971557798004871</v>
      </c>
      <c r="AO87" s="27">
        <f t="shared" si="72"/>
        <v>1.4955443108287969</v>
      </c>
      <c r="AP87" s="27">
        <f t="shared" si="72"/>
        <v>1.6888459564461245</v>
      </c>
      <c r="AQ87" s="27">
        <f t="shared" si="72"/>
        <v>1.8770607166524695</v>
      </c>
      <c r="AR87" s="27">
        <f t="shared" si="72"/>
        <v>2.0601885914478326</v>
      </c>
      <c r="AS87" s="27">
        <f t="shared" si="72"/>
        <v>2.238229580832213</v>
      </c>
      <c r="AT87" s="72">
        <f t="shared" si="72"/>
        <v>2.4111836848056112</v>
      </c>
      <c r="AU87" s="154">
        <f>AT91</f>
        <v>2.5790509033680271</v>
      </c>
      <c r="AV87" s="27">
        <f t="shared" ref="AV87:AY87" si="73">AU91</f>
        <v>2.7418312365194608</v>
      </c>
      <c r="AW87" s="27">
        <f t="shared" si="73"/>
        <v>2.8995246842599123</v>
      </c>
      <c r="AX87" s="27">
        <f t="shared" si="73"/>
        <v>3.0521312465893815</v>
      </c>
      <c r="AY87" s="27">
        <f t="shared" si="73"/>
        <v>3.1996509235078681</v>
      </c>
      <c r="BA87" s="34" t="str">
        <f t="shared" ca="1" si="66"/>
        <v>FuelPoor</v>
      </c>
      <c r="BB87" s="1" t="str">
        <f t="shared" ref="BB87:BB91" si="74">$A$74</f>
        <v>2013 Schemes</v>
      </c>
      <c r="BC87" s="1" t="str">
        <f t="shared" ref="BC87:BC91" si="75">$B$75</f>
        <v>Input</v>
      </c>
      <c r="BD87" s="1" t="str">
        <f>$C$86</f>
        <v>Depreciation</v>
      </c>
    </row>
    <row r="88" spans="1:56" x14ac:dyDescent="0.35">
      <c r="E88" t="s">
        <v>759</v>
      </c>
      <c r="G88" t="str">
        <f>price_label</f>
        <v>£m 23/24 prices</v>
      </c>
      <c r="J88" t="s">
        <v>13</v>
      </c>
      <c r="AD88" s="12">
        <f>SUM($AC81:AC81)*($I$10-(YEAR(AD$4)-YEAR($I76))+1)/$I$15</f>
        <v>0</v>
      </c>
      <c r="AE88" s="12">
        <f>SUM($AC81:AD81)*($I$10-(YEAR(AE$4)-YEAR($I76))+1)/$I$15</f>
        <v>0</v>
      </c>
      <c r="AF88" s="12">
        <f>SUM($AC81:AE81)*($I$10-(YEAR(AF$4)-YEAR($I76))+1)/$I$15</f>
        <v>0</v>
      </c>
      <c r="AG88" s="12">
        <f>SUM($AC81:AF81)*($I$10-(YEAR(AG$4)-YEAR($I76))+1)/$I$15</f>
        <v>0</v>
      </c>
      <c r="AH88" s="12">
        <f>SUM($AC81:AG81)*($I$10-(YEAR(AH$4)-YEAR($I76))+1)/$I$15</f>
        <v>0</v>
      </c>
      <c r="AI88" s="12">
        <f>SUM($AC81:AH81)*($I$10-(YEAR(AI$4)-YEAR($I76))+1)/$I$15</f>
        <v>0</v>
      </c>
      <c r="AJ88" s="12">
        <f>SUM($AC81:AI81)*($I$10-(YEAR(AJ$4)-YEAR($I76))+1)/$I$15</f>
        <v>0</v>
      </c>
      <c r="AK88" s="12">
        <f>SUM($AC81:AJ81)*($I$10-(YEAR(AK$4)-YEAR($I76))+1)/$I$15</f>
        <v>0</v>
      </c>
      <c r="AL88" s="12">
        <f>SUM($AC81:AK81)*($I$10-(YEAR(AL$4)-YEAR($I76))+1)/$I$15</f>
        <v>0</v>
      </c>
      <c r="AM88" s="12">
        <f>SUM($AC81:AL81)*($I$10-(YEAR(AM$4)-YEAR($I76))+1)/$I$15</f>
        <v>0</v>
      </c>
      <c r="AN88" s="12">
        <f>SUM($AC81:AM81)*($I$10-(YEAR(AN$4)-YEAR($I76))+1)/$I$15</f>
        <v>0</v>
      </c>
      <c r="AO88" s="12">
        <f>SUM($AC81:AN81)*($I$10-(YEAR(AO$4)-YEAR($I76))+1)/$I$15</f>
        <v>0</v>
      </c>
      <c r="AP88" s="12">
        <f>SUM($AC81:AO81)*($I$10-(YEAR(AP$4)-YEAR($I76))+1)/$I$15</f>
        <v>0</v>
      </c>
      <c r="AQ88" s="12">
        <f>SUM($AC81:AP81)*($I$10-(YEAR(AQ$4)-YEAR($I76))+1)/$I$15</f>
        <v>0</v>
      </c>
      <c r="AR88" s="12">
        <f>SUM($AC81:AQ81)*($I$10-(YEAR(AR$4)-YEAR($I76))+1)/$I$15</f>
        <v>0</v>
      </c>
      <c r="AS88" s="12">
        <f>SUM($AC81:AR81)*($I$10-(YEAR(AS$4)-YEAR($I76))+1)/$I$15</f>
        <v>0</v>
      </c>
      <c r="AT88" s="69">
        <f>SUM($AC81:AS81)*($I$10-(YEAR(AT$4)-YEAR($I76))+1)/$I$15</f>
        <v>0</v>
      </c>
      <c r="AU88" s="152">
        <f>SUM($AC81:AT81)*($I$10-(YEAR(AU$4)-YEAR($I76))+1)/$I$15</f>
        <v>0</v>
      </c>
      <c r="AV88" s="12">
        <f>SUM($AC81:AU81)*($I$10-(YEAR(AV$4)-YEAR($I76))+1)/$I$15</f>
        <v>0</v>
      </c>
      <c r="AW88" s="12">
        <f>SUM($AC81:AV81)*($I$10-(YEAR(AW$4)-YEAR($I76))+1)/$I$15</f>
        <v>0</v>
      </c>
      <c r="AX88" s="12">
        <f>SUM($AC81:AW81)*($I$10-(YEAR(AX$4)-YEAR($I76))+1)/$I$15</f>
        <v>0</v>
      </c>
      <c r="AY88" s="12">
        <f>SUM($AC81:AX81)*($I$10-(YEAR(AY$4)-YEAR($I76))+1)/$I$15</f>
        <v>0</v>
      </c>
      <c r="BA88" s="34" t="str">
        <f t="shared" ca="1" si="66"/>
        <v>FuelPoor</v>
      </c>
      <c r="BB88" s="1" t="str">
        <f t="shared" si="74"/>
        <v>2013 Schemes</v>
      </c>
      <c r="BC88" s="1" t="str">
        <f t="shared" si="75"/>
        <v>Input</v>
      </c>
      <c r="BD88" s="1" t="str">
        <f t="shared" ref="BD88:BD91" si="76">$C$86</f>
        <v>Depreciation</v>
      </c>
    </row>
    <row r="89" spans="1:56" x14ac:dyDescent="0.35">
      <c r="E89" t="s">
        <v>760</v>
      </c>
      <c r="G89" t="str">
        <f>price_label</f>
        <v>£m 23/24 prices</v>
      </c>
      <c r="J89" t="s">
        <v>13</v>
      </c>
      <c r="AD89" s="12">
        <f>((YEAR(AD$4)-YEAR($I76)&lt;=$I$11)*(SUM($AC82:AC82)/$I$11))</f>
        <v>0</v>
      </c>
      <c r="AE89" s="12">
        <f>((YEAR(AE$4)-YEAR($I76)&lt;=$I$11)*(SUM($AC82:AD82)/$I$11))</f>
        <v>0</v>
      </c>
      <c r="AF89" s="12">
        <f>((YEAR(AF$4)-YEAR($I76)&lt;=$I$11)*(SUM($AC82:AE82)/$I$11))</f>
        <v>0</v>
      </c>
      <c r="AG89" s="12">
        <f>((YEAR(AG$4)-YEAR($I76)&lt;=$I$11)*(SUM($AC82:AF82)/$I$11))</f>
        <v>0</v>
      </c>
      <c r="AH89" s="12">
        <f>((YEAR(AH$4)-YEAR($I76)&lt;=$I$11)*(SUM($AC82:AG82)/$I$11))</f>
        <v>0</v>
      </c>
      <c r="AI89" s="12">
        <f>((YEAR(AI$4)-YEAR($I76)&lt;=$I$11)*(SUM($AC82:AH82)/$I$11))</f>
        <v>0</v>
      </c>
      <c r="AJ89" s="12">
        <f>((YEAR(AJ$4)-YEAR($I76)&lt;=$I$11)*(SUM($AC82:AI82)/$I$11))</f>
        <v>0</v>
      </c>
      <c r="AK89" s="12">
        <f>((YEAR(AK$4)-YEAR($I76)&lt;=$I$11)*(SUM($AC82:AJ82)/$I$11))</f>
        <v>0</v>
      </c>
      <c r="AL89" s="12">
        <f>((YEAR(AL$4)-YEAR($I76)&lt;=$I$11)*(SUM($AC82:AK82)/$I$11))</f>
        <v>0</v>
      </c>
      <c r="AM89" s="12">
        <f>((YEAR(AM$4)-YEAR($I76)&lt;=$I$11)*(SUM($AC82:AL82)/$I$11))</f>
        <v>0</v>
      </c>
      <c r="AN89" s="12">
        <f>((YEAR(AN$4)-YEAR($I76)&lt;=$I$11)*(SUM($AC82:AM82)/$I$11))</f>
        <v>0</v>
      </c>
      <c r="AO89" s="12">
        <f>((YEAR(AO$4)-YEAR($I76)&lt;=$I$11)*(SUM($AC82:AN82)/$I$11))</f>
        <v>0</v>
      </c>
      <c r="AP89" s="12">
        <f>((YEAR(AP$4)-YEAR($I76)&lt;=$I$11)*(SUM($AC82:AO82)/$I$11))</f>
        <v>0</v>
      </c>
      <c r="AQ89" s="12">
        <f>((YEAR(AQ$4)-YEAR($I76)&lt;=$I$11)*(SUM($AC82:AP82)/$I$11))</f>
        <v>0</v>
      </c>
      <c r="AR89" s="12">
        <f>((YEAR(AR$4)-YEAR($I76)&lt;=$I$11)*(SUM($AC82:AQ82)/$I$11))</f>
        <v>0</v>
      </c>
      <c r="AS89" s="12">
        <f>((YEAR(AS$4)-YEAR($I76)&lt;=$I$11)*(SUM($AC82:AR82)/$I$11))</f>
        <v>0</v>
      </c>
      <c r="AT89" s="69">
        <f>((YEAR(AT$4)-YEAR($I76)&lt;=$I$11)*(SUM($AC82:AS82)/$I$11))</f>
        <v>0</v>
      </c>
      <c r="AU89" s="152">
        <f>((YEAR(AU$4)-YEAR($I76)&lt;=$I$11)*(SUM($AC82:AT82)/$I$11))</f>
        <v>0</v>
      </c>
      <c r="AV89" s="12">
        <f>((YEAR(AV$4)-YEAR($I76)&lt;=$I$11)*(SUM($AC82:AU82)/$I$11))</f>
        <v>0</v>
      </c>
      <c r="AW89" s="12">
        <f>((YEAR(AW$4)-YEAR($I76)&lt;=$I$11)*(SUM($AC82:AV82)/$I$11))</f>
        <v>0</v>
      </c>
      <c r="AX89" s="12">
        <f>((YEAR(AX$4)-YEAR($I76)&lt;=$I$11)*(SUM($AC82:AW82)/$I$11))</f>
        <v>0</v>
      </c>
      <c r="AY89" s="12">
        <f>((YEAR(AY$4)-YEAR($I76)&lt;=$I$11)*(SUM($AC82:AX82)/$I$11))</f>
        <v>0</v>
      </c>
      <c r="BA89" s="34" t="str">
        <f t="shared" ca="1" si="66"/>
        <v>FuelPoor</v>
      </c>
      <c r="BB89" s="1" t="str">
        <f t="shared" si="74"/>
        <v>2013 Schemes</v>
      </c>
      <c r="BC89" s="1" t="str">
        <f t="shared" si="75"/>
        <v>Input</v>
      </c>
      <c r="BD89" s="1" t="str">
        <f t="shared" si="76"/>
        <v>Depreciation</v>
      </c>
    </row>
    <row r="90" spans="1:56" x14ac:dyDescent="0.35">
      <c r="E90" t="s">
        <v>761</v>
      </c>
      <c r="G90" t="str">
        <f>price_label</f>
        <v>£m 23/24 prices</v>
      </c>
      <c r="J90" t="s">
        <v>13</v>
      </c>
      <c r="AD90" s="12">
        <f>SUM($AC83:AC83)*($I$10-(YEAR(AD$4)-YEAR($I76))+1)/$I$15</f>
        <v>0</v>
      </c>
      <c r="AE90" s="12">
        <f>SUM($AC83:AD83)*($I$10-(YEAR(AE$4)-YEAR($I76))+1)/$I$15</f>
        <v>0</v>
      </c>
      <c r="AF90" s="12">
        <f>SUM($AC83:AE83)*($I$10-(YEAR(AF$4)-YEAR($I76))+1)/$I$15</f>
        <v>0</v>
      </c>
      <c r="AG90" s="12">
        <f>SUM($AC83:AF83)*($I$10-(YEAR(AG$4)-YEAR($I76))+1)/$I$15</f>
        <v>0</v>
      </c>
      <c r="AH90" s="12">
        <f>SUM($AC83:AG83)*($I$10-(YEAR(AH$4)-YEAR($I76))+1)/$I$15</f>
        <v>0.2289098434942036</v>
      </c>
      <c r="AI90" s="12">
        <f>SUM($AC83:AH83)*($I$10-(YEAR(AI$4)-YEAR($I76))+1)/$I$15</f>
        <v>0.22382295808322131</v>
      </c>
      <c r="AJ90" s="12">
        <f>SUM($AC83:AI83)*($I$10-(YEAR(AJ$4)-YEAR($I76))+1)/$I$15</f>
        <v>0.21873607267223902</v>
      </c>
      <c r="AK90" s="12">
        <f>SUM($AC83:AJ83)*($I$10-(YEAR(AK$4)-YEAR($I76))+1)/$I$15</f>
        <v>0.21364918726125667</v>
      </c>
      <c r="AL90" s="12">
        <f>SUM($AC83:AK83)*($I$10-(YEAR(AL$4)-YEAR($I76))+1)/$I$15</f>
        <v>0.20856230185027438</v>
      </c>
      <c r="AM90" s="12">
        <f>SUM($AC83:AL83)*($I$10-(YEAR(AM$4)-YEAR($I76))+1)/$I$15</f>
        <v>0.20347541643929209</v>
      </c>
      <c r="AN90" s="12">
        <f>SUM($AC83:AM83)*($I$10-(YEAR(AN$4)-YEAR($I76))+1)/$I$15</f>
        <v>0.19838853102830981</v>
      </c>
      <c r="AO90" s="12">
        <f>SUM($AC83:AN83)*($I$10-(YEAR(AO$4)-YEAR($I76))+1)/$I$15</f>
        <v>0.19330164561732749</v>
      </c>
      <c r="AP90" s="12">
        <f>SUM($AC83:AO83)*($I$10-(YEAR(AP$4)-YEAR($I76))+1)/$I$15</f>
        <v>0.18821476020634517</v>
      </c>
      <c r="AQ90" s="12">
        <f>SUM($AC83:AP83)*($I$10-(YEAR(AQ$4)-YEAR($I76))+1)/$I$15</f>
        <v>0.18312787479536288</v>
      </c>
      <c r="AR90" s="12">
        <f>SUM($AC83:AQ83)*($I$10-(YEAR(AR$4)-YEAR($I76))+1)/$I$15</f>
        <v>0.17804098938438059</v>
      </c>
      <c r="AS90" s="12">
        <f>SUM($AC83:AR83)*($I$10-(YEAR(AS$4)-YEAR($I76))+1)/$I$15</f>
        <v>0.17295410397339828</v>
      </c>
      <c r="AT90" s="69">
        <f>SUM($AC83:AS83)*($I$10-(YEAR(AT$4)-YEAR($I76))+1)/$I$15</f>
        <v>0.16786721856241596</v>
      </c>
      <c r="AU90" s="152">
        <f>SUM($AC83:AT83)*($I$10-(YEAR(AU$4)-YEAR($I76))+1)/$I$15</f>
        <v>0.16278033315143367</v>
      </c>
      <c r="AV90" s="12">
        <f>SUM($AC83:AU83)*($I$10-(YEAR(AV$4)-YEAR($I76))+1)/$I$15</f>
        <v>0.15769344774045138</v>
      </c>
      <c r="AW90" s="12">
        <f>SUM($AC83:AV83)*($I$10-(YEAR(AW$4)-YEAR($I76))+1)/$I$15</f>
        <v>0.15260656232946909</v>
      </c>
      <c r="AX90" s="12">
        <f>SUM($AC83:AW83)*($I$10-(YEAR(AX$4)-YEAR($I76))+1)/$I$15</f>
        <v>0.14751967691848675</v>
      </c>
      <c r="AY90" s="12">
        <f>SUM($AC83:AX83)*($I$10-(YEAR(AY$4)-YEAR($I76))+1)/$I$15</f>
        <v>0.14243279150750446</v>
      </c>
      <c r="BA90" s="34" t="str">
        <f t="shared" ca="1" si="66"/>
        <v>FuelPoor</v>
      </c>
      <c r="BB90" s="1" t="str">
        <f t="shared" si="74"/>
        <v>2013 Schemes</v>
      </c>
      <c r="BC90" s="1" t="str">
        <f t="shared" si="75"/>
        <v>Input</v>
      </c>
      <c r="BD90" s="1" t="str">
        <f t="shared" si="76"/>
        <v>Depreciation</v>
      </c>
    </row>
    <row r="91" spans="1:56" x14ac:dyDescent="0.35">
      <c r="E91" t="s">
        <v>323</v>
      </c>
      <c r="G91" t="str">
        <f>price_label</f>
        <v>£m 23/24 prices</v>
      </c>
      <c r="J91" t="s">
        <v>13</v>
      </c>
      <c r="AD91" s="12">
        <f t="shared" ref="AD91:AT91" si="77">SUM(AD87:AD90)</f>
        <v>0</v>
      </c>
      <c r="AE91" s="12">
        <f t="shared" si="77"/>
        <v>0</v>
      </c>
      <c r="AF91" s="12">
        <f t="shared" si="77"/>
        <v>0</v>
      </c>
      <c r="AG91" s="12">
        <f t="shared" si="77"/>
        <v>0</v>
      </c>
      <c r="AH91" s="12">
        <f t="shared" si="77"/>
        <v>0.2289098434942036</v>
      </c>
      <c r="AI91" s="12">
        <f t="shared" si="77"/>
        <v>0.4527328015774249</v>
      </c>
      <c r="AJ91" s="12">
        <f t="shared" si="77"/>
        <v>0.67146887424966395</v>
      </c>
      <c r="AK91" s="12">
        <f t="shared" si="77"/>
        <v>0.88511806151092065</v>
      </c>
      <c r="AL91" s="12">
        <f t="shared" si="77"/>
        <v>1.0936803633611951</v>
      </c>
      <c r="AM91" s="12">
        <f t="shared" si="77"/>
        <v>1.2971557798004871</v>
      </c>
      <c r="AN91" s="12">
        <f t="shared" si="77"/>
        <v>1.4955443108287969</v>
      </c>
      <c r="AO91" s="12">
        <f t="shared" si="77"/>
        <v>1.6888459564461245</v>
      </c>
      <c r="AP91" s="12">
        <f t="shared" si="77"/>
        <v>1.8770607166524695</v>
      </c>
      <c r="AQ91" s="12">
        <f t="shared" si="77"/>
        <v>2.0601885914478326</v>
      </c>
      <c r="AR91" s="12">
        <f t="shared" si="77"/>
        <v>2.238229580832213</v>
      </c>
      <c r="AS91" s="12">
        <f t="shared" si="77"/>
        <v>2.4111836848056112</v>
      </c>
      <c r="AT91" s="69">
        <f t="shared" si="77"/>
        <v>2.5790509033680271</v>
      </c>
      <c r="AU91" s="152">
        <f>SUM(AU87:AU90)</f>
        <v>2.7418312365194608</v>
      </c>
      <c r="AV91" s="12">
        <f t="shared" ref="AV91" si="78">SUM(AV87:AV90)</f>
        <v>2.8995246842599123</v>
      </c>
      <c r="AW91" s="12">
        <f t="shared" ref="AW91" si="79">SUM(AW87:AW90)</f>
        <v>3.0521312465893815</v>
      </c>
      <c r="AX91" s="12">
        <f t="shared" ref="AX91" si="80">SUM(AX87:AX90)</f>
        <v>3.1996509235078681</v>
      </c>
      <c r="AY91" s="12">
        <f t="shared" ref="AY91" si="81">SUM(AY87:AY90)</f>
        <v>3.3420837150153724</v>
      </c>
      <c r="BA91" s="34" t="str">
        <f t="shared" ca="1" si="66"/>
        <v>FuelPoor</v>
      </c>
      <c r="BB91" s="1" t="str">
        <f t="shared" si="74"/>
        <v>2013 Schemes</v>
      </c>
      <c r="BC91" s="1" t="str">
        <f t="shared" si="75"/>
        <v>Input</v>
      </c>
      <c r="BD91" s="1" t="str">
        <f t="shared" si="76"/>
        <v>Depreciation</v>
      </c>
    </row>
    <row r="92" spans="1:56" x14ac:dyDescent="0.35">
      <c r="BA92" s="34"/>
    </row>
    <row r="93" spans="1:56" ht="20" thickBot="1" x14ac:dyDescent="0.5">
      <c r="A93" s="13" t="s">
        <v>284</v>
      </c>
      <c r="BA93" s="34"/>
    </row>
    <row r="94" spans="1:56" ht="15" thickTop="1" x14ac:dyDescent="0.35">
      <c r="E94" t="s">
        <v>762</v>
      </c>
      <c r="G94" t="str">
        <f>price_label</f>
        <v>£m 23/24 prices</v>
      </c>
      <c r="J94" t="s">
        <v>13</v>
      </c>
      <c r="AU94" s="152">
        <f t="shared" ref="AU94:AY96" si="82">SUM(AU31,AU50,AU69,AU88)</f>
        <v>0</v>
      </c>
      <c r="AV94" s="12">
        <f t="shared" si="82"/>
        <v>0</v>
      </c>
      <c r="AW94" s="12">
        <f t="shared" si="82"/>
        <v>0</v>
      </c>
      <c r="AX94" s="12">
        <f t="shared" si="82"/>
        <v>0</v>
      </c>
      <c r="AY94" s="12">
        <f t="shared" si="82"/>
        <v>0</v>
      </c>
      <c r="BA94" s="34" t="str">
        <f t="shared" ca="1" si="66"/>
        <v>FuelPoor</v>
      </c>
      <c r="BB94" s="1" t="str">
        <f t="shared" ref="BB94:BB97" si="83">$A$93</f>
        <v>Exported values</v>
      </c>
    </row>
    <row r="95" spans="1:56" x14ac:dyDescent="0.35">
      <c r="E95" t="s">
        <v>763</v>
      </c>
      <c r="G95" t="str">
        <f>price_label</f>
        <v>£m 23/24 prices</v>
      </c>
      <c r="J95" t="s">
        <v>13</v>
      </c>
      <c r="AU95" s="152">
        <f t="shared" si="82"/>
        <v>0</v>
      </c>
      <c r="AV95" s="12">
        <f t="shared" si="82"/>
        <v>0</v>
      </c>
      <c r="AW95" s="12">
        <f t="shared" si="82"/>
        <v>0</v>
      </c>
      <c r="AX95" s="12">
        <f t="shared" si="82"/>
        <v>0</v>
      </c>
      <c r="AY95" s="12">
        <f t="shared" si="82"/>
        <v>0</v>
      </c>
      <c r="BA95" s="34" t="str">
        <f t="shared" ca="1" si="66"/>
        <v>FuelPoor</v>
      </c>
      <c r="BB95" s="1" t="str">
        <f t="shared" si="83"/>
        <v>Exported values</v>
      </c>
    </row>
    <row r="96" spans="1:56" x14ac:dyDescent="0.35">
      <c r="E96" t="s">
        <v>764</v>
      </c>
      <c r="G96" t="str">
        <f>price_label</f>
        <v>£m 23/24 prices</v>
      </c>
      <c r="J96" t="s">
        <v>13</v>
      </c>
      <c r="AU96" s="152">
        <f t="shared" si="82"/>
        <v>0.67367239582184024</v>
      </c>
      <c r="AV96" s="12">
        <f t="shared" si="82"/>
        <v>0.65166399411481579</v>
      </c>
      <c r="AW96" s="12">
        <f t="shared" si="82"/>
        <v>0.62965559240779134</v>
      </c>
      <c r="AX96" s="12">
        <f t="shared" si="82"/>
        <v>0.60764719070076689</v>
      </c>
      <c r="AY96" s="12">
        <f t="shared" si="82"/>
        <v>0.58563878899374244</v>
      </c>
      <c r="BA96" s="34" t="str">
        <f t="shared" ca="1" si="66"/>
        <v>FuelPoor</v>
      </c>
      <c r="BB96" s="1" t="str">
        <f t="shared" si="83"/>
        <v>Exported values</v>
      </c>
    </row>
    <row r="97" spans="1:54" x14ac:dyDescent="0.35">
      <c r="E97" t="s">
        <v>301</v>
      </c>
      <c r="G97" t="str">
        <f>price_label</f>
        <v>£m 23/24 prices</v>
      </c>
      <c r="J97" t="s">
        <v>13</v>
      </c>
      <c r="AU97" s="155">
        <f t="shared" ref="AU97:AY97" si="84">SUM(AU94:AU96)</f>
        <v>0.67367239582184024</v>
      </c>
      <c r="AV97" s="52">
        <f t="shared" si="84"/>
        <v>0.65166399411481579</v>
      </c>
      <c r="AW97" s="52">
        <f t="shared" si="84"/>
        <v>0.62965559240779134</v>
      </c>
      <c r="AX97" s="52">
        <f t="shared" si="84"/>
        <v>0.60764719070076689</v>
      </c>
      <c r="AY97" s="52">
        <f t="shared" si="84"/>
        <v>0.58563878899374244</v>
      </c>
      <c r="BA97" s="34" t="str">
        <f t="shared" ca="1" si="66"/>
        <v>FuelPoor</v>
      </c>
      <c r="BB97" s="1" t="str">
        <f t="shared" si="83"/>
        <v>Exported values</v>
      </c>
    </row>
    <row r="98" spans="1:54" ht="20" thickBot="1" x14ac:dyDescent="0.5">
      <c r="A98" s="13" t="s">
        <v>386</v>
      </c>
    </row>
    <row r="99" spans="1:54" x14ac:dyDescent="0.35"/>
    <row r="100" spans="1:54" x14ac:dyDescent="0.35"/>
  </sheetData>
  <conditionalFormatting sqref="H1">
    <cfRule type="cellIs" dxfId="9" priority="1" operator="equal">
      <formula>"ERROR"</formula>
    </cfRule>
  </conditionalFormatting>
  <pageMargins left="0.7" right="0.7" top="0.75" bottom="0.75" header="0.3" footer="0.3"/>
  <pageSetup paperSize="9" orientation="portrait" r:id="rId1"/>
  <headerFooter>
    <oddHeader>&amp;L&amp;"Aptos"&amp;10&amp;K000000 Classified as Internal&amp;1#_x000D_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Drop Down 1">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1F90F-961B-41F8-948D-A7294F5A021A}">
  <sheetPr codeName="Sheet7">
    <tabColor rgb="FFBAA0CC"/>
    <pageSetUpPr autoPageBreaks="0"/>
  </sheetPr>
  <dimension ref="A1:BF56"/>
  <sheetViews>
    <sheetView zoomScaleNormal="100" workbookViewId="0">
      <pane xSplit="45" ySplit="4" topLeftCell="AT39" activePane="bottomRight" state="frozen"/>
      <selection pane="topRight" activeCell="AT1" sqref="AT1"/>
      <selection pane="bottomLeft" activeCell="A5" sqref="A5"/>
      <selection pane="bottomRight" activeCell="AU43" sqref="AU43"/>
    </sheetView>
  </sheetViews>
  <sheetFormatPr defaultColWidth="0" defaultRowHeight="16" zeroHeight="1" outlineLevelRow="1" outlineLevelCol="1" x14ac:dyDescent="0.35"/>
  <cols>
    <col min="1" max="3" width="1.90625" customWidth="1"/>
    <col min="4" max="4" width="15.6328125" customWidth="1"/>
    <col min="5" max="5" width="65.6328125" customWidth="1"/>
    <col min="6" max="6" width="8.6328125" customWidth="1"/>
    <col min="7" max="7" width="17.6328125" customWidth="1"/>
    <col min="8" max="8" width="9.6328125" customWidth="1"/>
    <col min="9" max="9" width="11.6328125" customWidth="1"/>
    <col min="10" max="10" width="2.08984375" customWidth="1"/>
    <col min="11" max="45" width="11.6328125" hidden="1" customWidth="1" outlineLevel="1"/>
    <col min="46" max="46" width="11.6328125" style="61" customWidth="1" collapsed="1"/>
    <col min="47" max="51" width="11.6328125" customWidth="1"/>
    <col min="52" max="52" width="18.6328125" customWidth="1"/>
    <col min="53" max="55" width="10.6328125" style="1" customWidth="1"/>
    <col min="56" max="57" width="10.6328125" customWidth="1"/>
    <col min="58" max="58" width="1.6328125" style="6" customWidth="1"/>
    <col min="59" max="16384" width="9.08984375" hidden="1"/>
  </cols>
  <sheetData>
    <row r="1" spans="1:55" s="90" customFormat="1" ht="14.5" x14ac:dyDescent="0.35">
      <c r="A1" s="97" t="str" cm="1">
        <f t="array" aca="1" ref="A1" ca="1">MID(CELL("filename",$A$1),FIND("]",CELL("filename",$A$1))+1,255)</f>
        <v>Return&amp;RAV</v>
      </c>
      <c r="E1" s="107"/>
      <c r="G1" s="90" t="s">
        <v>572</v>
      </c>
      <c r="H1" s="27" t="e">
        <f>Checks!I7</f>
        <v>#REF!</v>
      </c>
      <c r="AT1" s="96"/>
    </row>
    <row r="2" spans="1:55" s="90" customFormat="1" ht="14.5" x14ac:dyDescent="0.35">
      <c r="AT2" s="96"/>
    </row>
    <row r="3" spans="1:55" s="90" customFormat="1" ht="14.5" x14ac:dyDescent="0.35">
      <c r="AT3" s="96"/>
    </row>
    <row r="4" spans="1:55" s="90" customFormat="1" ht="14.5" x14ac:dyDescent="0.35">
      <c r="D4" s="92" t="s">
        <v>459</v>
      </c>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92" t="s">
        <v>591</v>
      </c>
      <c r="BB4" s="92" t="s">
        <v>592</v>
      </c>
      <c r="BC4" s="92" t="s">
        <v>593</v>
      </c>
    </row>
    <row r="5" spans="1:55" x14ac:dyDescent="0.35"/>
    <row r="6" spans="1:55" ht="20" thickBot="1" x14ac:dyDescent="0.5">
      <c r="A6" s="13" t="s">
        <v>484</v>
      </c>
      <c r="AU6" s="1"/>
      <c r="AV6" s="1"/>
      <c r="AW6" s="1"/>
      <c r="AX6" s="1"/>
      <c r="AY6" s="1"/>
    </row>
    <row r="7" spans="1:55" ht="16.5" outlineLevel="1" thickTop="1" x14ac:dyDescent="0.35">
      <c r="D7" s="1" t="str" cm="1">
        <f t="array" aca="1" ref="D7" ca="1">IFERROR(MID(_xlfn.FORMULATEXT(I7),FIND("=",_xlfn.FORMULATEXT(I7))+1,FIND("!",_xlfn.FORMULATEXT(I7))-2),MID(_xlfn.FORMULATEXT(INDEX(L7:AV7,MATCH(FALSE,ISBLANK(L7:AV7),0))),FIND("=",_xlfn.FORMULATEXT(INDEX(L7:AV7,MATCH(FALSE,ISBLANK(L7:AV7),0))))+1,FIND("!",_xlfn.FORMULATEXT(INDEX(L7:AV7,MATCH(FALSE,ISBLANK(L7:AV7),0))))-2))</f>
        <v>Transform</v>
      </c>
      <c r="E7" t="s">
        <v>577</v>
      </c>
      <c r="G7" t="str">
        <f>Transform!G187</f>
        <v>scalar</v>
      </c>
      <c r="AU7" s="151">
        <f>Transform!AU187</f>
        <v>1.0903812147866101</v>
      </c>
      <c r="AV7" s="56">
        <f>Transform!AV187</f>
        <v>1.1038900921236532</v>
      </c>
      <c r="AW7" s="56">
        <f>Transform!AW187</f>
        <v>1.117474709683749</v>
      </c>
      <c r="AX7" s="56">
        <f>Transform!AX187</f>
        <v>1.1311303901017495</v>
      </c>
      <c r="AY7" s="56">
        <f>Transform!AY187</f>
        <v>1.1451152758990213</v>
      </c>
      <c r="BA7" s="103"/>
    </row>
    <row r="8" spans="1:55" outlineLevel="1" x14ac:dyDescent="0.35">
      <c r="D8" s="1" t="str" cm="1">
        <f t="array" aca="1" ref="D8" ca="1">IFERROR(MID(_xlfn.FORMULATEXT(I8),FIND("=",_xlfn.FORMULATEXT(I8))+1,FIND("!",_xlfn.FORMULATEXT(I8))-2),MID(_xlfn.FORMULATEXT(INDEX(L8:AV8,MATCH(FALSE,ISBLANK(L8:AV8),0))),FIND("=",_xlfn.FORMULATEXT(INDEX(L8:AV8,MATCH(FALSE,ISBLANK(L8:AV8),0))))+1,FIND("!",_xlfn.FORMULATEXT(INDEX(L8:AV8,MATCH(FALSE,ISBLANK(L8:AV8),0))))-2))</f>
        <v>Depreciation</v>
      </c>
      <c r="E8" t="s">
        <v>293</v>
      </c>
      <c r="G8" t="str">
        <f t="shared" ref="G8:G10" si="0">price_label</f>
        <v>£m 23/24 prices</v>
      </c>
      <c r="AU8" s="148">
        <f>Depreciation!AU242</f>
        <v>101.54083811883412</v>
      </c>
      <c r="AV8" s="50">
        <f>Depreciation!AV242</f>
        <v>110.35895590230443</v>
      </c>
      <c r="AW8" s="50">
        <f>Depreciation!AW242</f>
        <v>119.95354729483191</v>
      </c>
      <c r="AX8" s="50">
        <f>Depreciation!AX242</f>
        <v>129.44358857484778</v>
      </c>
      <c r="AY8" s="50">
        <f>Depreciation!AY242</f>
        <v>138.61849820138238</v>
      </c>
    </row>
    <row r="9" spans="1:55" outlineLevel="1" x14ac:dyDescent="0.35">
      <c r="D9" s="1" t="str" cm="1">
        <f t="array" aca="1" ref="D9" ca="1">IFERROR(MID(_xlfn.FORMULATEXT(I9),FIND("=",_xlfn.FORMULATEXT(I9))+1,FIND("!",_xlfn.FORMULATEXT(I9))-2),MID(_xlfn.FORMULATEXT(INDEX(L9:AV9,MATCH(FALSE,ISBLANK(L9:AV9),0))),FIND("=",_xlfn.FORMULATEXT(INDEX(L9:AV9,MATCH(FALSE,ISBLANK(L9:AV9),0))))+1,FIND("!",_xlfn.FORMULATEXT(INDEX(L9:AV9,MATCH(FALSE,ISBLANK(L9:AV9),0))))-2))</f>
        <v>Depreciation</v>
      </c>
      <c r="E9" t="s">
        <v>299</v>
      </c>
      <c r="G9" t="str">
        <f t="shared" si="0"/>
        <v>£m 23/24 prices</v>
      </c>
      <c r="AU9" s="148">
        <f>Depreciation!AU41</f>
        <v>28.04300405726465</v>
      </c>
      <c r="AV9" s="50">
        <f>Depreciation!AV41</f>
        <v>27.16666018047513</v>
      </c>
      <c r="AW9" s="50">
        <f>Depreciation!AW41</f>
        <v>26.290316303685611</v>
      </c>
      <c r="AX9" s="50">
        <f>Depreciation!AX41</f>
        <v>25.413972426896091</v>
      </c>
      <c r="AY9" s="50">
        <f>Depreciation!AY41</f>
        <v>24.537628550106568</v>
      </c>
    </row>
    <row r="10" spans="1:55" outlineLevel="1" x14ac:dyDescent="0.35">
      <c r="D10" s="1" t="str" cm="1">
        <f t="array" aca="1" ref="D10" ca="1">IFERROR(MID(_xlfn.FORMULATEXT(I10),FIND("=",_xlfn.FORMULATEXT(I10))+1,FIND("!",_xlfn.FORMULATEXT(I10))-2),MID(_xlfn.FORMULATEXT(INDEX(L10:AV10,MATCH(FALSE,ISBLANK(L10:AV10),0))),FIND("=",_xlfn.FORMULATEXT(INDEX(L10:AV10,MATCH(FALSE,ISBLANK(L10:AV10),0))))+1,FIND("!",_xlfn.FORMULATEXT(INDEX(L10:AV10,MATCH(FALSE,ISBLANK(L10:AV10),0))))-2))</f>
        <v>FuelPoor</v>
      </c>
      <c r="E10" t="s">
        <v>301</v>
      </c>
      <c r="G10" t="str">
        <f t="shared" si="0"/>
        <v>£m 23/24 prices</v>
      </c>
      <c r="AU10" s="148">
        <f>FuelPoor!AU97</f>
        <v>0.67367239582184024</v>
      </c>
      <c r="AV10" s="50">
        <f>FuelPoor!AV97</f>
        <v>0.65166399411481579</v>
      </c>
      <c r="AW10" s="50">
        <f>FuelPoor!AW97</f>
        <v>0.62965559240779134</v>
      </c>
      <c r="AX10" s="50">
        <f>FuelPoor!AX97</f>
        <v>0.60764719070076689</v>
      </c>
      <c r="AY10" s="50">
        <f>FuelPoor!AY97</f>
        <v>0.58563878899374244</v>
      </c>
    </row>
    <row r="11" spans="1:55" outlineLevel="1" x14ac:dyDescent="0.35">
      <c r="D11" s="1" t="str" cm="1">
        <f t="array" aca="1" ref="D11" ca="1">IFERROR(MID(_xlfn.FORMULATEXT(I11),FIND("=",_xlfn.FORMULATEXT(I11))+1,FIND("!",_xlfn.FORMULATEXT(I11))-2),MID(_xlfn.FORMULATEXT(INDEX(L11:AV11,MATCH(FALSE,ISBLANK(L11:AV11),0))),FIND("=",_xlfn.FORMULATEXT(INDEX(L11:AV11,MATCH(FALSE,ISBLANK(L11:AV11),0))))+1,FIND("!",_xlfn.FORMULATEXT(INDEX(L11:AV11,MATCH(FALSE,ISBLANK(L11:AV11),0))))-2))</f>
        <v>Transform</v>
      </c>
      <c r="E11" t="s">
        <v>450</v>
      </c>
      <c r="G11" t="s">
        <v>77</v>
      </c>
      <c r="J11" t="s">
        <v>13</v>
      </c>
      <c r="AT11" s="74">
        <f>Transform!AT150</f>
        <v>1.0832096821058097</v>
      </c>
      <c r="AU11" s="151">
        <f>Transform!AU150</f>
        <v>1.0955743936244313</v>
      </c>
      <c r="AV11" s="56">
        <f>Transform!AV150</f>
        <v>1.1189764907239503</v>
      </c>
      <c r="AW11" s="56">
        <f>Transform!AW150</f>
        <v>1.1427183403407986</v>
      </c>
      <c r="AX11" s="56">
        <f>Transform!AX150</f>
        <v>1.1667944795393224</v>
      </c>
      <c r="AY11" s="56">
        <f>Transform!AY150</f>
        <v>1.191666589299726</v>
      </c>
      <c r="BA11" s="103"/>
    </row>
    <row r="12" spans="1:55" outlineLevel="1" x14ac:dyDescent="0.35">
      <c r="D12" s="1" t="str" cm="1">
        <f t="array" aca="1" ref="D12" ca="1">IFERROR(MID(_xlfn.FORMULATEXT(I12),FIND("=",_xlfn.FORMULATEXT(I12))+1,FIND("!",_xlfn.FORMULATEXT(I12))-2),MID(_xlfn.FORMULATEXT(INDEX(L12:AV12,MATCH(FALSE,ISBLANK(L12:AV12),0))),FIND("=",_xlfn.FORMULATEXT(INDEX(L12:AV12,MATCH(FALSE,ISBLANK(L12:AV12),0))))+1,FIND("!",_xlfn.FORMULATEXT(INDEX(L12:AV12,MATCH(FALSE,ISBLANK(L12:AV12),0))))-2))</f>
        <v>Transform</v>
      </c>
      <c r="E12" t="s">
        <v>558</v>
      </c>
      <c r="G12" t="str">
        <f>Transform!G67</f>
        <v>£m 23/24 prices</v>
      </c>
      <c r="J12" t="s">
        <v>13</v>
      </c>
      <c r="X12" s="55"/>
      <c r="Y12" s="55"/>
      <c r="Z12" s="55"/>
      <c r="AA12" s="55"/>
      <c r="AB12" s="55"/>
      <c r="AT12" s="73">
        <f>Transform!AT67</f>
        <v>2321.5363073040198</v>
      </c>
    </row>
    <row r="13" spans="1:55" outlineLevel="1" x14ac:dyDescent="0.35">
      <c r="D13" s="1" t="str" cm="1">
        <f t="array" aca="1" ref="D13" ca="1">IFERROR(MID(_xlfn.FORMULATEXT(I13),FIND("=",_xlfn.FORMULATEXT(I13))+1,FIND("!",_xlfn.FORMULATEXT(I13))-2),MID(_xlfn.FORMULATEXT(INDEX(L13:AV13,MATCH(FALSE,ISBLANK(L13:AV13),0))),FIND("=",_xlfn.FORMULATEXT(INDEX(L13:AV13,MATCH(FALSE,ISBLANK(L13:AV13),0))))+1,FIND("!",_xlfn.FORMULATEXT(INDEX(L13:AV13,MATCH(FALSE,ISBLANK(L13:AV13),0))))-2))</f>
        <v>Transform</v>
      </c>
      <c r="E13" t="s">
        <v>421</v>
      </c>
      <c r="G13" t="str">
        <f>Transform!G188</f>
        <v>annual %</v>
      </c>
      <c r="AU13" s="149">
        <f>Transform!AU188</f>
        <v>6.6206319969913004E-3</v>
      </c>
      <c r="AV13" s="53">
        <f>Transform!AV188</f>
        <v>1.2389132492242123E-2</v>
      </c>
      <c r="AW13" s="53">
        <f>Transform!AW188</f>
        <v>1.230613233783232E-2</v>
      </c>
      <c r="AX13" s="53">
        <f>Transform!AX188</f>
        <v>1.2220124804314626E-2</v>
      </c>
      <c r="AY13" s="53">
        <f>Transform!AY188</f>
        <v>1.2363637224894723E-2</v>
      </c>
      <c r="BA13" s="104"/>
    </row>
    <row r="14" spans="1:55" s="1" customFormat="1" ht="14.5" outlineLevel="1" x14ac:dyDescent="0.35">
      <c r="A14"/>
      <c r="B14"/>
      <c r="C14"/>
      <c r="D14" s="1" t="str" cm="1">
        <f t="array" aca="1" ref="D14" ca="1">IFERROR(MID(_xlfn.FORMULATEXT(I14),FIND("=",_xlfn.FORMULATEXT(I14))+1,FIND("!",_xlfn.FORMULATEXT(I14))-2),MID(_xlfn.FORMULATEXT(INDEX(L14:AV14,MATCH(FALSE,ISBLANK(L14:AV14),0))),FIND("=",_xlfn.FORMULATEXT(INDEX(L14:AV14,MATCH(FALSE,ISBLANK(L14:AV14),0))))+1,FIND("!",_xlfn.FORMULATEXT(INDEX(L14:AV14,MATCH(FALSE,ISBLANK(L14:AV14),0))))-2))</f>
        <v>TIM</v>
      </c>
      <c r="E14" t="s">
        <v>298</v>
      </c>
      <c r="F14"/>
      <c r="G14" t="str">
        <f>price_label</f>
        <v>£m 23/24 prices</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s="61"/>
      <c r="AU14" s="148">
        <f>TIM!AU66</f>
        <v>140.4322400153753</v>
      </c>
      <c r="AV14" s="50">
        <f>TIM!AV66</f>
        <v>148.00776626577095</v>
      </c>
      <c r="AW14" s="50">
        <f>TIM!AW66</f>
        <v>145.59157682562881</v>
      </c>
      <c r="AX14" s="50">
        <f>TIM!AX66</f>
        <v>141.12206966118492</v>
      </c>
      <c r="AY14" s="50">
        <f>TIM!AY66</f>
        <v>135.56929525856179</v>
      </c>
    </row>
    <row r="15" spans="1:55" outlineLevel="1" x14ac:dyDescent="0.35">
      <c r="D15" s="1" t="str" cm="1">
        <f t="array" aca="1" ref="D15" ca="1">IFERROR(MID(_xlfn.FORMULATEXT(I15),FIND("=",_xlfn.FORMULATEXT(I15))+1,FIND("!",_xlfn.FORMULATEXT(I15))-2),MID(_xlfn.FORMULATEXT(INDEX(L15:AV15,MATCH(FALSE,ISBLANK(L15:AV15),0))),FIND("=",_xlfn.FORMULATEXT(INDEX(L15:AV15,MATCH(FALSE,ISBLANK(L15:AV15),0))))+1,FIND("!",_xlfn.FORMULATEXT(INDEX(L15:AV15,MATCH(FALSE,ISBLANK(L15:AV15),0))))-2))</f>
        <v>Transform</v>
      </c>
      <c r="E15" t="s">
        <v>380</v>
      </c>
      <c r="G15" t="str">
        <f>Transform!G151</f>
        <v>scalar</v>
      </c>
      <c r="X15" s="55"/>
      <c r="Y15" s="55"/>
      <c r="Z15" s="55"/>
      <c r="AA15" s="55"/>
      <c r="AB15" s="55"/>
      <c r="AU15" s="151">
        <f>Transform!AU151</f>
        <v>1.1073232504310131</v>
      </c>
      <c r="AV15" s="56">
        <f>Transform!AV151</f>
        <v>1.13077612996489</v>
      </c>
      <c r="AW15" s="56">
        <f>Transform!AW151</f>
        <v>1.1546603214808062</v>
      </c>
      <c r="AX15" s="56">
        <f>Transform!AX151</f>
        <v>1.1791214385998912</v>
      </c>
      <c r="AY15" s="56">
        <f>Transform!AY151</f>
        <v>1.2032413494376912</v>
      </c>
    </row>
    <row r="16" spans="1:55" outlineLevel="1" x14ac:dyDescent="0.35">
      <c r="D16" s="1" t="str" cm="1">
        <f t="array" aca="1" ref="D16" ca="1">IFERROR(MID(_xlfn.FORMULATEXT(I16),FIND("=",_xlfn.FORMULATEXT(I16))+1,FIND("!",_xlfn.FORMULATEXT(I16))-2),MID(_xlfn.FORMULATEXT(INDEX(L16:AV16,MATCH(FALSE,ISBLANK(L16:AV16),0))),FIND("=",_xlfn.FORMULATEXT(INDEX(L16:AV16,MATCH(FALSE,ISBLANK(L16:AV16),0))))+1,FIND("!",_xlfn.FORMULATEXT(INDEX(L16:AV16,MATCH(FALSE,ISBLANK(L16:AV16),0))))-2))</f>
        <v>Transform</v>
      </c>
      <c r="E16" t="s">
        <v>260</v>
      </c>
      <c r="G16" t="str">
        <f>Transform!G186</f>
        <v>semi-nominal %</v>
      </c>
      <c r="AU16" s="149">
        <f>Transform!AU186</f>
        <v>5.1977253000000008E-2</v>
      </c>
      <c r="AV16" s="53">
        <f>Transform!AV186</f>
        <v>5.2525304400000083E-2</v>
      </c>
      <c r="AW16" s="53">
        <f>Transform!AW186</f>
        <v>5.3012461200000013E-2</v>
      </c>
      <c r="AX16" s="53">
        <f>Transform!AX186</f>
        <v>5.3682301800000123E-2</v>
      </c>
      <c r="AY16" s="53">
        <f>Transform!AY186</f>
        <v>5.4413037000000011E-2</v>
      </c>
      <c r="BA16" s="103"/>
    </row>
    <row r="17" spans="1:55" x14ac:dyDescent="0.35">
      <c r="AH17" s="51"/>
      <c r="AI17" s="51"/>
      <c r="AJ17" s="51"/>
      <c r="AK17" s="51"/>
      <c r="AL17" s="51"/>
      <c r="AM17" s="51"/>
      <c r="AN17" s="51"/>
      <c r="AO17" s="51"/>
      <c r="AP17" s="51"/>
      <c r="AQ17" s="51"/>
      <c r="AR17" s="51"/>
      <c r="AS17" s="51"/>
      <c r="AT17" s="75"/>
      <c r="AU17" s="51"/>
      <c r="AV17" s="51"/>
      <c r="AW17" s="51"/>
      <c r="AX17" s="51"/>
      <c r="AY17" s="51"/>
      <c r="BA17" s="34"/>
    </row>
    <row r="18" spans="1:55" ht="20" thickBot="1" x14ac:dyDescent="0.5">
      <c r="A18" s="13" t="s">
        <v>757</v>
      </c>
      <c r="H18" s="98"/>
      <c r="AH18" s="51"/>
      <c r="AI18" s="51"/>
      <c r="AJ18" s="51"/>
      <c r="AK18" s="51"/>
      <c r="AL18" s="51"/>
      <c r="AM18" s="51"/>
      <c r="AN18" s="51"/>
      <c r="AO18" s="51"/>
      <c r="AP18" s="51"/>
      <c r="AQ18" s="51"/>
      <c r="AR18" s="51"/>
      <c r="AS18" s="51"/>
      <c r="AT18" s="75"/>
      <c r="AU18" s="51"/>
      <c r="AV18" s="51"/>
      <c r="AW18" s="51"/>
      <c r="AX18" s="51"/>
      <c r="AY18" s="51"/>
      <c r="BA18" s="34"/>
    </row>
    <row r="19" spans="1:55" ht="16.5" thickTop="1" x14ac:dyDescent="0.35">
      <c r="E19" t="s">
        <v>486</v>
      </c>
      <c r="G19" t="str">
        <f>nominal</f>
        <v>£m nominal</v>
      </c>
      <c r="H19" s="98"/>
      <c r="AU19" s="152">
        <f>-SUM(AU9,AU10,AU8)*AU7</f>
        <v>-142.03034697401537</v>
      </c>
      <c r="AV19" s="12">
        <f>-SUM(AV9,AV10,AV8)*AV7</f>
        <v>-152.53253043347874</v>
      </c>
      <c r="AW19" s="12">
        <f>-SUM(AW9,AW10,AW8)*AW7</f>
        <v>-164.12744321810982</v>
      </c>
      <c r="AX19" s="12">
        <f>-SUM(AX9,AX10,AX8)*AX7</f>
        <v>-175.85142158996962</v>
      </c>
      <c r="AY19" s="12">
        <f>-SUM(AY9,AY10,AY8)*AY7</f>
        <v>-187.50319702308266</v>
      </c>
      <c r="BA19" s="34" t="str">
        <f ca="1">$A$1</f>
        <v>Return&amp;RAV</v>
      </c>
      <c r="BB19" s="1" t="str">
        <f>$A$18</f>
        <v>Depreciation summaries</v>
      </c>
    </row>
    <row r="20" spans="1:55" x14ac:dyDescent="0.35">
      <c r="E20" t="s">
        <v>486</v>
      </c>
      <c r="G20" t="str">
        <f>price_label</f>
        <v>£m 23/24 prices</v>
      </c>
      <c r="H20" s="98"/>
      <c r="AU20" s="152">
        <f t="shared" ref="AU20:AY20" si="1">AU19/PCf</f>
        <v>-129.64007538013354</v>
      </c>
      <c r="AV20" s="12">
        <f t="shared" si="1"/>
        <v>-136.31432983439529</v>
      </c>
      <c r="AW20" s="12">
        <f t="shared" si="1"/>
        <v>-143.62895686890025</v>
      </c>
      <c r="AX20" s="12">
        <f t="shared" si="1"/>
        <v>-150.71327870817478</v>
      </c>
      <c r="AY20" s="12">
        <f t="shared" si="1"/>
        <v>-157.34535037461066</v>
      </c>
      <c r="BA20" s="34" t="str">
        <f t="shared" ref="BA20:BA52" ca="1" si="2">$A$1</f>
        <v>Return&amp;RAV</v>
      </c>
      <c r="BB20" s="1" t="str">
        <f>$A$18</f>
        <v>Depreciation summaries</v>
      </c>
    </row>
    <row r="21" spans="1:55" x14ac:dyDescent="0.35">
      <c r="H21" s="99"/>
      <c r="AH21" s="51"/>
      <c r="AI21" s="51"/>
      <c r="AJ21" s="51"/>
      <c r="AK21" s="51"/>
      <c r="AL21" s="51"/>
      <c r="AM21" s="51"/>
      <c r="AN21" s="51"/>
      <c r="AO21" s="51"/>
      <c r="AP21" s="51"/>
      <c r="AQ21" s="51"/>
      <c r="AR21" s="51"/>
      <c r="AS21" s="51"/>
      <c r="AT21" s="75"/>
      <c r="AU21" s="51"/>
      <c r="AV21" s="51"/>
      <c r="AW21" s="51"/>
      <c r="AX21" s="51"/>
      <c r="AY21" s="51"/>
      <c r="BA21" s="34"/>
    </row>
    <row r="22" spans="1:55" ht="20" thickBot="1" x14ac:dyDescent="0.5">
      <c r="A22" s="13" t="s">
        <v>302</v>
      </c>
      <c r="AH22" s="51"/>
      <c r="AI22" s="51"/>
      <c r="AJ22" s="51"/>
      <c r="AK22" s="51"/>
      <c r="AL22" s="51"/>
      <c r="AM22" s="51"/>
      <c r="AN22" s="51"/>
      <c r="AO22" s="51"/>
      <c r="AP22" s="51"/>
      <c r="AQ22" s="51"/>
      <c r="AR22" s="51"/>
      <c r="AS22" s="51"/>
      <c r="AT22" s="75"/>
      <c r="AU22" s="51"/>
      <c r="AV22" s="51"/>
      <c r="AW22" s="51"/>
      <c r="AX22" s="51"/>
      <c r="AY22" s="51"/>
      <c r="BA22" s="34"/>
    </row>
    <row r="23" spans="1:55" ht="18" thickTop="1" thickBot="1" x14ac:dyDescent="0.45">
      <c r="B23" s="15" t="s">
        <v>233</v>
      </c>
      <c r="AU23" s="51"/>
      <c r="AV23" s="51"/>
      <c r="AW23" s="51"/>
      <c r="AX23" s="51"/>
      <c r="AY23" s="51"/>
      <c r="BA23" s="34"/>
    </row>
    <row r="24" spans="1:55" ht="16.5" thickTop="1" x14ac:dyDescent="0.35">
      <c r="A24" s="1"/>
      <c r="E24" t="s">
        <v>303</v>
      </c>
      <c r="G24" t="str">
        <f>nominal</f>
        <v>£m nominal</v>
      </c>
      <c r="AU24" s="152">
        <f>AT12*AT11*StartingBalance+AT29</f>
        <v>2514.7106054318829</v>
      </c>
      <c r="AV24" s="12">
        <f>AU12*AU11*StartingBalance+AU29</f>
        <v>2543.1831981555288</v>
      </c>
      <c r="AW24" s="12">
        <f>AV12*AV11*StartingBalance+AV29</f>
        <v>2587.7757122120061</v>
      </c>
      <c r="AX24" s="12">
        <f>AW12*AW11*StartingBalance+AW29</f>
        <v>2621.8639444067881</v>
      </c>
      <c r="AY24" s="12">
        <f>AX12*AX11*StartingBalance+AX29</f>
        <v>2642.7124792592363</v>
      </c>
      <c r="BA24" s="34" t="str">
        <f t="shared" ca="1" si="2"/>
        <v>Return&amp;RAV</v>
      </c>
      <c r="BB24" s="1" t="str">
        <f>$A$22</f>
        <v>RAV running total</v>
      </c>
      <c r="BC24" s="1" t="str">
        <f>$B$23</f>
        <v>Nominal</v>
      </c>
    </row>
    <row r="25" spans="1:55" x14ac:dyDescent="0.35">
      <c r="E25" t="s">
        <v>578</v>
      </c>
      <c r="G25" t="str">
        <f t="shared" ref="G25:G29" si="3">nominal</f>
        <v>£m nominal</v>
      </c>
      <c r="AU25" s="152">
        <f>AU24*AU13</f>
        <v>16.648973497495689</v>
      </c>
      <c r="AV25" s="12">
        <f>AV24*AV13</f>
        <v>31.507833593992899</v>
      </c>
      <c r="AW25" s="12">
        <f>AW24*AW13</f>
        <v>31.845510375109232</v>
      </c>
      <c r="AX25" s="12">
        <f>AX24*AX13</f>
        <v>32.039504620583571</v>
      </c>
      <c r="AY25" s="12">
        <f>AY24*AY13</f>
        <v>32.673538383263313</v>
      </c>
      <c r="BA25" s="34" t="str">
        <f t="shared" ca="1" si="2"/>
        <v>Return&amp;RAV</v>
      </c>
      <c r="BB25" s="1" t="str">
        <f t="shared" ref="BB25:BB29" si="4">$A$22</f>
        <v>RAV running total</v>
      </c>
      <c r="BC25" s="1" t="str">
        <f t="shared" ref="BC25:BC29" si="5">$B$23</f>
        <v>Nominal</v>
      </c>
    </row>
    <row r="26" spans="1:55" x14ac:dyDescent="0.35">
      <c r="E26" t="s">
        <v>304</v>
      </c>
      <c r="G26" t="str">
        <f t="shared" si="3"/>
        <v>£m nominal</v>
      </c>
      <c r="AU26" s="152">
        <f t="shared" ref="AU26:AY26" si="6">SUM(AU24:AU25)</f>
        <v>2531.3595789293786</v>
      </c>
      <c r="AV26" s="12">
        <f t="shared" si="6"/>
        <v>2574.6910317495217</v>
      </c>
      <c r="AW26" s="12">
        <f t="shared" si="6"/>
        <v>2619.6212225871154</v>
      </c>
      <c r="AX26" s="12">
        <f t="shared" si="6"/>
        <v>2653.9034490273716</v>
      </c>
      <c r="AY26" s="12">
        <f t="shared" si="6"/>
        <v>2675.3860176424996</v>
      </c>
      <c r="BA26" s="34" t="str">
        <f t="shared" ca="1" si="2"/>
        <v>Return&amp;RAV</v>
      </c>
      <c r="BB26" s="1" t="str">
        <f t="shared" si="4"/>
        <v>RAV running total</v>
      </c>
      <c r="BC26" s="1" t="str">
        <f t="shared" si="5"/>
        <v>Nominal</v>
      </c>
    </row>
    <row r="27" spans="1:55" x14ac:dyDescent="0.35">
      <c r="E27" t="s">
        <v>643</v>
      </c>
      <c r="G27" t="str">
        <f t="shared" si="3"/>
        <v>£m nominal</v>
      </c>
      <c r="AU27" s="152">
        <f t="shared" ref="AU27:AY27" si="7">AU35*PCf</f>
        <v>153.85396620016539</v>
      </c>
      <c r="AV27" s="12">
        <f t="shared" si="7"/>
        <v>165.61721089596307</v>
      </c>
      <c r="AW27" s="12">
        <f t="shared" si="7"/>
        <v>166.37016503778241</v>
      </c>
      <c r="AX27" s="12">
        <f t="shared" si="7"/>
        <v>164.66045182183424</v>
      </c>
      <c r="AY27" s="12">
        <f t="shared" si="7"/>
        <v>161.55339969453786</v>
      </c>
      <c r="BA27" s="34" t="str">
        <f t="shared" ca="1" si="2"/>
        <v>Return&amp;RAV</v>
      </c>
      <c r="BB27" s="1" t="str">
        <f t="shared" si="4"/>
        <v>RAV running total</v>
      </c>
      <c r="BC27" s="1" t="str">
        <f t="shared" si="5"/>
        <v>Nominal</v>
      </c>
    </row>
    <row r="28" spans="1:55" x14ac:dyDescent="0.35">
      <c r="E28" t="s">
        <v>293</v>
      </c>
      <c r="G28" t="str">
        <f t="shared" si="3"/>
        <v>£m nominal</v>
      </c>
      <c r="AU28" s="154">
        <f>AU19</f>
        <v>-142.03034697401537</v>
      </c>
      <c r="AV28" s="27">
        <f>AV19</f>
        <v>-152.53253043347874</v>
      </c>
      <c r="AW28" s="27">
        <f>AW19</f>
        <v>-164.12744321810982</v>
      </c>
      <c r="AX28" s="27">
        <f>AX19</f>
        <v>-175.85142158996962</v>
      </c>
      <c r="AY28" s="27">
        <f>AY19</f>
        <v>-187.50319702308266</v>
      </c>
      <c r="BA28" s="34" t="str">
        <f t="shared" ca="1" si="2"/>
        <v>Return&amp;RAV</v>
      </c>
      <c r="BB28" s="1" t="str">
        <f t="shared" si="4"/>
        <v>RAV running total</v>
      </c>
      <c r="BC28" s="1" t="str">
        <f t="shared" si="5"/>
        <v>Nominal</v>
      </c>
    </row>
    <row r="29" spans="1:55" x14ac:dyDescent="0.35">
      <c r="E29" t="s">
        <v>305</v>
      </c>
      <c r="G29" t="str">
        <f t="shared" si="3"/>
        <v>£m nominal</v>
      </c>
      <c r="AU29" s="152">
        <f t="shared" ref="AU29:AY29" si="8">SUM(AU26:AU28)</f>
        <v>2543.1831981555288</v>
      </c>
      <c r="AV29" s="12">
        <f t="shared" si="8"/>
        <v>2587.7757122120061</v>
      </c>
      <c r="AW29" s="12">
        <f t="shared" si="8"/>
        <v>2621.8639444067881</v>
      </c>
      <c r="AX29" s="12">
        <f t="shared" si="8"/>
        <v>2642.7124792592363</v>
      </c>
      <c r="AY29" s="12">
        <f t="shared" si="8"/>
        <v>2649.4362203139549</v>
      </c>
      <c r="BA29" s="34" t="str">
        <f t="shared" ca="1" si="2"/>
        <v>Return&amp;RAV</v>
      </c>
      <c r="BB29" s="1" t="str">
        <f t="shared" si="4"/>
        <v>RAV running total</v>
      </c>
      <c r="BC29" s="1" t="str">
        <f t="shared" si="5"/>
        <v>Nominal</v>
      </c>
    </row>
    <row r="30" spans="1:55" x14ac:dyDescent="0.35">
      <c r="AU30" s="51"/>
      <c r="AV30" s="51"/>
      <c r="AW30" s="51"/>
      <c r="AX30" s="51"/>
      <c r="AY30" s="51"/>
      <c r="BA30" s="34"/>
    </row>
    <row r="31" spans="1:55" ht="17.5" thickBot="1" x14ac:dyDescent="0.45">
      <c r="A31" s="3"/>
      <c r="B31" s="15" t="s">
        <v>306</v>
      </c>
      <c r="AU31" s="51"/>
      <c r="AV31" s="51"/>
      <c r="AW31" s="51"/>
      <c r="AX31" s="51"/>
      <c r="AY31" s="51"/>
      <c r="BA31" s="34"/>
    </row>
    <row r="32" spans="1:55" ht="16.5" thickTop="1" x14ac:dyDescent="0.35">
      <c r="E32" t="s">
        <v>303</v>
      </c>
      <c r="G32" t="str">
        <f t="shared" ref="G32:G37" si="9">price_label</f>
        <v>£m 23/24 prices</v>
      </c>
      <c r="AU32" s="152">
        <f>AT12*StartingBalance+AT37</f>
        <v>2321.5363073040198</v>
      </c>
      <c r="AV32" s="12">
        <f>AU12*StartingBalance+AU37</f>
        <v>2321.3240588273052</v>
      </c>
      <c r="AW32" s="12">
        <f>AV12*StartingBalance+AV37</f>
        <v>2312.6274177018486</v>
      </c>
      <c r="AX32" s="12">
        <f>AW12*StartingBalance+AW37</f>
        <v>2294.4096124552061</v>
      </c>
      <c r="AY32" s="12">
        <f>AX12*StartingBalance+AX37</f>
        <v>2264.9339927479268</v>
      </c>
      <c r="BA32" s="34" t="str">
        <f t="shared" ca="1" si="2"/>
        <v>Return&amp;RAV</v>
      </c>
      <c r="BB32" s="1" t="str">
        <f t="shared" ref="BB32:BB37" si="10">$A$22</f>
        <v>RAV running total</v>
      </c>
      <c r="BC32" s="1" t="str">
        <f>$B$31</f>
        <v>Real</v>
      </c>
    </row>
    <row r="33" spans="1:55" x14ac:dyDescent="0.35">
      <c r="A33" s="1"/>
      <c r="E33" t="s">
        <v>758</v>
      </c>
      <c r="G33" t="str">
        <f t="shared" si="9"/>
        <v>£m 23/24 prices</v>
      </c>
      <c r="AU33" s="152">
        <f>(AU24+AU25)/PCf-AU32</f>
        <v>-11.004413111956183</v>
      </c>
      <c r="AV33" s="12">
        <f>(AV24+AV25)/PCf-AV32</f>
        <v>-20.390077556832239</v>
      </c>
      <c r="AW33" s="12">
        <f>(AW24+AW25)/PCf-AW32</f>
        <v>-20.18042520337076</v>
      </c>
      <c r="AX33" s="12">
        <f>(AX24+AX25)/PCf-AX32</f>
        <v>-19.884410660289632</v>
      </c>
      <c r="AY33" s="12">
        <f>(AY24+AY25)/PCf-AY32</f>
        <v>-19.854671345897714</v>
      </c>
      <c r="BA33" s="34" t="str">
        <f t="shared" ca="1" si="2"/>
        <v>Return&amp;RAV</v>
      </c>
      <c r="BB33" s="1" t="str">
        <f t="shared" si="10"/>
        <v>RAV running total</v>
      </c>
      <c r="BC33" s="1" t="str">
        <f t="shared" ref="BC33:BC37" si="11">$B$31</f>
        <v>Real</v>
      </c>
    </row>
    <row r="34" spans="1:55" x14ac:dyDescent="0.35">
      <c r="E34" t="s">
        <v>304</v>
      </c>
      <c r="G34" t="str">
        <f t="shared" si="9"/>
        <v>£m 23/24 prices</v>
      </c>
      <c r="AU34" s="152">
        <f t="shared" ref="AU34" si="12">SUM(AU32:AU33)</f>
        <v>2310.5318941920636</v>
      </c>
      <c r="AV34" s="12">
        <f t="shared" ref="AV34" si="13">SUM(AV32:AV33)</f>
        <v>2300.9339812704729</v>
      </c>
      <c r="AW34" s="12">
        <f t="shared" ref="AW34" si="14">SUM(AW32:AW33)</f>
        <v>2292.4469924984778</v>
      </c>
      <c r="AX34" s="12">
        <f t="shared" ref="AX34" si="15">SUM(AX32:AX33)</f>
        <v>2274.5252017949165</v>
      </c>
      <c r="AY34" s="12">
        <f t="shared" ref="AY34" si="16">SUM(AY32:AY33)</f>
        <v>2245.0793214020291</v>
      </c>
      <c r="BA34" s="34" t="str">
        <f t="shared" ca="1" si="2"/>
        <v>Return&amp;RAV</v>
      </c>
      <c r="BB34" s="1" t="str">
        <f t="shared" si="10"/>
        <v>RAV running total</v>
      </c>
      <c r="BC34" s="1" t="str">
        <f t="shared" si="11"/>
        <v>Real</v>
      </c>
    </row>
    <row r="35" spans="1:55" x14ac:dyDescent="0.35">
      <c r="E35" t="s">
        <v>643</v>
      </c>
      <c r="G35" t="str">
        <f t="shared" si="9"/>
        <v>£m 23/24 prices</v>
      </c>
      <c r="AU35" s="152">
        <f>AU14</f>
        <v>140.4322400153753</v>
      </c>
      <c r="AV35" s="12">
        <f t="shared" ref="AV35:AY35" si="17">AV14</f>
        <v>148.00776626577095</v>
      </c>
      <c r="AW35" s="12">
        <f t="shared" si="17"/>
        <v>145.59157682562881</v>
      </c>
      <c r="AX35" s="12">
        <f t="shared" si="17"/>
        <v>141.12206966118492</v>
      </c>
      <c r="AY35" s="12">
        <f t="shared" si="17"/>
        <v>135.56929525856179</v>
      </c>
      <c r="BA35" s="34" t="str">
        <f t="shared" ca="1" si="2"/>
        <v>Return&amp;RAV</v>
      </c>
      <c r="BB35" s="1" t="str">
        <f t="shared" si="10"/>
        <v>RAV running total</v>
      </c>
      <c r="BC35" s="1" t="str">
        <f t="shared" si="11"/>
        <v>Real</v>
      </c>
    </row>
    <row r="36" spans="1:55" x14ac:dyDescent="0.35">
      <c r="E36" t="s">
        <v>293</v>
      </c>
      <c r="G36" t="str">
        <f t="shared" si="9"/>
        <v>£m 23/24 prices</v>
      </c>
      <c r="AU36" s="154">
        <f>AU20</f>
        <v>-129.64007538013354</v>
      </c>
      <c r="AV36" s="27">
        <f>AV20</f>
        <v>-136.31432983439529</v>
      </c>
      <c r="AW36" s="27">
        <f>AW20</f>
        <v>-143.62895686890025</v>
      </c>
      <c r="AX36" s="27">
        <f>AX20</f>
        <v>-150.71327870817478</v>
      </c>
      <c r="AY36" s="27">
        <f>AY20</f>
        <v>-157.34535037461066</v>
      </c>
      <c r="BA36" s="34" t="str">
        <f t="shared" ca="1" si="2"/>
        <v>Return&amp;RAV</v>
      </c>
      <c r="BB36" s="1" t="str">
        <f t="shared" si="10"/>
        <v>RAV running total</v>
      </c>
      <c r="BC36" s="1" t="str">
        <f t="shared" si="11"/>
        <v>Real</v>
      </c>
    </row>
    <row r="37" spans="1:55" x14ac:dyDescent="0.35">
      <c r="E37" t="s">
        <v>305</v>
      </c>
      <c r="G37" t="str">
        <f t="shared" si="9"/>
        <v>£m 23/24 prices</v>
      </c>
      <c r="AU37" s="152">
        <f t="shared" ref="AU37" si="18">SUM(AU34:AU36)</f>
        <v>2321.3240588273052</v>
      </c>
      <c r="AV37" s="12">
        <f t="shared" ref="AV37" si="19">SUM(AV34:AV36)</f>
        <v>2312.6274177018486</v>
      </c>
      <c r="AW37" s="12">
        <f t="shared" ref="AW37" si="20">SUM(AW34:AW36)</f>
        <v>2294.4096124552061</v>
      </c>
      <c r="AX37" s="12">
        <f t="shared" ref="AX37" si="21">SUM(AX34:AX36)</f>
        <v>2264.9339927479268</v>
      </c>
      <c r="AY37" s="12">
        <f t="shared" ref="AY37" si="22">SUM(AY34:AY36)</f>
        <v>2223.3032662859805</v>
      </c>
      <c r="BA37" s="34" t="str">
        <f t="shared" ca="1" si="2"/>
        <v>Return&amp;RAV</v>
      </c>
      <c r="BB37" s="1" t="str">
        <f t="shared" si="10"/>
        <v>RAV running total</v>
      </c>
      <c r="BC37" s="1" t="str">
        <f t="shared" si="11"/>
        <v>Real</v>
      </c>
    </row>
    <row r="38" spans="1:55" x14ac:dyDescent="0.35">
      <c r="BA38" s="34"/>
    </row>
    <row r="39" spans="1:55" ht="17.5" thickBot="1" x14ac:dyDescent="0.45">
      <c r="B39" s="15" t="s">
        <v>608</v>
      </c>
      <c r="BA39" s="34"/>
    </row>
    <row r="40" spans="1:55" ht="16.5" thickTop="1" x14ac:dyDescent="0.35">
      <c r="E40" t="s">
        <v>305</v>
      </c>
      <c r="G40" t="str">
        <f>nominal</f>
        <v>£m nominal</v>
      </c>
      <c r="AU40" s="152">
        <f>AU37*AU15</f>
        <v>2570.456102124364</v>
      </c>
      <c r="AV40" s="12">
        <f t="shared" ref="AV40:AY40" si="23">AV37*AV15</f>
        <v>2615.0638814395934</v>
      </c>
      <c r="AW40" s="12">
        <f t="shared" si="23"/>
        <v>2649.2637407261805</v>
      </c>
      <c r="AX40" s="12">
        <f t="shared" si="23"/>
        <v>2670.6322278627308</v>
      </c>
      <c r="AY40" s="12">
        <f t="shared" si="23"/>
        <v>2675.1704223351699</v>
      </c>
      <c r="BA40" s="34" t="str">
        <f t="shared" ca="1" si="2"/>
        <v>Return&amp;RAV</v>
      </c>
      <c r="BB40" s="1" t="str">
        <f t="shared" ref="BB40" si="24">$A$22</f>
        <v>RAV running total</v>
      </c>
      <c r="BC40" s="1" t="str">
        <f>$B$39</f>
        <v>Closing RAV (FY end)</v>
      </c>
    </row>
    <row r="41" spans="1:55" x14ac:dyDescent="0.35">
      <c r="BA41" s="34"/>
    </row>
    <row r="42" spans="1:55" ht="20" thickBot="1" x14ac:dyDescent="0.5">
      <c r="A42" s="13" t="s">
        <v>307</v>
      </c>
      <c r="BA42" s="34"/>
    </row>
    <row r="43" spans="1:55" ht="16.5" thickTop="1" x14ac:dyDescent="0.35">
      <c r="E43" t="s">
        <v>260</v>
      </c>
      <c r="G43" t="str">
        <f>G16</f>
        <v>semi-nominal %</v>
      </c>
      <c r="AU43" s="158">
        <f>AU16</f>
        <v>5.1977253000000008E-2</v>
      </c>
      <c r="AV43" s="45">
        <f>AV16</f>
        <v>5.2525304400000083E-2</v>
      </c>
      <c r="AW43" s="45">
        <f>AW16</f>
        <v>5.3012461200000013E-2</v>
      </c>
      <c r="AX43" s="45">
        <f>AX16</f>
        <v>5.3682301800000123E-2</v>
      </c>
      <c r="AY43" s="45">
        <f>AY16</f>
        <v>5.4413037000000011E-2</v>
      </c>
      <c r="AZ43" s="111"/>
      <c r="BA43" s="34" t="str">
        <f t="shared" ca="1" si="2"/>
        <v>Return&amp;RAV</v>
      </c>
      <c r="BB43" s="1" t="str">
        <f>$A$42</f>
        <v>RAV Return</v>
      </c>
    </row>
    <row r="44" spans="1:55" x14ac:dyDescent="0.35">
      <c r="E44" t="s">
        <v>308</v>
      </c>
      <c r="G44" t="s">
        <v>77</v>
      </c>
      <c r="AU44" s="156">
        <f>1/(1+AU43)</f>
        <v>0.95059089647445072</v>
      </c>
      <c r="AV44" s="47">
        <f t="shared" ref="AV44:AY44" si="25">1/(1+AV43)</f>
        <v>0.95009592246341057</v>
      </c>
      <c r="AW44" s="47">
        <f t="shared" si="25"/>
        <v>0.94965637810250825</v>
      </c>
      <c r="AX44" s="47">
        <f t="shared" si="25"/>
        <v>0.94905266823947321</v>
      </c>
      <c r="AY44" s="47">
        <f t="shared" si="25"/>
        <v>0.94839495046949041</v>
      </c>
      <c r="BA44" s="34" t="str">
        <f t="shared" ca="1" si="2"/>
        <v>Return&amp;RAV</v>
      </c>
      <c r="BB44" s="1" t="str">
        <f t="shared" ref="BB44" si="26">$A$42</f>
        <v>RAV Return</v>
      </c>
    </row>
    <row r="45" spans="1:55" x14ac:dyDescent="0.35">
      <c r="BA45" s="34"/>
    </row>
    <row r="46" spans="1:55" x14ac:dyDescent="0.35">
      <c r="E46" t="s">
        <v>309</v>
      </c>
      <c r="G46" t="str">
        <f>nominal</f>
        <v>£m nominal</v>
      </c>
      <c r="AU46" s="152">
        <f>AU29*AU44</f>
        <v>2417.5267962334246</v>
      </c>
      <c r="AV46" s="12">
        <f>AV29*AV44</f>
        <v>2458.6351524224751</v>
      </c>
      <c r="AW46" s="12">
        <f>AW29*AW44</f>
        <v>2489.8698173229063</v>
      </c>
      <c r="AX46" s="12">
        <f>AX29*AX44</f>
        <v>2508.0733298307318</v>
      </c>
      <c r="AY46" s="12">
        <f>AY29*AY44</f>
        <v>2512.711932936727</v>
      </c>
      <c r="BA46" s="34" t="str">
        <f t="shared" ca="1" si="2"/>
        <v>Return&amp;RAV</v>
      </c>
      <c r="BB46" s="1" t="str">
        <f>$A$42</f>
        <v>RAV Return</v>
      </c>
    </row>
    <row r="47" spans="1:55" x14ac:dyDescent="0.35"/>
    <row r="48" spans="1:55" x14ac:dyDescent="0.35">
      <c r="B48" s="3"/>
      <c r="E48" t="s">
        <v>310</v>
      </c>
      <c r="G48" t="str">
        <f>nominal</f>
        <v>£m nominal</v>
      </c>
      <c r="AU48" s="152">
        <f>AVERAGE(AU26,AU46)</f>
        <v>2474.4431875814016</v>
      </c>
      <c r="AV48" s="12">
        <f>AVERAGE(AV26,AV46)</f>
        <v>2516.6630920859984</v>
      </c>
      <c r="AW48" s="12">
        <f>AVERAGE(AW26,AW46)</f>
        <v>2554.7455199550109</v>
      </c>
      <c r="AX48" s="12">
        <f>AVERAGE(AX26,AX46)</f>
        <v>2580.9883894290515</v>
      </c>
      <c r="AY48" s="12">
        <f>AVERAGE(AY26,AY46)</f>
        <v>2594.0489752896133</v>
      </c>
      <c r="BA48" s="34" t="str">
        <f t="shared" ca="1" si="2"/>
        <v>Return&amp;RAV</v>
      </c>
      <c r="BB48" s="1" t="str">
        <f>$A$42</f>
        <v>RAV Return</v>
      </c>
    </row>
    <row r="49" spans="1:54" x14ac:dyDescent="0.35">
      <c r="B49" s="3"/>
      <c r="E49" t="s">
        <v>310</v>
      </c>
      <c r="G49" t="str">
        <f>price_label</f>
        <v>£m 23/24 prices</v>
      </c>
      <c r="AU49" s="152">
        <f>AU48/PCf</f>
        <v>2258.5807061402111</v>
      </c>
      <c r="AV49" s="12">
        <f>AV48/PCf</f>
        <v>2249.0759305030433</v>
      </c>
      <c r="AW49" s="12">
        <f>AW48/PCf</f>
        <v>2235.6738574731344</v>
      </c>
      <c r="AX49" s="12">
        <f>AX48/PCf</f>
        <v>2212.0334254993099</v>
      </c>
      <c r="AY49" s="12">
        <f>AY48/PCf</f>
        <v>2176.8244562549889</v>
      </c>
      <c r="BA49" s="34" t="str">
        <f t="shared" ca="1" si="2"/>
        <v>Return&amp;RAV</v>
      </c>
      <c r="BB49" s="1" t="str">
        <f>$A$42</f>
        <v>RAV Return</v>
      </c>
    </row>
    <row r="50" spans="1:54" x14ac:dyDescent="0.35">
      <c r="B50" s="3"/>
      <c r="AU50" s="51"/>
      <c r="AV50" s="51"/>
      <c r="AW50" s="51"/>
      <c r="AX50" s="51"/>
      <c r="AY50" s="51"/>
      <c r="BA50" s="34"/>
    </row>
    <row r="51" spans="1:54" x14ac:dyDescent="0.35">
      <c r="E51" t="s">
        <v>431</v>
      </c>
      <c r="G51" t="str">
        <f>nominal</f>
        <v>£m nominal</v>
      </c>
      <c r="AU51" s="152">
        <f>AU48*AU43</f>
        <v>128.614759595045</v>
      </c>
      <c r="AV51" s="12">
        <f t="shared" ref="AV51:AY51" si="27">AV48*AV43</f>
        <v>132.18849498406252</v>
      </c>
      <c r="AW51" s="12">
        <f t="shared" si="27"/>
        <v>135.43334775248888</v>
      </c>
      <c r="AX51" s="12">
        <f t="shared" si="27"/>
        <v>138.55339766362658</v>
      </c>
      <c r="AY51" s="12">
        <f t="shared" si="27"/>
        <v>141.15008287224583</v>
      </c>
      <c r="BA51" s="34" t="str">
        <f t="shared" ca="1" si="2"/>
        <v>Return&amp;RAV</v>
      </c>
      <c r="BB51" s="1" t="str">
        <f>$A$42</f>
        <v>RAV Return</v>
      </c>
    </row>
    <row r="52" spans="1:54" x14ac:dyDescent="0.35">
      <c r="E52" t="s">
        <v>431</v>
      </c>
      <c r="G52" t="str">
        <f>price_label</f>
        <v>£m 23/24 prices</v>
      </c>
      <c r="AU52" s="152">
        <f>AU51/PCf</f>
        <v>117.39482078396843</v>
      </c>
      <c r="AV52" s="12">
        <f>AV51/PCf</f>
        <v>118.13339786838579</v>
      </c>
      <c r="AW52" s="12">
        <f>AW51/PCf</f>
        <v>118.51857362514889</v>
      </c>
      <c r="AX52" s="12">
        <f>AX51/PCf</f>
        <v>118.74704593934203</v>
      </c>
      <c r="AY52" s="12">
        <f>AY51/PCf</f>
        <v>118.44762968070761</v>
      </c>
      <c r="BA52" s="34" t="str">
        <f t="shared" ca="1" si="2"/>
        <v>Return&amp;RAV</v>
      </c>
      <c r="BB52" s="1" t="str">
        <f>$A$42</f>
        <v>RAV Return</v>
      </c>
    </row>
    <row r="53" spans="1:54" x14ac:dyDescent="0.35"/>
    <row r="54" spans="1:54" ht="20" thickBot="1" x14ac:dyDescent="0.5">
      <c r="A54" s="13" t="s">
        <v>386</v>
      </c>
    </row>
    <row r="55" spans="1:54" x14ac:dyDescent="0.35"/>
    <row r="56" spans="1:54" x14ac:dyDescent="0.35"/>
  </sheetData>
  <phoneticPr fontId="7" type="noConversion"/>
  <conditionalFormatting sqref="H1">
    <cfRule type="cellIs" dxfId="8" priority="1" operator="equal">
      <formula>"ERROR"</formula>
    </cfRule>
  </conditionalFormatting>
  <pageMargins left="0.7" right="0.7" top="0.75" bottom="0.75" header="0.3" footer="0.3"/>
  <pageSetup paperSize="9" orientation="portrait" r:id="rId1"/>
  <headerFooter>
    <oddHeader>&amp;L&amp;"Aptos"&amp;10&amp;K000000 Classified as Internal&amp;1#_x000D_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9217" r:id="rId4" name="Drop Down 1">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11013-2B51-48D9-83AD-5F5CC83A04C5}">
  <sheetPr codeName="Sheet8">
    <tabColor rgb="FFBAA0CC"/>
    <pageSetUpPr autoPageBreaks="0"/>
  </sheetPr>
  <dimension ref="A1:BF110"/>
  <sheetViews>
    <sheetView zoomScaleNormal="100" workbookViewId="0">
      <pane xSplit="45" ySplit="4" topLeftCell="AT5" activePane="bottomRight" state="frozen"/>
      <selection pane="topRight" activeCell="AT1" sqref="AT1"/>
      <selection pane="bottomLeft" activeCell="A5" sqref="A5"/>
      <selection pane="bottomRight"/>
    </sheetView>
  </sheetViews>
  <sheetFormatPr defaultColWidth="0" defaultRowHeight="16" zeroHeight="1" outlineLevelRow="1" outlineLevelCol="1" x14ac:dyDescent="0.35"/>
  <cols>
    <col min="1" max="3" width="1.90625" customWidth="1"/>
    <col min="4" max="4" width="15.6328125" customWidth="1"/>
    <col min="5" max="5" width="65.6328125" customWidth="1"/>
    <col min="6" max="6" width="8.6328125" customWidth="1"/>
    <col min="7" max="7" width="17.6328125" customWidth="1"/>
    <col min="8" max="8" width="9.6328125" customWidth="1"/>
    <col min="9" max="9" width="11.6328125" customWidth="1"/>
    <col min="10" max="10" width="2.08984375" customWidth="1"/>
    <col min="11" max="45" width="11.6328125" hidden="1" customWidth="1" outlineLevel="1"/>
    <col min="46" max="46" width="11.6328125" style="61" customWidth="1" collapsed="1"/>
    <col min="47" max="51" width="11.6328125" customWidth="1"/>
    <col min="52" max="52" width="18.6328125" customWidth="1"/>
    <col min="53" max="55" width="10.6328125" style="1" customWidth="1"/>
    <col min="56" max="57" width="10.6328125" customWidth="1"/>
    <col min="58" max="58" width="1.6328125" style="6" customWidth="1"/>
    <col min="59" max="16384" width="9.08984375" hidden="1"/>
  </cols>
  <sheetData>
    <row r="1" spans="1:56" s="90" customFormat="1" x14ac:dyDescent="0.35">
      <c r="A1" s="95" t="str" cm="1">
        <f t="array" aca="1" ref="A1" ca="1">MID(CELL("filename",$A$1),FIND("]",CELL("filename",$A$1))+1,255)</f>
        <v>TaxPools</v>
      </c>
      <c r="E1" s="107"/>
      <c r="G1" s="90" t="s">
        <v>572</v>
      </c>
      <c r="H1" s="27" t="e">
        <f>Checks!I7</f>
        <v>#REF!</v>
      </c>
      <c r="AT1" s="96"/>
    </row>
    <row r="2" spans="1:56" s="90" customFormat="1" ht="15" customHeight="1" x14ac:dyDescent="0.35">
      <c r="AT2" s="96"/>
    </row>
    <row r="3" spans="1:56" s="90" customFormat="1" ht="15" customHeight="1" x14ac:dyDescent="0.35">
      <c r="E3" s="90" t="s">
        <v>1</v>
      </c>
      <c r="F3" s="90" t="s">
        <v>2</v>
      </c>
      <c r="G3" s="90" t="s">
        <v>3</v>
      </c>
      <c r="H3" s="90" t="s">
        <v>4</v>
      </c>
      <c r="I3" s="90" t="s">
        <v>5</v>
      </c>
      <c r="AT3" s="96"/>
      <c r="AU3" s="90" t="s">
        <v>6</v>
      </c>
    </row>
    <row r="4" spans="1:56" s="90" customFormat="1" ht="15" customHeight="1" x14ac:dyDescent="0.35">
      <c r="D4" s="92" t="s">
        <v>459</v>
      </c>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92" t="s">
        <v>591</v>
      </c>
      <c r="BB4" s="92" t="s">
        <v>592</v>
      </c>
      <c r="BC4" s="92" t="s">
        <v>593</v>
      </c>
      <c r="BD4" s="92"/>
    </row>
    <row r="5" spans="1:56" x14ac:dyDescent="0.35">
      <c r="AP5" s="1"/>
      <c r="AQ5" s="1"/>
      <c r="AR5" s="1"/>
      <c r="AS5" s="1"/>
      <c r="AT5" s="71"/>
    </row>
    <row r="6" spans="1:56" ht="20" thickBot="1" x14ac:dyDescent="0.5">
      <c r="A6" s="13" t="s">
        <v>484</v>
      </c>
      <c r="AP6" s="1"/>
      <c r="AQ6" s="1"/>
      <c r="AR6" s="1"/>
      <c r="AS6" s="1"/>
      <c r="AT6" s="71"/>
      <c r="AU6" s="1"/>
      <c r="AV6" s="1"/>
      <c r="AW6" s="1"/>
      <c r="AX6" s="1"/>
      <c r="AY6" s="1"/>
    </row>
    <row r="7" spans="1:56" ht="16.5" outlineLevel="1" thickTop="1" x14ac:dyDescent="0.35">
      <c r="D7" s="1" t="str" cm="1">
        <f t="array" aca="1" ref="D7" ca="1">IFERROR(MID(_xlfn.FORMULATEXT(I7),FIND("=",_xlfn.FORMULATEXT(I7))+1,FIND("!",_xlfn.FORMULATEXT(I7))-2),MID(_xlfn.FORMULATEXT(INDEX(L7:AV7,MATCH(FALSE,ISBLANK(L7:AV7),0))),FIND("=",_xlfn.FORMULATEXT(INDEX(L7:AV7,MATCH(FALSE,ISBLANK(L7:AV7),0))))+1,FIND("!",_xlfn.FORMULATEXT(INDEX(L7:AV7,MATCH(FALSE,ISBLANK(L7:AV7),0))))-2))</f>
        <v>Totex</v>
      </c>
      <c r="E7" t="s">
        <v>11</v>
      </c>
      <c r="G7" t="str">
        <f>price_label</f>
        <v>£m 23/24 prices</v>
      </c>
      <c r="AU7" s="148">
        <f>Totex!AU80</f>
        <v>7.6143037918343746</v>
      </c>
      <c r="AV7" s="50">
        <f>Totex!AV80</f>
        <v>7.1280186981753131</v>
      </c>
      <c r="AW7" s="50">
        <f>Totex!AW80</f>
        <v>6.6705142400857698</v>
      </c>
      <c r="AX7" s="50">
        <f>Totex!AX80</f>
        <v>6.6869166496186097</v>
      </c>
      <c r="AY7" s="50">
        <f>Totex!AY80</f>
        <v>6.8154219946426151</v>
      </c>
      <c r="BA7" s="34"/>
    </row>
    <row r="8" spans="1:56" outlineLevel="1" x14ac:dyDescent="0.35">
      <c r="D8" s="1" t="str" cm="1">
        <f t="array" aca="1" ref="D8" ca="1">IFERROR(MID(_xlfn.FORMULATEXT(I8),FIND("=",_xlfn.FORMULATEXT(I8))+1,FIND("!",_xlfn.FORMULATEXT(I8))-2),MID(_xlfn.FORMULATEXT(INDEX(L8:AV8,MATCH(FALSE,ISBLANK(L8:AV8),0))),FIND("=",_xlfn.FORMULATEXT(INDEX(L8:AV8,MATCH(FALSE,ISBLANK(L8:AV8),0))))+1,FIND("!",_xlfn.FORMULATEXT(INDEX(L8:AV8,MATCH(FALSE,ISBLANK(L8:AV8),0))))-2))</f>
        <v>Totex</v>
      </c>
      <c r="E8" t="s">
        <v>817</v>
      </c>
      <c r="G8" t="str">
        <f>price_label</f>
        <v>£m 23/24 prices</v>
      </c>
      <c r="AU8" s="148">
        <f>Totex!AU81</f>
        <v>55.595104369152857</v>
      </c>
      <c r="AV8" s="50">
        <f>Totex!AV81</f>
        <v>63.821466017735254</v>
      </c>
      <c r="AW8" s="50">
        <f>Totex!AW81</f>
        <v>66.859538549061241</v>
      </c>
      <c r="AX8" s="50">
        <f>Totex!AX81</f>
        <v>53.735064406369297</v>
      </c>
      <c r="AY8" s="50">
        <f>Totex!AY81</f>
        <v>45.439685772859491</v>
      </c>
      <c r="BA8" s="34"/>
    </row>
    <row r="9" spans="1:56" outlineLevel="1" x14ac:dyDescent="0.35">
      <c r="D9" s="1" t="str" cm="1">
        <f t="array" aca="1" ref="D9" ca="1">IFERROR(MID(_xlfn.FORMULATEXT(I9),FIND("=",_xlfn.FORMULATEXT(I9))+1,FIND("!",_xlfn.FORMULATEXT(I9))-2),MID(_xlfn.FORMULATEXT(INDEX(L9:AV9,MATCH(FALSE,ISBLANK(L9:AV9),0))),FIND("=",_xlfn.FORMULATEXT(INDEX(L9:AV9,MATCH(FALSE,ISBLANK(L9:AV9),0))))+1,FIND("!",_xlfn.FORMULATEXT(INDEX(L9:AV9,MATCH(FALSE,ISBLANK(L9:AV9),0))))-2))</f>
        <v>Totex</v>
      </c>
      <c r="E9" t="s">
        <v>16</v>
      </c>
      <c r="G9" t="str">
        <f>price_label</f>
        <v>£m 23/24 prices</v>
      </c>
      <c r="AU9" s="148">
        <f>Totex!AU82</f>
        <v>24.071744166948285</v>
      </c>
      <c r="AV9" s="50">
        <f>Totex!AV82</f>
        <v>21.885724305323308</v>
      </c>
      <c r="AW9" s="50">
        <f>Totex!AW82</f>
        <v>21.585665075318726</v>
      </c>
      <c r="AX9" s="50">
        <f>Totex!AX82</f>
        <v>24.837986985015121</v>
      </c>
      <c r="AY9" s="50">
        <f>Totex!AY82</f>
        <v>22.769454314640747</v>
      </c>
      <c r="BA9" s="34"/>
    </row>
    <row r="10" spans="1:56" outlineLevel="1" x14ac:dyDescent="0.35">
      <c r="D10" s="1" t="str" cm="1">
        <f t="array" aca="1" ref="D10" ca="1">IFERROR(MID(_xlfn.FORMULATEXT(I10),FIND("=",_xlfn.FORMULATEXT(I10))+1,FIND("!",_xlfn.FORMULATEXT(I10))-2),MID(_xlfn.FORMULATEXT(INDEX(L10:AV10,MATCH(FALSE,ISBLANK(L10:AV10),0))),FIND("=",_xlfn.FORMULATEXT(INDEX(L10:AV10,MATCH(FALSE,ISBLANK(L10:AV10),0))))+1,FIND("!",_xlfn.FORMULATEXT(INDEX(L10:AV10,MATCH(FALSE,ISBLANK(L10:AV10),0))))-2))</f>
        <v>Totex</v>
      </c>
      <c r="E10" t="s">
        <v>818</v>
      </c>
      <c r="G10" t="str">
        <f>price_label</f>
        <v>£m 23/24 prices</v>
      </c>
      <c r="AU10" s="148">
        <f>Totex!AU83</f>
        <v>89.889181129373952</v>
      </c>
      <c r="AV10" s="50">
        <f>Totex!AV83</f>
        <v>90.882195724326166</v>
      </c>
      <c r="AW10" s="50">
        <f>Totex!AW83</f>
        <v>91.10469213124307</v>
      </c>
      <c r="AX10" s="50">
        <f>Totex!AX83</f>
        <v>90.670046709596207</v>
      </c>
      <c r="AY10" s="50">
        <f>Totex!AY83</f>
        <v>90.626954850913307</v>
      </c>
      <c r="BA10" s="34"/>
    </row>
    <row r="11" spans="1:56" outlineLevel="1" x14ac:dyDescent="0.35">
      <c r="D11" s="1" t="str" cm="1">
        <f t="array" aca="1" ref="D11" ca="1">IFERROR(MID(_xlfn.FORMULATEXT(I11),FIND("=",_xlfn.FORMULATEXT(I11))+1,FIND("!",_xlfn.FORMULATEXT(I11))-2),MID(_xlfn.FORMULATEXT(INDEX(L11:AV11,MATCH(FALSE,ISBLANK(L11:AV11),0))),FIND("=",_xlfn.FORMULATEXT(INDEX(L11:AV11,MATCH(FALSE,ISBLANK(L11:AV11),0))))+1,FIND("!",_xlfn.FORMULATEXT(INDEX(L11:AV11,MATCH(FALSE,ISBLANK(L11:AV11),0))))-2))</f>
        <v>Totex</v>
      </c>
      <c r="E11" t="s">
        <v>402</v>
      </c>
      <c r="G11" t="str">
        <f>price_label</f>
        <v>£m 23/24 prices</v>
      </c>
      <c r="AU11" s="148">
        <f>Totex!AU84</f>
        <v>82.561096335585418</v>
      </c>
      <c r="AV11" s="50">
        <f>Totex!AV84</f>
        <v>88.081558418321379</v>
      </c>
      <c r="AW11" s="50">
        <f>Totex!AW84</f>
        <v>84.887332022054224</v>
      </c>
      <c r="AX11" s="50">
        <f>Totex!AX84</f>
        <v>81.225345218962659</v>
      </c>
      <c r="AY11" s="50">
        <f>Totex!AY84</f>
        <v>78.880792013280498</v>
      </c>
      <c r="BA11" s="34"/>
    </row>
    <row r="12" spans="1:56" outlineLevel="1" x14ac:dyDescent="0.35">
      <c r="BA12" s="34"/>
    </row>
    <row r="13" spans="1:56" outlineLevel="1" x14ac:dyDescent="0.35">
      <c r="D13" s="1" t="str" cm="1">
        <f t="array" aca="1" ref="D13" ca="1">IFERROR(MID(_xlfn.FORMULATEXT(I13),FIND("=",_xlfn.FORMULATEXT(I13))+1,FIND("!",_xlfn.FORMULATEXT(I13))-2),MID(_xlfn.FORMULATEXT(INDEX(L13:AV13,MATCH(FALSE,ISBLANK(L13:AV13),0))),FIND("=",_xlfn.FORMULATEXT(INDEX(L13:AV13,MATCH(FALSE,ISBLANK(L13:AV13),0))))+1,FIND("!",_xlfn.FORMULATEXT(INDEX(L13:AV13,MATCH(FALSE,ISBLANK(L13:AV13),0))))-2))</f>
        <v>Transform</v>
      </c>
      <c r="E13" t="s">
        <v>244</v>
      </c>
      <c r="G13" t="str">
        <f>price_label</f>
        <v>£m 23/24 prices</v>
      </c>
      <c r="AU13" s="148">
        <f>Transform!AU81</f>
        <v>88.217121756009078</v>
      </c>
      <c r="AV13" s="50">
        <f>Transform!AV81</f>
        <v>93.899136140797623</v>
      </c>
      <c r="AW13" s="50">
        <f>Transform!AW81</f>
        <v>94.420567416011451</v>
      </c>
      <c r="AX13" s="50">
        <f>Transform!AX81</f>
        <v>95.604557557967112</v>
      </c>
      <c r="AY13" s="50">
        <f>Transform!AY81</f>
        <v>95.366089830296715</v>
      </c>
    </row>
    <row r="14" spans="1:56" outlineLevel="1" x14ac:dyDescent="0.35">
      <c r="D14" s="1" t="str" cm="1">
        <f t="array" aca="1" ref="D14" ca="1">IFERROR(MID(_xlfn.FORMULATEXT(I14),FIND("=",_xlfn.FORMULATEXT(I14))+1,FIND("!",_xlfn.FORMULATEXT(I14))-2),MID(_xlfn.FORMULATEXT(INDEX(L14:AV14,MATCH(FALSE,ISBLANK(L14:AV14),0))),FIND("=",_xlfn.FORMULATEXT(INDEX(L14:AV14,MATCH(FALSE,ISBLANK(L14:AV14),0))))+1,FIND("!",_xlfn.FORMULATEXT(INDEX(L14:AV14,MATCH(FALSE,ISBLANK(L14:AV14),0))))-2))</f>
        <v>Transform</v>
      </c>
      <c r="E14" t="s">
        <v>422</v>
      </c>
      <c r="G14" t="str">
        <f>price_label</f>
        <v>£m 23/24 prices</v>
      </c>
      <c r="AU14" s="148">
        <f>Transform!AU91</f>
        <v>7.1760000000000002</v>
      </c>
      <c r="AV14" s="50">
        <f>Transform!AV91</f>
        <v>7.1760000000000002</v>
      </c>
      <c r="AW14" s="50">
        <f>Transform!AW91</f>
        <v>7.1760000000000002</v>
      </c>
      <c r="AX14" s="50">
        <f>Transform!AX91</f>
        <v>7.1760000000000002</v>
      </c>
      <c r="AY14" s="50">
        <f>Transform!AY91</f>
        <v>7.1760000000000002</v>
      </c>
    </row>
    <row r="15" spans="1:56" outlineLevel="1" x14ac:dyDescent="0.35">
      <c r="D15" s="1"/>
    </row>
    <row r="16" spans="1:56" outlineLevel="1" x14ac:dyDescent="0.35">
      <c r="D16" s="1" t="str" cm="1">
        <f t="array" aca="1" ref="D16" ca="1">IFERROR(MID(_xlfn.FORMULATEXT(I16),FIND("=",_xlfn.FORMULATEXT(I16))+1,FIND("!",_xlfn.FORMULATEXT(I16))-2),MID(_xlfn.FORMULATEXT(INDEX(L16:AV16,MATCH(FALSE,ISBLANK(L16:AV16),0))),FIND("=",_xlfn.FORMULATEXT(INDEX(L16:AV16,MATCH(FALSE,ISBLANK(L16:AV16),0))))+1,FIND("!",_xlfn.FORMULATEXT(INDEX(L16:AV16,MATCH(FALSE,ISBLANK(L16:AV16),0))))-2))</f>
        <v>Transform</v>
      </c>
      <c r="E16" t="s">
        <v>108</v>
      </c>
      <c r="G16" t="s">
        <v>109</v>
      </c>
      <c r="AU16" s="149">
        <f>Transform!AU114</f>
        <v>8.1561323845346964E-2</v>
      </c>
      <c r="AV16" s="53">
        <f>Transform!AV114</f>
        <v>8.7089942158051284E-2</v>
      </c>
      <c r="AW16" s="53">
        <f>Transform!AW114</f>
        <v>7.5902892928816718E-2</v>
      </c>
      <c r="AX16" s="53">
        <f>Transform!AX114</f>
        <v>6.1819489363919441E-2</v>
      </c>
      <c r="AY16" s="53">
        <f>Transform!AY114</f>
        <v>6.2364469171817052E-2</v>
      </c>
    </row>
    <row r="17" spans="1:51" outlineLevel="1" x14ac:dyDescent="0.35">
      <c r="D17" s="1" t="str" cm="1">
        <f t="array" aca="1" ref="D17" ca="1">IFERROR(MID(_xlfn.FORMULATEXT(I17),FIND("=",_xlfn.FORMULATEXT(I17))+1,FIND("!",_xlfn.FORMULATEXT(I17))-2),MID(_xlfn.FORMULATEXT(INDEX(L17:AV17,MATCH(FALSE,ISBLANK(L17:AV17),0))),FIND("=",_xlfn.FORMULATEXT(INDEX(L17:AV17,MATCH(FALSE,ISBLANK(L17:AV17),0))))+1,FIND("!",_xlfn.FORMULATEXT(INDEX(L17:AV17,MATCH(FALSE,ISBLANK(L17:AV17),0))))-2))</f>
        <v>Transform</v>
      </c>
      <c r="E17" t="s">
        <v>111</v>
      </c>
      <c r="G17" t="s">
        <v>109</v>
      </c>
      <c r="AU17" s="149">
        <f>Transform!AU115</f>
        <v>0.13333945479379639</v>
      </c>
      <c r="AV17" s="53">
        <f>Transform!AV115</f>
        <v>0.1451889645796422</v>
      </c>
      <c r="AW17" s="53">
        <f>Transform!AW115</f>
        <v>0.16448943406379332</v>
      </c>
      <c r="AX17" s="53">
        <f>Transform!AX115</f>
        <v>0.14070885065760691</v>
      </c>
      <c r="AY17" s="53">
        <f>Transform!AY115</f>
        <v>0.12033246756929508</v>
      </c>
    </row>
    <row r="18" spans="1:51" outlineLevel="1" x14ac:dyDescent="0.35">
      <c r="D18" s="1" t="str" cm="1">
        <f t="array" aca="1" ref="D18" ca="1">IFERROR(MID(_xlfn.FORMULATEXT(I18),FIND("=",_xlfn.FORMULATEXT(I18))+1,FIND("!",_xlfn.FORMULATEXT(I18))-2),MID(_xlfn.FORMULATEXT(INDEX(L18:AV18,MATCH(FALSE,ISBLANK(L18:AV18),0))),FIND("=",_xlfn.FORMULATEXT(INDEX(L18:AV18,MATCH(FALSE,ISBLANK(L18:AV18),0))))+1,FIND("!",_xlfn.FORMULATEXT(INDEX(L18:AV18,MATCH(FALSE,ISBLANK(L18:AV18),0))))-2))</f>
        <v>Transform</v>
      </c>
      <c r="E18" t="s">
        <v>113</v>
      </c>
      <c r="G18" t="s">
        <v>109</v>
      </c>
      <c r="AU18" s="149">
        <f>Transform!AU116</f>
        <v>1.9566713603510213E-3</v>
      </c>
      <c r="AV18" s="53">
        <f>Transform!AV116</f>
        <v>1.7995172739703102E-3</v>
      </c>
      <c r="AW18" s="53">
        <f>Transform!AW116</f>
        <v>1.8407843966143527E-3</v>
      </c>
      <c r="AX18" s="53">
        <f>Transform!AX116</f>
        <v>2.0750456018522705E-3</v>
      </c>
      <c r="AY18" s="53">
        <f>Transform!AY116</f>
        <v>2.0576989492834424E-3</v>
      </c>
    </row>
    <row r="19" spans="1:51" outlineLevel="1" x14ac:dyDescent="0.35">
      <c r="D19" s="1" t="str" cm="1">
        <f t="array" aca="1" ref="D19" ca="1">IFERROR(MID(_xlfn.FORMULATEXT(I19),FIND("=",_xlfn.FORMULATEXT(I19))+1,FIND("!",_xlfn.FORMULATEXT(I19))-2),MID(_xlfn.FORMULATEXT(INDEX(L19:AV19,MATCH(FALSE,ISBLANK(L19:AV19),0))),FIND("=",_xlfn.FORMULATEXT(INDEX(L19:AV19,MATCH(FALSE,ISBLANK(L19:AV19),0))))+1,FIND("!",_xlfn.FORMULATEXT(INDEX(L19:AV19,MATCH(FALSE,ISBLANK(L19:AV19),0))))-2))</f>
        <v>Transform</v>
      </c>
      <c r="E19" t="s">
        <v>115</v>
      </c>
      <c r="G19" t="s">
        <v>109</v>
      </c>
      <c r="AU19" s="149">
        <f>Transform!AU117</f>
        <v>0.34534530932312468</v>
      </c>
      <c r="AV19" s="53">
        <f>Transform!AV117</f>
        <v>0.35172599517235781</v>
      </c>
      <c r="AW19" s="53">
        <f>Transform!AW117</f>
        <v>0.34065046551220723</v>
      </c>
      <c r="AX19" s="53">
        <f>Transform!AX117</f>
        <v>0.34337430315509987</v>
      </c>
      <c r="AY19" s="53">
        <f>Transform!AY117</f>
        <v>0.34916832967707528</v>
      </c>
    </row>
    <row r="20" spans="1:51" outlineLevel="1" x14ac:dyDescent="0.35">
      <c r="A20" s="1"/>
      <c r="D20" s="1" t="str" cm="1">
        <f t="array" aca="1" ref="D20" ca="1">IFERROR(MID(_xlfn.FORMULATEXT(I20),FIND("=",_xlfn.FORMULATEXT(I20))+1,FIND("!",_xlfn.FORMULATEXT(I20))-2),MID(_xlfn.FORMULATEXT(INDEX(L20:AV20,MATCH(FALSE,ISBLANK(L20:AV20),0))),FIND("=",_xlfn.FORMULATEXT(INDEX(L20:AV20,MATCH(FALSE,ISBLANK(L20:AV20),0))))+1,FIND("!",_xlfn.FORMULATEXT(INDEX(L20:AV20,MATCH(FALSE,ISBLANK(L20:AV20),0))))-2))</f>
        <v>Transform</v>
      </c>
      <c r="E20" t="s">
        <v>119</v>
      </c>
      <c r="G20" t="s">
        <v>109</v>
      </c>
      <c r="AU20" s="149">
        <f>Transform!AU118</f>
        <v>5.6027900865573861E-3</v>
      </c>
      <c r="AV20" s="53">
        <f>Transform!AV118</f>
        <v>5.0010266472562291E-3</v>
      </c>
      <c r="AW20" s="53">
        <f>Transform!AW118</f>
        <v>6.9576753718335067E-3</v>
      </c>
      <c r="AX20" s="53">
        <f>Transform!AX118</f>
        <v>5.3157505082448734E-3</v>
      </c>
      <c r="AY20" s="53">
        <f>Transform!AY118</f>
        <v>4.972693850937333E-3</v>
      </c>
    </row>
    <row r="21" spans="1:51" outlineLevel="1" x14ac:dyDescent="0.35">
      <c r="D21" s="1" t="str" cm="1">
        <f t="array" aca="1" ref="D21" ca="1">IFERROR(MID(_xlfn.FORMULATEXT(I21),FIND("=",_xlfn.FORMULATEXT(I21))+1,FIND("!",_xlfn.FORMULATEXT(I21))-2),MID(_xlfn.FORMULATEXT(INDEX(L21:AV21,MATCH(FALSE,ISBLANK(L21:AV21),0))),FIND("=",_xlfn.FORMULATEXT(INDEX(L21:AV21,MATCH(FALSE,ISBLANK(L21:AV21),0))))+1,FIND("!",_xlfn.FORMULATEXT(INDEX(L21:AV21,MATCH(FALSE,ISBLANK(L21:AV21),0))))-2))</f>
        <v>Transform</v>
      </c>
      <c r="E21" t="s">
        <v>117</v>
      </c>
      <c r="G21" t="s">
        <v>109</v>
      </c>
      <c r="AU21" s="149">
        <f>Transform!AU119</f>
        <v>0.43219445059082356</v>
      </c>
      <c r="AV21" s="53">
        <f>Transform!AV119</f>
        <v>0.4091945541687223</v>
      </c>
      <c r="AW21" s="53">
        <f>Transform!AW119</f>
        <v>0.41015874772673477</v>
      </c>
      <c r="AX21" s="53">
        <f>Transform!AX119</f>
        <v>0.44670656071327663</v>
      </c>
      <c r="AY21" s="53">
        <f>Transform!AY119</f>
        <v>0.4611043407815919</v>
      </c>
    </row>
    <row r="22" spans="1:51" outlineLevel="1" x14ac:dyDescent="0.35"/>
    <row r="23" spans="1:51" outlineLevel="1" x14ac:dyDescent="0.35">
      <c r="D23" s="1" t="str" cm="1">
        <f t="array" aca="1" ref="D23" ca="1">IFERROR(MID(_xlfn.FORMULATEXT(I23),FIND("=",_xlfn.FORMULATEXT(I23))+1,FIND("!",_xlfn.FORMULATEXT(I23))-2),MID(_xlfn.FORMULATEXT(INDEX(L23:AV23,MATCH(FALSE,ISBLANK(L23:AV23),0))),FIND("=",_xlfn.FORMULATEXT(INDEX(L23:AV23,MATCH(FALSE,ISBLANK(L23:AV23),0))))+1,FIND("!",_xlfn.FORMULATEXT(INDEX(L23:AV23,MATCH(FALSE,ISBLANK(L23:AV23),0))))-2))</f>
        <v>Transform</v>
      </c>
      <c r="E23" t="s">
        <v>99</v>
      </c>
      <c r="G23" t="str">
        <f t="shared" ref="G23:G37" si="0">nominal</f>
        <v>£m nominal</v>
      </c>
      <c r="AU23" s="148">
        <f>Transform!AU94</f>
        <v>48.018793862574022</v>
      </c>
    </row>
    <row r="24" spans="1:51" outlineLevel="1" x14ac:dyDescent="0.35">
      <c r="D24" s="1" t="str" cm="1">
        <f t="array" aca="1" ref="D24" ca="1">IFERROR(MID(_xlfn.FORMULATEXT(I24),FIND("=",_xlfn.FORMULATEXT(I24))+1,FIND("!",_xlfn.FORMULATEXT(I24))-2),MID(_xlfn.FORMULATEXT(INDEX(L24:AV24,MATCH(FALSE,ISBLANK(L24:AV24),0))),FIND("=",_xlfn.FORMULATEXT(INDEX(L24:AV24,MATCH(FALSE,ISBLANK(L24:AV24),0))))+1,FIND("!",_xlfn.FORMULATEXT(INDEX(L24:AV24,MATCH(FALSE,ISBLANK(L24:AV24),0))))-2))</f>
        <v>Transform</v>
      </c>
      <c r="E24" t="s">
        <v>405</v>
      </c>
      <c r="G24" t="str">
        <f>nominal</f>
        <v>£m nominal</v>
      </c>
      <c r="AU24" s="148">
        <f>Transform!AU95</f>
        <v>0</v>
      </c>
    </row>
    <row r="25" spans="1:51" outlineLevel="1" x14ac:dyDescent="0.35">
      <c r="D25" s="1" t="str" cm="1">
        <f t="array" aca="1" ref="D25" ca="1">IFERROR(MID(_xlfn.FORMULATEXT(I25),FIND("=",_xlfn.FORMULATEXT(I25))+1,FIND("!",_xlfn.FORMULATEXT(I25))-2),MID(_xlfn.FORMULATEXT(INDEX(L25:AV25,MATCH(FALSE,ISBLANK(L25:AV25),0))),FIND("=",_xlfn.FORMULATEXT(INDEX(L25:AV25,MATCH(FALSE,ISBLANK(L25:AV25),0))))+1,FIND("!",_xlfn.FORMULATEXT(INDEX(L25:AV25,MATCH(FALSE,ISBLANK(L25:AV25),0))))-2))</f>
        <v>Transform</v>
      </c>
      <c r="E25" t="s">
        <v>410</v>
      </c>
      <c r="G25" t="s">
        <v>109</v>
      </c>
      <c r="AU25" s="149">
        <f>Transform!AU96</f>
        <v>1</v>
      </c>
      <c r="AV25" s="53">
        <f>Transform!AV96</f>
        <v>1</v>
      </c>
      <c r="AW25" s="53">
        <f>Transform!AW96</f>
        <v>1</v>
      </c>
      <c r="AX25" s="53">
        <f>Transform!AX96</f>
        <v>1</v>
      </c>
      <c r="AY25" s="53">
        <f>Transform!AY96</f>
        <v>1</v>
      </c>
    </row>
    <row r="26" spans="1:51" outlineLevel="1" x14ac:dyDescent="0.35">
      <c r="D26" s="1" t="str" cm="1">
        <f t="array" aca="1" ref="D26" ca="1">IFERROR(MID(_xlfn.FORMULATEXT(I26),FIND("=",_xlfn.FORMULATEXT(I26))+1,FIND("!",_xlfn.FORMULATEXT(I26))-2),MID(_xlfn.FORMULATEXT(INDEX(L26:AV26,MATCH(FALSE,ISBLANK(L26:AV26),0))),FIND("=",_xlfn.FORMULATEXT(INDEX(L26:AV26,MATCH(FALSE,ISBLANK(L26:AV26),0))))+1,FIND("!",_xlfn.FORMULATEXT(INDEX(L26:AV26,MATCH(FALSE,ISBLANK(L26:AV26),0))))-2))</f>
        <v>Transform</v>
      </c>
      <c r="E26" t="s">
        <v>212</v>
      </c>
      <c r="G26" t="s">
        <v>109</v>
      </c>
      <c r="J26" s="1"/>
      <c r="AU26" s="149">
        <f>Transform!AU97</f>
        <v>0.14000000000000001</v>
      </c>
      <c r="AV26" s="53">
        <f>Transform!AV97</f>
        <v>0.14000000000000001</v>
      </c>
      <c r="AW26" s="53">
        <f>Transform!AW97</f>
        <v>0.14000000000000001</v>
      </c>
      <c r="AX26" s="53">
        <f>Transform!AX97</f>
        <v>0.14000000000000001</v>
      </c>
      <c r="AY26" s="53">
        <f>Transform!AY97</f>
        <v>0.14000000000000001</v>
      </c>
    </row>
    <row r="27" spans="1:51" outlineLevel="1" x14ac:dyDescent="0.35">
      <c r="D27" s="1" t="str" cm="1">
        <f t="array" aca="1" ref="D27" ca="1">IFERROR(MID(_xlfn.FORMULATEXT(I27),FIND("=",_xlfn.FORMULATEXT(I27))+1,FIND("!",_xlfn.FORMULATEXT(I27))-2),MID(_xlfn.FORMULATEXT(INDEX(L27:AV27,MATCH(FALSE,ISBLANK(L27:AV27),0))),FIND("=",_xlfn.FORMULATEXT(INDEX(L27:AV27,MATCH(FALSE,ISBLANK(L27:AV27),0))))+1,FIND("!",_xlfn.FORMULATEXT(INDEX(L27:AV27,MATCH(FALSE,ISBLANK(L27:AV27),0))))-2))</f>
        <v>Transform</v>
      </c>
      <c r="E27" t="s">
        <v>411</v>
      </c>
      <c r="G27" t="s">
        <v>109</v>
      </c>
      <c r="AU27" s="149">
        <f>Transform!AU98</f>
        <v>1</v>
      </c>
      <c r="AV27" s="53">
        <f>Transform!AV98</f>
        <v>1</v>
      </c>
      <c r="AW27" s="53">
        <f>Transform!AW98</f>
        <v>1</v>
      </c>
      <c r="AX27" s="53">
        <f>Transform!AX98</f>
        <v>1</v>
      </c>
      <c r="AY27" s="53">
        <f>Transform!AY98</f>
        <v>1</v>
      </c>
    </row>
    <row r="28" spans="1:51" outlineLevel="1" x14ac:dyDescent="0.35">
      <c r="D28" s="1" t="str" cm="1">
        <f t="array" aca="1" ref="D28" ca="1">IFERROR(MID(_xlfn.FORMULATEXT(I28),FIND("=",_xlfn.FORMULATEXT(I28))+1,FIND("!",_xlfn.FORMULATEXT(I28))-2),MID(_xlfn.FORMULATEXT(INDEX(L28:AV28,MATCH(FALSE,ISBLANK(L28:AV28),0))),FIND("=",_xlfn.FORMULATEXT(INDEX(L28:AV28,MATCH(FALSE,ISBLANK(L28:AV28),0))))+1,FIND("!",_xlfn.FORMULATEXT(INDEX(L28:AV28,MATCH(FALSE,ISBLANK(L28:AV28),0))))-2))</f>
        <v>Transform</v>
      </c>
      <c r="E28" t="s">
        <v>806</v>
      </c>
      <c r="G28" t="str">
        <f t="shared" si="0"/>
        <v>£m nominal</v>
      </c>
      <c r="AU28" s="148">
        <f>Transform!AU100</f>
        <v>381.20025331433436</v>
      </c>
    </row>
    <row r="29" spans="1:51" outlineLevel="1" x14ac:dyDescent="0.35">
      <c r="D29" s="1" t="str" cm="1">
        <f t="array" aca="1" ref="D29" ca="1">IFERROR(MID(_xlfn.FORMULATEXT(I29),FIND("=",_xlfn.FORMULATEXT(I29))+1,FIND("!",_xlfn.FORMULATEXT(I29))-2),MID(_xlfn.FORMULATEXT(INDEX(L29:AV29,MATCH(FALSE,ISBLANK(L29:AV29),0))),FIND("=",_xlfn.FORMULATEXT(INDEX(L29:AV29,MATCH(FALSE,ISBLANK(L29:AV29),0))))+1,FIND("!",_xlfn.FORMULATEXT(INDEX(L29:AV29,MATCH(FALSE,ISBLANK(L29:AV29),0))))-2))</f>
        <v>Transform</v>
      </c>
      <c r="E29" t="s">
        <v>805</v>
      </c>
      <c r="G29" t="str">
        <f>nominal</f>
        <v>£m nominal</v>
      </c>
      <c r="AU29" s="148">
        <f>Transform!AU101</f>
        <v>0</v>
      </c>
    </row>
    <row r="30" spans="1:51" outlineLevel="1" x14ac:dyDescent="0.35">
      <c r="D30" s="1" t="str" cm="1">
        <f t="array" aca="1" ref="D30" ca="1">IFERROR(MID(_xlfn.FORMULATEXT(I30),FIND("=",_xlfn.FORMULATEXT(I30))+1,FIND("!",_xlfn.FORMULATEXT(I30))-2),MID(_xlfn.FORMULATEXT(INDEX(L30:AV30,MATCH(FALSE,ISBLANK(L30:AV30),0))),FIND("=",_xlfn.FORMULATEXT(INDEX(L30:AV30,MATCH(FALSE,ISBLANK(L30:AV30),0))))+1,FIND("!",_xlfn.FORMULATEXT(INDEX(L30:AV30,MATCH(FALSE,ISBLANK(L30:AV30),0))))-2))</f>
        <v>Transform</v>
      </c>
      <c r="E30" t="s">
        <v>807</v>
      </c>
      <c r="G30" t="s">
        <v>109</v>
      </c>
      <c r="AU30" s="149">
        <f>Transform!AU102</f>
        <v>1</v>
      </c>
      <c r="AV30" s="53">
        <f>Transform!AV102</f>
        <v>1</v>
      </c>
      <c r="AW30" s="53">
        <f>Transform!AW102</f>
        <v>1</v>
      </c>
      <c r="AX30" s="53">
        <f>Transform!AX102</f>
        <v>1</v>
      </c>
      <c r="AY30" s="53">
        <f>Transform!AY102</f>
        <v>1</v>
      </c>
    </row>
    <row r="31" spans="1:51" outlineLevel="1" x14ac:dyDescent="0.35">
      <c r="D31" s="1" t="str" cm="1">
        <f t="array" aca="1" ref="D31" ca="1">IFERROR(MID(_xlfn.FORMULATEXT(I31),FIND("=",_xlfn.FORMULATEXT(I31))+1,FIND("!",_xlfn.FORMULATEXT(I31))-2),MID(_xlfn.FORMULATEXT(INDEX(L31:AV31,MATCH(FALSE,ISBLANK(L31:AV31),0))),FIND("=",_xlfn.FORMULATEXT(INDEX(L31:AV31,MATCH(FALSE,ISBLANK(L31:AV31),0))))+1,FIND("!",_xlfn.FORMULATEXT(INDEX(L31:AV31,MATCH(FALSE,ISBLANK(L31:AV31),0))))-2))</f>
        <v>Transform</v>
      </c>
      <c r="E31" t="s">
        <v>813</v>
      </c>
      <c r="G31" t="s">
        <v>109</v>
      </c>
      <c r="AU31" s="149">
        <f>Transform!AU103</f>
        <v>0.06</v>
      </c>
      <c r="AV31" s="53">
        <f>Transform!AV103</f>
        <v>0.06</v>
      </c>
      <c r="AW31" s="53">
        <f>Transform!AW103</f>
        <v>0.06</v>
      </c>
      <c r="AX31" s="53">
        <f>Transform!AX103</f>
        <v>0.06</v>
      </c>
      <c r="AY31" s="53">
        <f>Transform!AY103</f>
        <v>0.06</v>
      </c>
    </row>
    <row r="32" spans="1:51" outlineLevel="1" x14ac:dyDescent="0.35">
      <c r="D32" s="1" t="str" cm="1">
        <f t="array" aca="1" ref="D32" ca="1">IFERROR(MID(_xlfn.FORMULATEXT(I32),FIND("=",_xlfn.FORMULATEXT(I32))+1,FIND("!",_xlfn.FORMULATEXT(I32))-2),MID(_xlfn.FORMULATEXT(INDEX(L32:AV32,MATCH(FALSE,ISBLANK(L32:AV32),0))),FIND("=",_xlfn.FORMULATEXT(INDEX(L32:AV32,MATCH(FALSE,ISBLANK(L32:AV32),0))))+1,FIND("!",_xlfn.FORMULATEXT(INDEX(L32:AV32,MATCH(FALSE,ISBLANK(L32:AV32),0))))-2))</f>
        <v>Transform</v>
      </c>
      <c r="E32" t="s">
        <v>812</v>
      </c>
      <c r="G32" t="s">
        <v>109</v>
      </c>
      <c r="AU32" s="149">
        <f>Transform!AU104</f>
        <v>0.5</v>
      </c>
      <c r="AV32" s="53">
        <f>Transform!AV104</f>
        <v>0.5</v>
      </c>
      <c r="AW32" s="53">
        <f>Transform!AW104</f>
        <v>0.5</v>
      </c>
      <c r="AX32" s="53">
        <f>Transform!AX104</f>
        <v>0.5</v>
      </c>
      <c r="AY32" s="53">
        <f>Transform!AY104</f>
        <v>0.5</v>
      </c>
    </row>
    <row r="33" spans="1:54" outlineLevel="1" x14ac:dyDescent="0.35">
      <c r="D33" s="1" t="str" cm="1">
        <f t="array" aca="1" ref="D33" ca="1">IFERROR(MID(_xlfn.FORMULATEXT(I33),FIND("=",_xlfn.FORMULATEXT(I33))+1,FIND("!",_xlfn.FORMULATEXT(I33))-2),MID(_xlfn.FORMULATEXT(INDEX(L33:AV33,MATCH(FALSE,ISBLANK(L33:AV33),0))),FIND("=",_xlfn.FORMULATEXT(INDEX(L33:AV33,MATCH(FALSE,ISBLANK(L33:AV33),0))))+1,FIND("!",_xlfn.FORMULATEXT(INDEX(L33:AV33,MATCH(FALSE,ISBLANK(L33:AV33),0))))-2))</f>
        <v>Transform</v>
      </c>
      <c r="E33" t="s">
        <v>808</v>
      </c>
      <c r="G33" t="str">
        <f t="shared" si="0"/>
        <v>£m nominal</v>
      </c>
      <c r="AU33" s="148">
        <f>Transform!AU106</f>
        <v>9.264760373136296</v>
      </c>
    </row>
    <row r="34" spans="1:54" outlineLevel="1" x14ac:dyDescent="0.35">
      <c r="D34" s="1" t="str" cm="1">
        <f t="array" aca="1" ref="D34" ca="1">IFERROR(MID(_xlfn.FORMULATEXT(I34),FIND("=",_xlfn.FORMULATEXT(I34))+1,FIND("!",_xlfn.FORMULATEXT(I34))-2),MID(_xlfn.FORMULATEXT(INDEX(L34:AV34,MATCH(FALSE,ISBLANK(L34:AV34),0))),FIND("=",_xlfn.FORMULATEXT(INDEX(L34:AV34,MATCH(FALSE,ISBLANK(L34:AV34),0))))+1,FIND("!",_xlfn.FORMULATEXT(INDEX(L34:AV34,MATCH(FALSE,ISBLANK(L34:AV34),0))))-2))</f>
        <v>Transform</v>
      </c>
      <c r="E34" t="s">
        <v>809</v>
      </c>
      <c r="G34" t="str">
        <f t="shared" si="0"/>
        <v>£m nominal</v>
      </c>
      <c r="J34" t="s">
        <v>13</v>
      </c>
      <c r="AT34" s="173">
        <f>Transform!AT107</f>
        <v>9.5605462024957468</v>
      </c>
    </row>
    <row r="35" spans="1:54" outlineLevel="1" x14ac:dyDescent="0.35">
      <c r="D35" s="1" t="str" cm="1">
        <f t="array" aca="1" ref="D35" ca="1">IFERROR(MID(_xlfn.FORMULATEXT(I35),FIND("=",_xlfn.FORMULATEXT(I35))+1,FIND("!",_xlfn.FORMULATEXT(I35))-2),MID(_xlfn.FORMULATEXT(INDEX(L35:AV35,MATCH(FALSE,ISBLANK(L35:AV35),0))),FIND("=",_xlfn.FORMULATEXT(INDEX(L35:AV35,MATCH(FALSE,ISBLANK(L35:AV35),0))))+1,FIND("!",_xlfn.FORMULATEXT(INDEX(L35:AV35,MATCH(FALSE,ISBLANK(L35:AV35),0))))-2))</f>
        <v>Transform</v>
      </c>
      <c r="E35" t="s">
        <v>814</v>
      </c>
      <c r="G35" t="s">
        <v>109</v>
      </c>
      <c r="AU35" s="149">
        <f>Transform!AU108</f>
        <v>0.03</v>
      </c>
      <c r="AV35" s="53">
        <f>Transform!AV108</f>
        <v>0.03</v>
      </c>
      <c r="AW35" s="53">
        <f>Transform!AW108</f>
        <v>0.03</v>
      </c>
      <c r="AX35" s="53">
        <f>Transform!AX108</f>
        <v>0.03</v>
      </c>
      <c r="AY35" s="53">
        <f>Transform!AY108</f>
        <v>0.03</v>
      </c>
    </row>
    <row r="36" spans="1:54" outlineLevel="1" x14ac:dyDescent="0.35">
      <c r="D36" s="1" t="str" cm="1">
        <f t="array" aca="1" ref="D36" ca="1">IFERROR(MID(_xlfn.FORMULATEXT(I36),FIND("=",_xlfn.FORMULATEXT(I36))+1,FIND("!",_xlfn.FORMULATEXT(I36))-2),MID(_xlfn.FORMULATEXT(INDEX(L36:AV36,MATCH(FALSE,ISBLANK(L36:AV36),0))),FIND("=",_xlfn.FORMULATEXT(INDEX(L36:AV36,MATCH(FALSE,ISBLANK(L36:AV36),0))))+1,FIND("!",_xlfn.FORMULATEXT(INDEX(L36:AV36,MATCH(FALSE,ISBLANK(L36:AV36),0))))-2))</f>
        <v>Transform</v>
      </c>
      <c r="E36" t="s">
        <v>810</v>
      </c>
      <c r="G36" t="str">
        <f t="shared" si="0"/>
        <v>£m nominal</v>
      </c>
      <c r="AU36" s="148">
        <f>Transform!AU110</f>
        <v>668.21849933633644</v>
      </c>
    </row>
    <row r="37" spans="1:54" outlineLevel="1" x14ac:dyDescent="0.35">
      <c r="D37" s="1" t="str" cm="1">
        <f t="array" aca="1" ref="D37" ca="1">IFERROR(MID(_xlfn.FORMULATEXT(I37),FIND("=",_xlfn.FORMULATEXT(I37))+1,FIND("!",_xlfn.FORMULATEXT(I37))-2),MID(_xlfn.FORMULATEXT(INDEX(L37:AV37,MATCH(FALSE,ISBLANK(L37:AV37),0))),FIND("=",_xlfn.FORMULATEXT(INDEX(L37:AV37,MATCH(FALSE,ISBLANK(L37:AV37),0))))+1,FIND("!",_xlfn.FORMULATEXT(INDEX(L37:AV37,MATCH(FALSE,ISBLANK(L37:AV37),0))))-2))</f>
        <v>Transform</v>
      </c>
      <c r="E37" t="s">
        <v>811</v>
      </c>
      <c r="G37" t="str">
        <f t="shared" si="0"/>
        <v>£m nominal</v>
      </c>
      <c r="J37" t="s">
        <v>13</v>
      </c>
      <c r="AT37" s="73">
        <f>Transform!AT111</f>
        <v>744.32698607057603</v>
      </c>
    </row>
    <row r="38" spans="1:54" outlineLevel="1" x14ac:dyDescent="0.35">
      <c r="D38" s="1" t="str" cm="1">
        <f t="array" aca="1" ref="D38" ca="1">IFERROR(MID(_xlfn.FORMULATEXT(I38),FIND("=",_xlfn.FORMULATEXT(I38))+1,FIND("!",_xlfn.FORMULATEXT(I38))-2),MID(_xlfn.FORMULATEXT(INDEX(L38:AV38,MATCH(FALSE,ISBLANK(L38:AV38),0))),FIND("=",_xlfn.FORMULATEXT(INDEX(L38:AV38,MATCH(FALSE,ISBLANK(L38:AV38),0))))+1,FIND("!",_xlfn.FORMULATEXT(INDEX(L38:AV38,MATCH(FALSE,ISBLANK(L38:AV38),0))))-2))</f>
        <v>Transform</v>
      </c>
      <c r="E38" t="s">
        <v>815</v>
      </c>
      <c r="G38" t="s">
        <v>109</v>
      </c>
      <c r="AU38" s="149">
        <f>Transform!AU112</f>
        <v>2.2200000000000001E-2</v>
      </c>
      <c r="AV38" s="53">
        <f>Transform!AV112</f>
        <v>2.2200000000000001E-2</v>
      </c>
      <c r="AW38" s="53">
        <f>Transform!AW112</f>
        <v>2.2200000000000001E-2</v>
      </c>
      <c r="AX38" s="53">
        <f>Transform!AX112</f>
        <v>2.2200000000000001E-2</v>
      </c>
      <c r="AY38" s="53">
        <f>Transform!AY112</f>
        <v>2.2200000000000001E-2</v>
      </c>
    </row>
    <row r="39" spans="1:54" x14ac:dyDescent="0.35">
      <c r="BA39" s="34"/>
    </row>
    <row r="40" spans="1:54" ht="20" thickBot="1" x14ac:dyDescent="0.5">
      <c r="A40" s="13" t="s">
        <v>311</v>
      </c>
      <c r="BA40" s="34"/>
    </row>
    <row r="41" spans="1:54" ht="16.5" thickTop="1" x14ac:dyDescent="0.35">
      <c r="E41" t="s">
        <v>9</v>
      </c>
      <c r="G41" t="str">
        <f>price_label</f>
        <v>£m 23/24 prices</v>
      </c>
      <c r="AU41" s="152">
        <f>SUM(AU7:AU11)</f>
        <v>259.73142979289491</v>
      </c>
      <c r="AV41" s="12">
        <f>SUM(AV7:AV11)</f>
        <v>271.79896316388141</v>
      </c>
      <c r="AW41" s="12">
        <f>SUM(AW7:AW11)</f>
        <v>271.10774201776303</v>
      </c>
      <c r="AX41" s="12">
        <f>SUM(AX7:AX11)</f>
        <v>257.15535996956191</v>
      </c>
      <c r="AY41" s="12">
        <f>SUM(AY7:AY11)</f>
        <v>244.53230894633663</v>
      </c>
      <c r="BA41" s="34" t="str">
        <f ca="1">$A$1</f>
        <v>TaxPools</v>
      </c>
      <c r="BB41" s="1" t="str">
        <f>$A$40</f>
        <v>Tax pool additions</v>
      </c>
    </row>
    <row r="42" spans="1:54" x14ac:dyDescent="0.35">
      <c r="E42" t="s">
        <v>756</v>
      </c>
      <c r="G42" t="str">
        <f>price_label</f>
        <v>£m 23/24 prices</v>
      </c>
      <c r="AU42" s="152">
        <f>SUM(AU13:AU14)</f>
        <v>95.39312175600908</v>
      </c>
      <c r="AV42" s="12">
        <f>SUM(AV13:AV14)</f>
        <v>101.07513614079762</v>
      </c>
      <c r="AW42" s="12">
        <f>SUM(AW13:AW14)</f>
        <v>101.59656741601145</v>
      </c>
      <c r="AX42" s="12">
        <f>SUM(AX13:AX14)</f>
        <v>102.78055755796711</v>
      </c>
      <c r="AY42" s="12">
        <f>SUM(AY13:AY14)</f>
        <v>102.54208983029672</v>
      </c>
      <c r="BA42" s="34" t="str">
        <f t="shared" ref="BA42:BA105" ca="1" si="1">$A$1</f>
        <v>TaxPools</v>
      </c>
      <c r="BB42" s="1" t="str">
        <f>$A$40</f>
        <v>Tax pool additions</v>
      </c>
    </row>
    <row r="43" spans="1:54" x14ac:dyDescent="0.35">
      <c r="AU43" s="51"/>
      <c r="AV43" s="51"/>
      <c r="AW43" s="51"/>
      <c r="AX43" s="51"/>
      <c r="AY43" s="51"/>
      <c r="BA43" s="34"/>
    </row>
    <row r="44" spans="1:54" ht="20" thickBot="1" x14ac:dyDescent="0.5">
      <c r="A44" s="13" t="s">
        <v>312</v>
      </c>
      <c r="AU44" s="51"/>
      <c r="AV44" s="51"/>
      <c r="AW44" s="51"/>
      <c r="AX44" s="51"/>
      <c r="AY44" s="51"/>
      <c r="BA44" s="34"/>
    </row>
    <row r="45" spans="1:54" ht="16.5" thickTop="1" x14ac:dyDescent="0.35">
      <c r="E45" t="s">
        <v>313</v>
      </c>
      <c r="G45" t="str">
        <f t="shared" ref="G45:G50" si="2">price_label</f>
        <v>£m 23/24 prices</v>
      </c>
      <c r="AU45" s="152">
        <f t="shared" ref="AU45:AY49" si="3">AU$41*AU16</f>
        <v>21.184039258153302</v>
      </c>
      <c r="AV45" s="12">
        <f t="shared" si="3"/>
        <v>23.670955980560745</v>
      </c>
      <c r="AW45" s="12">
        <f t="shared" si="3"/>
        <v>20.577861914547533</v>
      </c>
      <c r="AX45" s="12">
        <f t="shared" si="3"/>
        <v>15.897213040513208</v>
      </c>
      <c r="AY45" s="12">
        <f t="shared" si="3"/>
        <v>15.250127642797054</v>
      </c>
      <c r="BA45" s="34" t="str">
        <f t="shared" ca="1" si="1"/>
        <v>TaxPools</v>
      </c>
      <c r="BB45" s="1" t="str">
        <f>$A$44</f>
        <v>Tax pool allocation</v>
      </c>
    </row>
    <row r="46" spans="1:54" x14ac:dyDescent="0.35">
      <c r="E46" t="s">
        <v>314</v>
      </c>
      <c r="G46" t="str">
        <f t="shared" si="2"/>
        <v>£m 23/24 prices</v>
      </c>
      <c r="AU46" s="152">
        <f t="shared" si="3"/>
        <v>34.632447241397813</v>
      </c>
      <c r="AV46" s="12">
        <f t="shared" si="3"/>
        <v>39.462210035584256</v>
      </c>
      <c r="AW46" s="12">
        <f t="shared" si="3"/>
        <v>44.594359054814724</v>
      </c>
      <c r="AX46" s="12">
        <f t="shared" si="3"/>
        <v>36.184035141760234</v>
      </c>
      <c r="AY46" s="12">
        <f t="shared" si="3"/>
        <v>29.425176135929899</v>
      </c>
      <c r="BA46" s="34" t="str">
        <f t="shared" ca="1" si="1"/>
        <v>TaxPools</v>
      </c>
      <c r="BB46" s="1" t="str">
        <f t="shared" ref="BB46:BB50" si="4">$A$44</f>
        <v>Tax pool allocation</v>
      </c>
    </row>
    <row r="47" spans="1:54" x14ac:dyDescent="0.35">
      <c r="E47" t="s">
        <v>315</v>
      </c>
      <c r="G47" t="str">
        <f t="shared" si="2"/>
        <v>£m 23/24 prices</v>
      </c>
      <c r="AU47" s="152">
        <f t="shared" si="3"/>
        <v>0.50820905005877948</v>
      </c>
      <c r="AV47" s="12">
        <f t="shared" si="3"/>
        <v>0.48910692926062466</v>
      </c>
      <c r="AW47" s="12">
        <f t="shared" si="3"/>
        <v>0.49905090130764751</v>
      </c>
      <c r="AX47" s="12">
        <f t="shared" si="3"/>
        <v>0.53360909869757689</v>
      </c>
      <c r="AY47" s="12">
        <f t="shared" si="3"/>
        <v>0.503173875184731</v>
      </c>
      <c r="BA47" s="34" t="str">
        <f t="shared" ca="1" si="1"/>
        <v>TaxPools</v>
      </c>
      <c r="BB47" s="1" t="str">
        <f t="shared" si="4"/>
        <v>Tax pool allocation</v>
      </c>
    </row>
    <row r="48" spans="1:54" x14ac:dyDescent="0.35">
      <c r="E48" t="s">
        <v>432</v>
      </c>
      <c r="G48" t="str">
        <f t="shared" si="2"/>
        <v>£m 23/24 prices</v>
      </c>
      <c r="AU48" s="152">
        <f t="shared" si="3"/>
        <v>89.697030962764742</v>
      </c>
      <c r="AV48" s="12">
        <f t="shared" si="3"/>
        <v>95.598760805631215</v>
      </c>
      <c r="AW48" s="12">
        <f t="shared" si="3"/>
        <v>92.352978522314359</v>
      </c>
      <c r="AX48" s="12">
        <f t="shared" si="3"/>
        <v>88.30054253214719</v>
      </c>
      <c r="AY48" s="12">
        <f t="shared" si="3"/>
        <v>85.38293786687089</v>
      </c>
      <c r="BA48" s="34" t="str">
        <f t="shared" ca="1" si="1"/>
        <v>TaxPools</v>
      </c>
      <c r="BB48" s="1" t="str">
        <f t="shared" si="4"/>
        <v>Tax pool allocation</v>
      </c>
    </row>
    <row r="49" spans="1:55" x14ac:dyDescent="0.35">
      <c r="E49" t="s">
        <v>317</v>
      </c>
      <c r="G49" t="str">
        <f t="shared" si="2"/>
        <v>£m 23/24 prices</v>
      </c>
      <c r="AU49" s="152">
        <f t="shared" si="3"/>
        <v>1.4552206800110075</v>
      </c>
      <c r="AV49" s="12">
        <f t="shared" si="3"/>
        <v>1.3592738574791852</v>
      </c>
      <c r="AW49" s="12">
        <f t="shared" si="3"/>
        <v>1.8862796597503817</v>
      </c>
      <c r="AX49" s="12">
        <f t="shared" si="3"/>
        <v>1.366973735456092</v>
      </c>
      <c r="AY49" s="12">
        <f t="shared" si="3"/>
        <v>1.2159843090529563</v>
      </c>
      <c r="BA49" s="34" t="str">
        <f t="shared" ca="1" si="1"/>
        <v>TaxPools</v>
      </c>
      <c r="BB49" s="1" t="str">
        <f t="shared" si="4"/>
        <v>Tax pool allocation</v>
      </c>
    </row>
    <row r="50" spans="1:55" x14ac:dyDescent="0.35">
      <c r="A50" s="1"/>
      <c r="E50" t="s">
        <v>318</v>
      </c>
      <c r="G50" t="str">
        <f t="shared" si="2"/>
        <v>£m 23/24 prices</v>
      </c>
      <c r="AU50" s="152">
        <f>AU41*AU21+AU42</f>
        <v>207.64760435651834</v>
      </c>
      <c r="AV50" s="12">
        <f>AV41*AV21+AV42</f>
        <v>212.29379169616305</v>
      </c>
      <c r="AW50" s="12">
        <f>AW41*AW21+AW42</f>
        <v>212.79377938103983</v>
      </c>
      <c r="AX50" s="12">
        <f>AX41*AX21+AX42</f>
        <v>217.65354397895473</v>
      </c>
      <c r="AY50" s="12">
        <f>AY41*AY21+AY42</f>
        <v>215.29699894679783</v>
      </c>
      <c r="BA50" s="34" t="str">
        <f t="shared" ca="1" si="1"/>
        <v>TaxPools</v>
      </c>
      <c r="BB50" s="1" t="str">
        <f t="shared" si="4"/>
        <v>Tax pool allocation</v>
      </c>
    </row>
    <row r="51" spans="1:55" x14ac:dyDescent="0.35">
      <c r="BA51" s="34"/>
    </row>
    <row r="52" spans="1:55" ht="20" thickBot="1" x14ac:dyDescent="0.5">
      <c r="A52" s="13" t="s">
        <v>319</v>
      </c>
      <c r="AU52" s="51"/>
      <c r="AV52" s="51"/>
      <c r="AW52" s="51"/>
      <c r="AX52" s="51"/>
      <c r="AY52" s="51"/>
      <c r="BA52" s="34"/>
    </row>
    <row r="53" spans="1:55" ht="18" thickTop="1" thickBot="1" x14ac:dyDescent="0.45">
      <c r="B53" s="15" t="s">
        <v>320</v>
      </c>
      <c r="AU53" s="51"/>
      <c r="AV53" s="51"/>
      <c r="AW53" s="51"/>
      <c r="AX53" s="51"/>
      <c r="AY53" s="51"/>
      <c r="BA53" s="34"/>
    </row>
    <row r="54" spans="1:55" ht="16.5" thickTop="1" x14ac:dyDescent="0.35">
      <c r="E54" t="s">
        <v>291</v>
      </c>
      <c r="G54" t="str">
        <f t="shared" ref="G54:G60" si="5">nominal</f>
        <v>£m nominal</v>
      </c>
      <c r="AU54" s="152">
        <f>AU23*StartingBalance+AT61</f>
        <v>48.018793862574022</v>
      </c>
      <c r="AV54" s="12">
        <f>AV23*StartingBalance+AU61</f>
        <v>41.296162721813651</v>
      </c>
      <c r="AW54" s="12">
        <f>AW23*StartingBalance+AV61</f>
        <v>35.514699940759748</v>
      </c>
      <c r="AX54" s="12">
        <f>AX23*StartingBalance+AW61</f>
        <v>30.542641949053376</v>
      </c>
      <c r="AY54" s="12">
        <f>AY23*StartingBalance+AX61</f>
        <v>26.266672076185902</v>
      </c>
      <c r="BA54" s="34" t="str">
        <f t="shared" ca="1" si="1"/>
        <v>TaxPools</v>
      </c>
      <c r="BB54" s="1" t="str">
        <f>$A$52</f>
        <v>Capital allowances</v>
      </c>
      <c r="BC54" s="1" t="str">
        <f>$B$53</f>
        <v>General Pool</v>
      </c>
    </row>
    <row r="55" spans="1:55" x14ac:dyDescent="0.35">
      <c r="E55" t="s">
        <v>405</v>
      </c>
      <c r="G55" t="str">
        <f t="shared" si="5"/>
        <v>£m nominal</v>
      </c>
      <c r="AU55" s="154">
        <f>AU$24</f>
        <v>0</v>
      </c>
      <c r="AV55" s="27">
        <f>AV$24</f>
        <v>0</v>
      </c>
      <c r="AW55" s="27">
        <f>AW$24</f>
        <v>0</v>
      </c>
      <c r="AX55" s="27">
        <f>AX$24</f>
        <v>0</v>
      </c>
      <c r="AY55" s="27">
        <f>AY$24</f>
        <v>0</v>
      </c>
      <c r="BA55" s="34" t="str">
        <f t="shared" ca="1" si="1"/>
        <v>TaxPools</v>
      </c>
      <c r="BB55" s="1" t="str">
        <f t="shared" ref="BB55:BB61" si="6">$A$52</f>
        <v>Capital allowances</v>
      </c>
      <c r="BC55" s="1" t="str">
        <f t="shared" ref="BC55:BC61" si="7">$B$53</f>
        <v>General Pool</v>
      </c>
    </row>
    <row r="56" spans="1:55" x14ac:dyDescent="0.35">
      <c r="E56" t="s">
        <v>313</v>
      </c>
      <c r="G56" t="str">
        <f t="shared" si="5"/>
        <v>£m nominal</v>
      </c>
      <c r="AU56" s="154">
        <f>AU$45*PCf</f>
        <v>23.208690964767452</v>
      </c>
      <c r="AV56" s="27">
        <f>AV$45*PCf</f>
        <v>26.487243255208966</v>
      </c>
      <c r="AW56" s="27">
        <f>AW$45*PCf</f>
        <v>23.514700214753884</v>
      </c>
      <c r="AX56" s="27">
        <f>AX$45*PCf</f>
        <v>18.548780415731336</v>
      </c>
      <c r="AY56" s="27">
        <f>AY$45*PCf</f>
        <v>18.173067594477434</v>
      </c>
      <c r="BA56" s="34" t="str">
        <f t="shared" ca="1" si="1"/>
        <v>TaxPools</v>
      </c>
      <c r="BB56" s="1" t="str">
        <f t="shared" si="6"/>
        <v>Capital allowances</v>
      </c>
      <c r="BC56" s="1" t="str">
        <f t="shared" si="7"/>
        <v>General Pool</v>
      </c>
    </row>
    <row r="57" spans="1:55" x14ac:dyDescent="0.35">
      <c r="E57" t="s">
        <v>433</v>
      </c>
      <c r="G57" t="str">
        <f t="shared" si="5"/>
        <v>£m nominal</v>
      </c>
      <c r="AU57" s="152">
        <f>-AU56*AU$25</f>
        <v>-23.208690964767452</v>
      </c>
      <c r="AV57" s="12">
        <f>-AV56*AV$25</f>
        <v>-26.487243255208966</v>
      </c>
      <c r="AW57" s="12">
        <f>-AW56*AW$25</f>
        <v>-23.514700214753884</v>
      </c>
      <c r="AX57" s="12">
        <f>-AX56*AX$25</f>
        <v>-18.548780415731336</v>
      </c>
      <c r="AY57" s="12">
        <f>-AY56*AY$25</f>
        <v>-18.173067594477434</v>
      </c>
      <c r="BA57" s="34" t="str">
        <f t="shared" ca="1" si="1"/>
        <v>TaxPools</v>
      </c>
      <c r="BB57" s="1" t="str">
        <f t="shared" si="6"/>
        <v>Capital allowances</v>
      </c>
      <c r="BC57" s="1" t="str">
        <f t="shared" si="7"/>
        <v>General Pool</v>
      </c>
    </row>
    <row r="58" spans="1:55" x14ac:dyDescent="0.35">
      <c r="E58" t="s">
        <v>434</v>
      </c>
      <c r="G58" t="str">
        <f t="shared" si="5"/>
        <v>£m nominal</v>
      </c>
      <c r="AU58" s="154">
        <f>-AU64</f>
        <v>0</v>
      </c>
      <c r="AV58" s="27">
        <f t="shared" ref="AV58:AY58" si="8">-AV64</f>
        <v>0</v>
      </c>
      <c r="AW58" s="27">
        <f t="shared" si="8"/>
        <v>0</v>
      </c>
      <c r="AX58" s="27">
        <f t="shared" si="8"/>
        <v>0</v>
      </c>
      <c r="AY58" s="27">
        <f t="shared" si="8"/>
        <v>0</v>
      </c>
      <c r="BA58" s="34" t="str">
        <f t="shared" ca="1" si="1"/>
        <v>TaxPools</v>
      </c>
      <c r="BB58" s="1" t="str">
        <f t="shared" si="6"/>
        <v>Capital allowances</v>
      </c>
      <c r="BC58" s="1" t="str">
        <f t="shared" si="7"/>
        <v>General Pool</v>
      </c>
    </row>
    <row r="59" spans="1:55" x14ac:dyDescent="0.35">
      <c r="E59" t="s">
        <v>321</v>
      </c>
      <c r="G59" t="str">
        <f t="shared" si="5"/>
        <v>£m nominal</v>
      </c>
      <c r="AU59" s="152">
        <f>SUM(AU54:AU58)</f>
        <v>48.018793862574014</v>
      </c>
      <c r="AV59" s="12">
        <f>SUM(AV54:AV58)</f>
        <v>41.296162721813658</v>
      </c>
      <c r="AW59" s="12">
        <f t="shared" ref="AW59:AY59" si="9">SUM(AW54:AW58)</f>
        <v>35.514699940759741</v>
      </c>
      <c r="AX59" s="12">
        <f t="shared" si="9"/>
        <v>30.542641949053376</v>
      </c>
      <c r="AY59" s="12">
        <f t="shared" si="9"/>
        <v>26.266672076185902</v>
      </c>
      <c r="BA59" s="34" t="str">
        <f t="shared" ca="1" si="1"/>
        <v>TaxPools</v>
      </c>
      <c r="BB59" s="1" t="str">
        <f t="shared" si="6"/>
        <v>Capital allowances</v>
      </c>
      <c r="BC59" s="1" t="str">
        <f t="shared" si="7"/>
        <v>General Pool</v>
      </c>
    </row>
    <row r="60" spans="1:55" x14ac:dyDescent="0.35">
      <c r="E60" t="s">
        <v>322</v>
      </c>
      <c r="G60" t="str">
        <f t="shared" si="5"/>
        <v>£m nominal</v>
      </c>
      <c r="AU60" s="152">
        <f>-AU59*AU$26</f>
        <v>-6.7226311407603623</v>
      </c>
      <c r="AV60" s="12">
        <f>-AV59*AV$26</f>
        <v>-5.7814627810539125</v>
      </c>
      <c r="AW60" s="12">
        <f>-AW59*AW$26</f>
        <v>-4.9720579917063645</v>
      </c>
      <c r="AX60" s="12">
        <f>-AX59*AX$26</f>
        <v>-4.2759698728674733</v>
      </c>
      <c r="AY60" s="12">
        <f>-AY59*AY$26</f>
        <v>-3.6773340906660268</v>
      </c>
      <c r="BA60" s="34" t="str">
        <f t="shared" ca="1" si="1"/>
        <v>TaxPools</v>
      </c>
      <c r="BB60" s="1" t="str">
        <f t="shared" si="6"/>
        <v>Capital allowances</v>
      </c>
      <c r="BC60" s="1" t="str">
        <f t="shared" si="7"/>
        <v>General Pool</v>
      </c>
    </row>
    <row r="61" spans="1:55" x14ac:dyDescent="0.35">
      <c r="E61" t="s">
        <v>323</v>
      </c>
      <c r="G61" t="str">
        <f>nominal</f>
        <v>£m nominal</v>
      </c>
      <c r="AU61" s="152">
        <f>SUM(AU59:AU60)</f>
        <v>41.296162721813651</v>
      </c>
      <c r="AV61" s="12">
        <f>SUM(AV59:AV60)</f>
        <v>35.514699940759748</v>
      </c>
      <c r="AW61" s="12">
        <f t="shared" ref="AW61:AY61" si="10">SUM(AW59:AW60)</f>
        <v>30.542641949053376</v>
      </c>
      <c r="AX61" s="12">
        <f t="shared" si="10"/>
        <v>26.266672076185902</v>
      </c>
      <c r="AY61" s="12">
        <f t="shared" si="10"/>
        <v>22.589337985519876</v>
      </c>
      <c r="BA61" s="34" t="str">
        <f t="shared" ca="1" si="1"/>
        <v>TaxPools</v>
      </c>
      <c r="BB61" s="1" t="str">
        <f t="shared" si="6"/>
        <v>Capital allowances</v>
      </c>
      <c r="BC61" s="1" t="str">
        <f t="shared" si="7"/>
        <v>General Pool</v>
      </c>
    </row>
    <row r="62" spans="1:55" x14ac:dyDescent="0.35">
      <c r="AU62" s="51"/>
      <c r="AV62" s="51"/>
      <c r="AW62" s="51"/>
      <c r="AX62" s="51"/>
      <c r="AY62" s="51"/>
      <c r="BA62" s="34"/>
    </row>
    <row r="63" spans="1:55" x14ac:dyDescent="0.35">
      <c r="E63" t="s">
        <v>291</v>
      </c>
      <c r="G63" t="str">
        <f t="shared" ref="G63:G68" si="11">nominal</f>
        <v>£m nominal</v>
      </c>
      <c r="AU63" s="154">
        <f>AT68</f>
        <v>0</v>
      </c>
      <c r="AV63" s="27">
        <f>AU68</f>
        <v>0</v>
      </c>
      <c r="AW63" s="27">
        <f t="shared" ref="AW63:AY63" si="12">AV68</f>
        <v>0</v>
      </c>
      <c r="AX63" s="27">
        <f t="shared" si="12"/>
        <v>0</v>
      </c>
      <c r="AY63" s="27">
        <f t="shared" si="12"/>
        <v>0</v>
      </c>
      <c r="BA63" s="34" t="str">
        <f t="shared" ca="1" si="1"/>
        <v>TaxPools</v>
      </c>
      <c r="BB63" s="1" t="str">
        <f t="shared" ref="BB63:BB68" si="13">$A$52</f>
        <v>Capital allowances</v>
      </c>
      <c r="BC63" s="1" t="str">
        <f t="shared" ref="BC63:BC68" si="14">$B$53</f>
        <v>General Pool</v>
      </c>
    </row>
    <row r="64" spans="1:55" x14ac:dyDescent="0.35">
      <c r="E64" t="s">
        <v>324</v>
      </c>
      <c r="G64" t="str">
        <f t="shared" si="11"/>
        <v>£m nominal</v>
      </c>
      <c r="AU64" s="154">
        <f>-AU63</f>
        <v>0</v>
      </c>
      <c r="AV64" s="27">
        <f>-AV63</f>
        <v>0</v>
      </c>
      <c r="AW64" s="27">
        <f t="shared" ref="AW64:AY64" si="15">-AW63</f>
        <v>0</v>
      </c>
      <c r="AX64" s="27">
        <f t="shared" si="15"/>
        <v>0</v>
      </c>
      <c r="AY64" s="27">
        <f t="shared" si="15"/>
        <v>0</v>
      </c>
      <c r="BA64" s="34" t="str">
        <f t="shared" ca="1" si="1"/>
        <v>TaxPools</v>
      </c>
      <c r="BB64" s="1" t="str">
        <f t="shared" si="13"/>
        <v>Capital allowances</v>
      </c>
      <c r="BC64" s="1" t="str">
        <f t="shared" si="14"/>
        <v>General Pool</v>
      </c>
    </row>
    <row r="65" spans="2:55" x14ac:dyDescent="0.35">
      <c r="E65" t="s">
        <v>435</v>
      </c>
      <c r="G65" t="str">
        <f t="shared" si="11"/>
        <v>£m nominal</v>
      </c>
      <c r="AU65" s="154">
        <f>-AU57</f>
        <v>23.208690964767452</v>
      </c>
      <c r="AV65" s="27">
        <f>-AV57</f>
        <v>26.487243255208966</v>
      </c>
      <c r="AW65" s="27">
        <f>-AW57</f>
        <v>23.514700214753884</v>
      </c>
      <c r="AX65" s="27">
        <f>-AX57</f>
        <v>18.548780415731336</v>
      </c>
      <c r="AY65" s="27">
        <f>-AY57</f>
        <v>18.173067594477434</v>
      </c>
      <c r="BA65" s="34" t="str">
        <f t="shared" ca="1" si="1"/>
        <v>TaxPools</v>
      </c>
      <c r="BB65" s="1" t="str">
        <f t="shared" si="13"/>
        <v>Capital allowances</v>
      </c>
      <c r="BC65" s="1" t="str">
        <f t="shared" si="14"/>
        <v>General Pool</v>
      </c>
    </row>
    <row r="66" spans="2:55" x14ac:dyDescent="0.35">
      <c r="E66" t="s">
        <v>321</v>
      </c>
      <c r="G66" t="str">
        <f t="shared" si="11"/>
        <v>£m nominal</v>
      </c>
      <c r="AU66" s="152">
        <f>SUM(AU63:AU65)</f>
        <v>23.208690964767452</v>
      </c>
      <c r="AV66" s="12">
        <f>SUM(AV63:AV65)</f>
        <v>26.487243255208966</v>
      </c>
      <c r="AW66" s="12">
        <f>SUM(AW63:AW65)</f>
        <v>23.514700214753884</v>
      </c>
      <c r="AX66" s="12">
        <f>SUM(AX63:AX65)</f>
        <v>18.548780415731336</v>
      </c>
      <c r="AY66" s="12">
        <f>SUM(AY63:AY65)</f>
        <v>18.173067594477434</v>
      </c>
      <c r="BA66" s="34" t="str">
        <f t="shared" ca="1" si="1"/>
        <v>TaxPools</v>
      </c>
      <c r="BB66" s="1" t="str">
        <f t="shared" si="13"/>
        <v>Capital allowances</v>
      </c>
      <c r="BC66" s="1" t="str">
        <f t="shared" si="14"/>
        <v>General Pool</v>
      </c>
    </row>
    <row r="67" spans="2:55" x14ac:dyDescent="0.35">
      <c r="E67" t="s">
        <v>322</v>
      </c>
      <c r="G67" t="str">
        <f t="shared" si="11"/>
        <v>£m nominal</v>
      </c>
      <c r="AU67" s="152">
        <f>AU66*-AU$27</f>
        <v>-23.208690964767452</v>
      </c>
      <c r="AV67" s="12">
        <f>AV66*-AV$27</f>
        <v>-26.487243255208966</v>
      </c>
      <c r="AW67" s="12">
        <f>AW66*-AW$27</f>
        <v>-23.514700214753884</v>
      </c>
      <c r="AX67" s="12">
        <f>AX66*-AX$27</f>
        <v>-18.548780415731336</v>
      </c>
      <c r="AY67" s="12">
        <f>AY66*-AY$27</f>
        <v>-18.173067594477434</v>
      </c>
      <c r="BA67" s="34" t="str">
        <f t="shared" ca="1" si="1"/>
        <v>TaxPools</v>
      </c>
      <c r="BB67" s="1" t="str">
        <f t="shared" si="13"/>
        <v>Capital allowances</v>
      </c>
      <c r="BC67" s="1" t="str">
        <f t="shared" si="14"/>
        <v>General Pool</v>
      </c>
    </row>
    <row r="68" spans="2:55" x14ac:dyDescent="0.35">
      <c r="E68" t="s">
        <v>325</v>
      </c>
      <c r="G68" t="str">
        <f t="shared" si="11"/>
        <v>£m nominal</v>
      </c>
      <c r="AU68" s="152">
        <f>MAX(SUM(AU66:AU67),0)</f>
        <v>0</v>
      </c>
      <c r="AV68" s="12">
        <f>MAX(SUM(AV66:AV67),0)</f>
        <v>0</v>
      </c>
      <c r="AW68" s="12">
        <f t="shared" ref="AW68:AY68" si="16">MAX(SUM(AW66:AW67),0)</f>
        <v>0</v>
      </c>
      <c r="AX68" s="12">
        <f t="shared" si="16"/>
        <v>0</v>
      </c>
      <c r="AY68" s="12">
        <f t="shared" si="16"/>
        <v>0</v>
      </c>
      <c r="BA68" s="34" t="str">
        <f t="shared" ca="1" si="1"/>
        <v>TaxPools</v>
      </c>
      <c r="BB68" s="1" t="str">
        <f t="shared" si="13"/>
        <v>Capital allowances</v>
      </c>
      <c r="BC68" s="1" t="str">
        <f t="shared" si="14"/>
        <v>General Pool</v>
      </c>
    </row>
    <row r="69" spans="2:55" x14ac:dyDescent="0.35">
      <c r="AU69" s="51"/>
      <c r="AV69" s="51"/>
      <c r="AW69" s="51"/>
      <c r="AX69" s="51"/>
      <c r="AY69" s="51"/>
      <c r="BA69" s="34"/>
    </row>
    <row r="70" spans="2:55" ht="17.5" thickBot="1" x14ac:dyDescent="0.45">
      <c r="B70" s="15" t="s">
        <v>326</v>
      </c>
      <c r="AU70" s="51"/>
      <c r="AV70" s="51"/>
      <c r="AW70" s="51"/>
      <c r="AX70" s="51"/>
      <c r="AY70" s="51"/>
      <c r="BA70" s="34"/>
    </row>
    <row r="71" spans="2:55" ht="16.5" thickTop="1" x14ac:dyDescent="0.35">
      <c r="E71" t="s">
        <v>291</v>
      </c>
      <c r="G71" t="str">
        <f t="shared" ref="G71:G78" si="17">nominal</f>
        <v>£m nominal</v>
      </c>
      <c r="AU71" s="152">
        <f>AU28*StartingBalance+AT78</f>
        <v>381.20025331433436</v>
      </c>
      <c r="AV71" s="12">
        <f>AV28*StartingBalance+AU78</f>
        <v>358.32823811547428</v>
      </c>
      <c r="AW71" s="12">
        <f>AW28*StartingBalance+AV78</f>
        <v>354.66148235007137</v>
      </c>
      <c r="AX71" s="12">
        <f>AX28*StartingBalance+AW78</f>
        <v>354.135717500927</v>
      </c>
      <c r="AY71" s="12">
        <f>AY28*StartingBalance+AX78</f>
        <v>356.83820667568074</v>
      </c>
      <c r="BA71" s="34" t="str">
        <f t="shared" ca="1" si="1"/>
        <v>TaxPools</v>
      </c>
      <c r="BB71" s="1" t="str">
        <f>$A$52</f>
        <v>Capital allowances</v>
      </c>
      <c r="BC71" s="1" t="str">
        <f>$B$70</f>
        <v>Special rates Pool</v>
      </c>
    </row>
    <row r="72" spans="2:55" x14ac:dyDescent="0.35">
      <c r="E72" t="s">
        <v>406</v>
      </c>
      <c r="G72" t="str">
        <f t="shared" si="17"/>
        <v>£m nominal</v>
      </c>
      <c r="AU72" s="154">
        <f>AU$29</f>
        <v>0</v>
      </c>
      <c r="AV72" s="27">
        <f>AV$29</f>
        <v>0</v>
      </c>
      <c r="AW72" s="27">
        <f>AW$29</f>
        <v>0</v>
      </c>
      <c r="AX72" s="27">
        <f>AX$29</f>
        <v>0</v>
      </c>
      <c r="AY72" s="27">
        <f>AY$29</f>
        <v>0</v>
      </c>
      <c r="BA72" s="34" t="str">
        <f t="shared" ca="1" si="1"/>
        <v>TaxPools</v>
      </c>
      <c r="BB72" s="1" t="str">
        <f t="shared" ref="BB72:BB85" si="18">$A$52</f>
        <v>Capital allowances</v>
      </c>
      <c r="BC72" s="1" t="str">
        <f t="shared" ref="BC72:BC78" si="19">$B$70</f>
        <v>Special rates Pool</v>
      </c>
    </row>
    <row r="73" spans="2:55" x14ac:dyDescent="0.35">
      <c r="E73" t="s">
        <v>314</v>
      </c>
      <c r="G73" t="str">
        <f t="shared" si="17"/>
        <v>£m nominal</v>
      </c>
      <c r="AU73" s="154">
        <f>AU$46*PCf</f>
        <v>37.942422386224521</v>
      </c>
      <c r="AV73" s="27">
        <f>AV$46*PCf</f>
        <v>44.157285301829525</v>
      </c>
      <c r="AW73" s="27">
        <f>AW$46*PCf</f>
        <v>50.958791967679545</v>
      </c>
      <c r="AX73" s="27">
        <f>AX$46*PCf</f>
        <v>42.21933245086268</v>
      </c>
      <c r="AY73" s="27">
        <f>AY$46*PCf</f>
        <v>35.064999285447271</v>
      </c>
      <c r="BA73" s="34" t="str">
        <f t="shared" ca="1" si="1"/>
        <v>TaxPools</v>
      </c>
      <c r="BB73" s="1" t="str">
        <f t="shared" si="18"/>
        <v>Capital allowances</v>
      </c>
      <c r="BC73" s="1" t="str">
        <f t="shared" si="19"/>
        <v>Special rates Pool</v>
      </c>
    </row>
    <row r="74" spans="2:55" x14ac:dyDescent="0.35">
      <c r="E74" t="s">
        <v>436</v>
      </c>
      <c r="G74" t="str">
        <f t="shared" si="17"/>
        <v>£m nominal</v>
      </c>
      <c r="AU74" s="152">
        <f>-AU73*AU$30</f>
        <v>-37.942422386224521</v>
      </c>
      <c r="AV74" s="12">
        <f>-AV73*AV$30</f>
        <v>-44.157285301829525</v>
      </c>
      <c r="AW74" s="12">
        <f>-AW73*AW$30</f>
        <v>-50.958791967679545</v>
      </c>
      <c r="AX74" s="12">
        <f>-AX73*AX$30</f>
        <v>-42.21933245086268</v>
      </c>
      <c r="AY74" s="12">
        <f>-AY73*AY$30</f>
        <v>-35.064999285447271</v>
      </c>
      <c r="BA74" s="34" t="str">
        <f t="shared" ca="1" si="1"/>
        <v>TaxPools</v>
      </c>
      <c r="BB74" s="1" t="str">
        <f t="shared" si="18"/>
        <v>Capital allowances</v>
      </c>
      <c r="BC74" s="1" t="str">
        <f t="shared" si="19"/>
        <v>Special rates Pool</v>
      </c>
    </row>
    <row r="75" spans="2:55" x14ac:dyDescent="0.35">
      <c r="E75" t="s">
        <v>437</v>
      </c>
      <c r="G75" t="str">
        <f t="shared" si="17"/>
        <v>£m nominal</v>
      </c>
      <c r="AU75" s="154">
        <f>-AU81</f>
        <v>0</v>
      </c>
      <c r="AV75" s="27">
        <f t="shared" ref="AV75:AY75" si="20">-AV81</f>
        <v>18.971211193112261</v>
      </c>
      <c r="AW75" s="27">
        <f t="shared" si="20"/>
        <v>22.078642650914762</v>
      </c>
      <c r="AX75" s="27">
        <f t="shared" si="20"/>
        <v>25.479395983839773</v>
      </c>
      <c r="AY75" s="27">
        <f t="shared" si="20"/>
        <v>21.10966622543134</v>
      </c>
      <c r="BA75" s="34" t="str">
        <f t="shared" ca="1" si="1"/>
        <v>TaxPools</v>
      </c>
      <c r="BB75" s="1" t="str">
        <f t="shared" si="18"/>
        <v>Capital allowances</v>
      </c>
      <c r="BC75" s="1" t="str">
        <f t="shared" si="19"/>
        <v>Special rates Pool</v>
      </c>
    </row>
    <row r="76" spans="2:55" x14ac:dyDescent="0.35">
      <c r="E76" t="s">
        <v>321</v>
      </c>
      <c r="G76" t="str">
        <f t="shared" si="17"/>
        <v>£m nominal</v>
      </c>
      <c r="AU76" s="152">
        <f>SUM(AU71:AU75)</f>
        <v>381.20025331433436</v>
      </c>
      <c r="AV76" s="12">
        <f>SUM(AV71:AV75)</f>
        <v>377.29944930858653</v>
      </c>
      <c r="AW76" s="12">
        <f t="shared" ref="AW76" si="21">SUM(AW71:AW75)</f>
        <v>376.74012500098615</v>
      </c>
      <c r="AX76" s="12">
        <f t="shared" ref="AX76" si="22">SUM(AX71:AX75)</f>
        <v>379.61511348476677</v>
      </c>
      <c r="AY76" s="12">
        <f t="shared" ref="AY76" si="23">SUM(AY71:AY75)</f>
        <v>377.94787290111213</v>
      </c>
      <c r="BA76" s="34" t="str">
        <f t="shared" ca="1" si="1"/>
        <v>TaxPools</v>
      </c>
      <c r="BB76" s="1" t="str">
        <f t="shared" si="18"/>
        <v>Capital allowances</v>
      </c>
      <c r="BC76" s="1" t="str">
        <f t="shared" si="19"/>
        <v>Special rates Pool</v>
      </c>
    </row>
    <row r="77" spans="2:55" x14ac:dyDescent="0.35">
      <c r="E77" t="s">
        <v>438</v>
      </c>
      <c r="G77" t="str">
        <f t="shared" si="17"/>
        <v>£m nominal</v>
      </c>
      <c r="AU77" s="152">
        <f>-AU76*AU$31</f>
        <v>-22.872015198860062</v>
      </c>
      <c r="AV77" s="12">
        <f>-AV76*AV$31</f>
        <v>-22.637966958515189</v>
      </c>
      <c r="AW77" s="12">
        <f>-AW76*AW$31</f>
        <v>-22.604407500059168</v>
      </c>
      <c r="AX77" s="12">
        <f>-AX76*AX$31</f>
        <v>-22.776906809086004</v>
      </c>
      <c r="AY77" s="12">
        <f>-AY76*AY$31</f>
        <v>-22.676872374066726</v>
      </c>
      <c r="BA77" s="34" t="str">
        <f t="shared" ca="1" si="1"/>
        <v>TaxPools</v>
      </c>
      <c r="BB77" s="1" t="str">
        <f t="shared" si="18"/>
        <v>Capital allowances</v>
      </c>
      <c r="BC77" s="1" t="str">
        <f t="shared" si="19"/>
        <v>Special rates Pool</v>
      </c>
    </row>
    <row r="78" spans="2:55" x14ac:dyDescent="0.35">
      <c r="E78" t="s">
        <v>323</v>
      </c>
      <c r="G78" t="str">
        <f t="shared" si="17"/>
        <v>£m nominal</v>
      </c>
      <c r="AU78" s="152">
        <f>SUM(AU76:AU77)</f>
        <v>358.32823811547428</v>
      </c>
      <c r="AV78" s="12">
        <f>SUM(AV76:AV77)</f>
        <v>354.66148235007137</v>
      </c>
      <c r="AW78" s="12">
        <f t="shared" ref="AW78" si="24">SUM(AW76:AW77)</f>
        <v>354.135717500927</v>
      </c>
      <c r="AX78" s="12">
        <f t="shared" ref="AX78" si="25">SUM(AX76:AX77)</f>
        <v>356.83820667568074</v>
      </c>
      <c r="AY78" s="12">
        <f t="shared" ref="AY78" si="26">SUM(AY76:AY77)</f>
        <v>355.27100052704543</v>
      </c>
      <c r="BA78" s="34" t="str">
        <f t="shared" ca="1" si="1"/>
        <v>TaxPools</v>
      </c>
      <c r="BB78" s="1" t="str">
        <f t="shared" si="18"/>
        <v>Capital allowances</v>
      </c>
      <c r="BC78" s="1" t="str">
        <f t="shared" si="19"/>
        <v>Special rates Pool</v>
      </c>
    </row>
    <row r="79" spans="2:55" x14ac:dyDescent="0.35">
      <c r="AU79" s="51"/>
      <c r="AV79" s="51"/>
      <c r="AW79" s="51"/>
      <c r="AX79" s="51"/>
      <c r="AY79" s="51"/>
      <c r="BA79" s="34"/>
    </row>
    <row r="80" spans="2:55" x14ac:dyDescent="0.35">
      <c r="E80" t="s">
        <v>291</v>
      </c>
      <c r="G80" t="str">
        <f t="shared" ref="G80:G85" si="27">nominal</f>
        <v>£m nominal</v>
      </c>
      <c r="AU80" s="154">
        <f>AT85</f>
        <v>0</v>
      </c>
      <c r="AV80" s="27">
        <f>AU85</f>
        <v>18.971211193112261</v>
      </c>
      <c r="AW80" s="27">
        <f t="shared" ref="AW80:AY80" si="28">AV85</f>
        <v>22.078642650914762</v>
      </c>
      <c r="AX80" s="27">
        <f t="shared" si="28"/>
        <v>25.479395983839773</v>
      </c>
      <c r="AY80" s="27">
        <f t="shared" si="28"/>
        <v>21.10966622543134</v>
      </c>
      <c r="BA80" s="34" t="str">
        <f t="shared" ca="1" si="1"/>
        <v>TaxPools</v>
      </c>
      <c r="BB80" s="1" t="str">
        <f t="shared" si="18"/>
        <v>Capital allowances</v>
      </c>
      <c r="BC80" s="1" t="str">
        <f t="shared" ref="BC80:BC85" si="29">$B$70</f>
        <v>Special rates Pool</v>
      </c>
    </row>
    <row r="81" spans="2:55" x14ac:dyDescent="0.35">
      <c r="E81" t="s">
        <v>324</v>
      </c>
      <c r="G81" t="str">
        <f t="shared" si="27"/>
        <v>£m nominal</v>
      </c>
      <c r="AU81" s="154">
        <f>-AU80</f>
        <v>0</v>
      </c>
      <c r="AV81" s="27">
        <f>-AV80</f>
        <v>-18.971211193112261</v>
      </c>
      <c r="AW81" s="27">
        <f t="shared" ref="AW81" si="30">-AW80</f>
        <v>-22.078642650914762</v>
      </c>
      <c r="AX81" s="27">
        <f t="shared" ref="AX81" si="31">-AX80</f>
        <v>-25.479395983839773</v>
      </c>
      <c r="AY81" s="27">
        <f t="shared" ref="AY81" si="32">-AY80</f>
        <v>-21.10966622543134</v>
      </c>
      <c r="BA81" s="34" t="str">
        <f t="shared" ca="1" si="1"/>
        <v>TaxPools</v>
      </c>
      <c r="BB81" s="1" t="str">
        <f t="shared" si="18"/>
        <v>Capital allowances</v>
      </c>
      <c r="BC81" s="1" t="str">
        <f t="shared" si="29"/>
        <v>Special rates Pool</v>
      </c>
    </row>
    <row r="82" spans="2:55" x14ac:dyDescent="0.35">
      <c r="E82" t="s">
        <v>439</v>
      </c>
      <c r="G82" t="str">
        <f t="shared" si="27"/>
        <v>£m nominal</v>
      </c>
      <c r="AU82" s="154">
        <f>-AU74</f>
        <v>37.942422386224521</v>
      </c>
      <c r="AV82" s="27">
        <f>-AV74</f>
        <v>44.157285301829525</v>
      </c>
      <c r="AW82" s="27">
        <f>-AW74</f>
        <v>50.958791967679545</v>
      </c>
      <c r="AX82" s="27">
        <f>-AX74</f>
        <v>42.21933245086268</v>
      </c>
      <c r="AY82" s="27">
        <f>-AY74</f>
        <v>35.064999285447271</v>
      </c>
      <c r="BA82" s="34" t="str">
        <f t="shared" ca="1" si="1"/>
        <v>TaxPools</v>
      </c>
      <c r="BB82" s="1" t="str">
        <f t="shared" si="18"/>
        <v>Capital allowances</v>
      </c>
      <c r="BC82" s="1" t="str">
        <f t="shared" si="29"/>
        <v>Special rates Pool</v>
      </c>
    </row>
    <row r="83" spans="2:55" x14ac:dyDescent="0.35">
      <c r="E83" t="s">
        <v>321</v>
      </c>
      <c r="G83" t="str">
        <f t="shared" si="27"/>
        <v>£m nominal</v>
      </c>
      <c r="AU83" s="152">
        <f>SUM(AU80:AU82)</f>
        <v>37.942422386224521</v>
      </c>
      <c r="AV83" s="12">
        <f>SUM(AV80:AV82)</f>
        <v>44.157285301829525</v>
      </c>
      <c r="AW83" s="12">
        <f>SUM(AW80:AW82)</f>
        <v>50.958791967679545</v>
      </c>
      <c r="AX83" s="12">
        <f>SUM(AX80:AX82)</f>
        <v>42.21933245086268</v>
      </c>
      <c r="AY83" s="12">
        <f>SUM(AY80:AY82)</f>
        <v>35.064999285447271</v>
      </c>
      <c r="BA83" s="34" t="str">
        <f t="shared" ca="1" si="1"/>
        <v>TaxPools</v>
      </c>
      <c r="BB83" s="1" t="str">
        <f t="shared" si="18"/>
        <v>Capital allowances</v>
      </c>
      <c r="BC83" s="1" t="str">
        <f t="shared" si="29"/>
        <v>Special rates Pool</v>
      </c>
    </row>
    <row r="84" spans="2:55" x14ac:dyDescent="0.35">
      <c r="E84" t="s">
        <v>438</v>
      </c>
      <c r="G84" t="str">
        <f t="shared" si="27"/>
        <v>£m nominal</v>
      </c>
      <c r="AU84" s="152">
        <f>AU83*-AU$32</f>
        <v>-18.971211193112261</v>
      </c>
      <c r="AV84" s="12">
        <f>AV83*-AV$32</f>
        <v>-22.078642650914762</v>
      </c>
      <c r="AW84" s="12">
        <f>AW83*-AW$32</f>
        <v>-25.479395983839773</v>
      </c>
      <c r="AX84" s="12">
        <f>AX83*-AX$32</f>
        <v>-21.10966622543134</v>
      </c>
      <c r="AY84" s="12">
        <f>AY83*-AY$32</f>
        <v>-17.532499642723636</v>
      </c>
      <c r="BA84" s="34" t="str">
        <f t="shared" ca="1" si="1"/>
        <v>TaxPools</v>
      </c>
      <c r="BB84" s="1" t="str">
        <f t="shared" si="18"/>
        <v>Capital allowances</v>
      </c>
      <c r="BC84" s="1" t="str">
        <f t="shared" si="29"/>
        <v>Special rates Pool</v>
      </c>
    </row>
    <row r="85" spans="2:55" x14ac:dyDescent="0.35">
      <c r="E85" t="s">
        <v>325</v>
      </c>
      <c r="G85" t="str">
        <f t="shared" si="27"/>
        <v>£m nominal</v>
      </c>
      <c r="AU85" s="152">
        <f>MAX(SUM(AU83:AU84),0)</f>
        <v>18.971211193112261</v>
      </c>
      <c r="AV85" s="12">
        <f>MAX(SUM(AV83:AV84),0)</f>
        <v>22.078642650914762</v>
      </c>
      <c r="AW85" s="12">
        <f t="shared" ref="AW85" si="33">MAX(SUM(AW83:AW84),0)</f>
        <v>25.479395983839773</v>
      </c>
      <c r="AX85" s="12">
        <f t="shared" ref="AX85" si="34">MAX(SUM(AX83:AX84),0)</f>
        <v>21.10966622543134</v>
      </c>
      <c r="AY85" s="12">
        <f t="shared" ref="AY85" si="35">MAX(SUM(AY83:AY84),0)</f>
        <v>17.532499642723636</v>
      </c>
      <c r="BA85" s="34" t="str">
        <f t="shared" ca="1" si="1"/>
        <v>TaxPools</v>
      </c>
      <c r="BB85" s="1" t="str">
        <f t="shared" si="18"/>
        <v>Capital allowances</v>
      </c>
      <c r="BC85" s="1" t="str">
        <f t="shared" si="29"/>
        <v>Special rates Pool</v>
      </c>
    </row>
    <row r="86" spans="2:55" x14ac:dyDescent="0.35">
      <c r="AU86" s="51"/>
      <c r="AV86" s="51"/>
      <c r="AW86" s="51"/>
      <c r="AX86" s="51"/>
      <c r="AY86" s="51"/>
      <c r="BA86" s="34"/>
    </row>
    <row r="87" spans="2:55" ht="17.5" thickBot="1" x14ac:dyDescent="0.45">
      <c r="B87" s="15" t="s">
        <v>327</v>
      </c>
      <c r="AU87" s="51"/>
      <c r="AV87" s="51"/>
      <c r="AW87" s="51"/>
      <c r="AX87" s="51"/>
      <c r="AY87" s="51"/>
      <c r="BA87" s="34"/>
    </row>
    <row r="88" spans="2:55" ht="16.5" thickTop="1" x14ac:dyDescent="0.35">
      <c r="E88" t="s">
        <v>291</v>
      </c>
      <c r="G88" t="str">
        <f t="shared" ref="G88:G92" si="36">nominal</f>
        <v>£m nominal</v>
      </c>
      <c r="AU88" s="152">
        <f>AU33*StartingBalance+AT92</f>
        <v>9.264760373136296</v>
      </c>
      <c r="AV88" s="12">
        <f ca="1">AV33*StartingBalance+AU92</f>
        <v>9.5318276737011427</v>
      </c>
      <c r="AW88" s="12">
        <f ca="1">AW33*StartingBalance+AV92</f>
        <v>9.7725411615894693</v>
      </c>
      <c r="AX88" s="12">
        <f ca="1">AX33*StartingBalance+AW92</f>
        <v>10.019645288985167</v>
      </c>
      <c r="AY88" s="12">
        <f ca="1">AY33*StartingBalance+AX92</f>
        <v>10.301805900264451</v>
      </c>
      <c r="BA88" s="34" t="str">
        <f t="shared" ca="1" si="1"/>
        <v>TaxPools</v>
      </c>
      <c r="BB88" s="1" t="str">
        <f t="shared" ref="BB88:BB92" si="37">$A$52</f>
        <v>Capital allowances</v>
      </c>
      <c r="BC88" s="1" t="str">
        <f>$B$87</f>
        <v>Structures and Buildings pool</v>
      </c>
    </row>
    <row r="89" spans="2:55" x14ac:dyDescent="0.35">
      <c r="E89" t="s">
        <v>315</v>
      </c>
      <c r="G89" t="str">
        <f t="shared" si="36"/>
        <v>£m nominal</v>
      </c>
      <c r="J89" t="s">
        <v>13</v>
      </c>
      <c r="AT89" s="174">
        <f t="shared" ref="AT89:AY89" si="38">AT34+AT$47*PCf</f>
        <v>9.5605462024957468</v>
      </c>
      <c r="AU89" s="154">
        <f t="shared" si="38"/>
        <v>0.55678082185259559</v>
      </c>
      <c r="AV89" s="27">
        <f t="shared" si="38"/>
        <v>0.54729915529282125</v>
      </c>
      <c r="AW89" s="27">
        <f t="shared" si="38"/>
        <v>0.57027461768785459</v>
      </c>
      <c r="AX89" s="27">
        <f t="shared" si="38"/>
        <v>0.62261215059228614</v>
      </c>
      <c r="AY89" s="27">
        <f t="shared" si="38"/>
        <v>0.5996154956661145</v>
      </c>
      <c r="BA89" s="34" t="str">
        <f t="shared" ca="1" si="1"/>
        <v>TaxPools</v>
      </c>
      <c r="BB89" s="1" t="str">
        <f t="shared" si="37"/>
        <v>Capital allowances</v>
      </c>
      <c r="BC89" s="1" t="str">
        <f t="shared" ref="BC89:BC92" si="39">$B$87</f>
        <v>Structures and Buildings pool</v>
      </c>
    </row>
    <row r="90" spans="2:55" x14ac:dyDescent="0.35">
      <c r="E90" t="s">
        <v>321</v>
      </c>
      <c r="G90" t="str">
        <f t="shared" si="36"/>
        <v>£m nominal</v>
      </c>
      <c r="AU90" s="152">
        <f>SUM(AU88:AU89)</f>
        <v>9.8215411949888924</v>
      </c>
      <c r="AV90" s="12">
        <f ca="1">SUM(AV88:AV89)</f>
        <v>10.079126828993964</v>
      </c>
      <c r="AW90" s="12">
        <f ca="1">SUM(AW88:AW89)</f>
        <v>10.342815779277323</v>
      </c>
      <c r="AX90" s="12">
        <f ca="1">SUM(AX88:AX89)</f>
        <v>10.642257439577453</v>
      </c>
      <c r="AY90" s="12">
        <f ca="1">SUM(AY88:AY89)</f>
        <v>10.901421395930566</v>
      </c>
      <c r="BA90" s="34" t="str">
        <f t="shared" ca="1" si="1"/>
        <v>TaxPools</v>
      </c>
      <c r="BB90" s="1" t="str">
        <f t="shared" si="37"/>
        <v>Capital allowances</v>
      </c>
      <c r="BC90" s="1" t="str">
        <f t="shared" si="39"/>
        <v>Structures and Buildings pool</v>
      </c>
    </row>
    <row r="91" spans="2:55" x14ac:dyDescent="0.35">
      <c r="E91" t="s">
        <v>328</v>
      </c>
      <c r="G91" t="str">
        <f t="shared" si="36"/>
        <v>£m nominal</v>
      </c>
      <c r="AU91" s="152">
        <f ca="1">-SUM(OFFSET(AT89,,-MIN(YEAR(AT$4)-YEAR($AT$4),ROUNDUP(1/AU35-1,0))):AT89)/ROUND(1/AU35,0)</f>
        <v>-0.28971352128774991</v>
      </c>
      <c r="AV91" s="12">
        <f ca="1">-SUM(OFFSET(AU89,,-MIN(YEAR(AU$4)-YEAR($AT$4),ROUNDUP(1/AV35-1,0))):AU89)/ROUND(1/AV35,0)</f>
        <v>-0.30658566740449522</v>
      </c>
      <c r="AW91" s="43">
        <f ca="1">-SUM(OFFSET(AV89,,-MIN(YEAR(AV$4)-YEAR($AT$4),ROUNDUP(1/AW35-1,0))):AV89)/ROUND(1/AW35,0)</f>
        <v>-0.32317049029215644</v>
      </c>
      <c r="AX91" s="12">
        <f ca="1">-SUM(OFFSET(AW89,,-MIN(YEAR(AW$4)-YEAR($AT$4),ROUNDUP(1/AX35-1,0))):AW89)/ROUND(1/AX35,0)</f>
        <v>-0.34045153931300048</v>
      </c>
      <c r="AY91" s="12">
        <f ca="1">-SUM(OFFSET(AX89,,-MIN(YEAR(AX$4)-YEAR($AT$4),ROUNDUP(1/AY35-1,0))):AX89)/ROUND(1/AY35,0)</f>
        <v>-0.35931857417943341</v>
      </c>
      <c r="BA91" s="34" t="str">
        <f t="shared" ca="1" si="1"/>
        <v>TaxPools</v>
      </c>
      <c r="BB91" s="1" t="str">
        <f t="shared" si="37"/>
        <v>Capital allowances</v>
      </c>
      <c r="BC91" s="1" t="str">
        <f t="shared" si="39"/>
        <v>Structures and Buildings pool</v>
      </c>
    </row>
    <row r="92" spans="2:55" x14ac:dyDescent="0.35">
      <c r="E92" t="s">
        <v>323</v>
      </c>
      <c r="G92" t="str">
        <f t="shared" si="36"/>
        <v>£m nominal</v>
      </c>
      <c r="AU92" s="152">
        <f ca="1">SUM(AU90:AU91)</f>
        <v>9.5318276737011427</v>
      </c>
      <c r="AV92" s="12">
        <f ca="1">SUM(AV90:AV91)</f>
        <v>9.7725411615894693</v>
      </c>
      <c r="AW92" s="12">
        <f t="shared" ref="AW92" ca="1" si="40">SUM(AW90:AW91)</f>
        <v>10.019645288985167</v>
      </c>
      <c r="AX92" s="12">
        <f t="shared" ref="AX92" ca="1" si="41">SUM(AX90:AX91)</f>
        <v>10.301805900264451</v>
      </c>
      <c r="AY92" s="12">
        <f t="shared" ref="AY92" ca="1" si="42">SUM(AY90:AY91)</f>
        <v>10.542102821751133</v>
      </c>
      <c r="BA92" s="34" t="str">
        <f t="shared" ca="1" si="1"/>
        <v>TaxPools</v>
      </c>
      <c r="BB92" s="1" t="str">
        <f t="shared" si="37"/>
        <v>Capital allowances</v>
      </c>
      <c r="BC92" s="1" t="str">
        <f t="shared" si="39"/>
        <v>Structures and Buildings pool</v>
      </c>
    </row>
    <row r="93" spans="2:55" x14ac:dyDescent="0.35">
      <c r="AU93" s="51"/>
      <c r="AV93" s="51"/>
      <c r="AW93" s="51"/>
      <c r="AX93" s="51"/>
      <c r="AY93" s="51"/>
      <c r="BA93" s="34"/>
    </row>
    <row r="94" spans="2:55" ht="17.5" thickBot="1" x14ac:dyDescent="0.45">
      <c r="B94" s="15" t="s">
        <v>329</v>
      </c>
      <c r="AU94" s="51"/>
      <c r="AV94" s="51"/>
      <c r="AW94" s="51"/>
      <c r="AX94" s="51"/>
      <c r="AY94" s="51"/>
      <c r="BA94" s="34"/>
    </row>
    <row r="95" spans="2:55" ht="16.5" thickTop="1" x14ac:dyDescent="0.35">
      <c r="E95" t="s">
        <v>291</v>
      </c>
      <c r="G95" t="str">
        <f t="shared" ref="G95:G99" si="43">nominal</f>
        <v>£m nominal</v>
      </c>
      <c r="AU95" s="152">
        <f>AU36*StartingBalance+AT99</f>
        <v>668.21849933633644</v>
      </c>
      <c r="AV95" s="12">
        <f ca="1">AV36*StartingBalance+AU99</f>
        <v>749.94766995282203</v>
      </c>
      <c r="AW95" s="12">
        <f ca="1">AW36*StartingBalance+AV99</f>
        <v>838.19606347272065</v>
      </c>
      <c r="AX95" s="12">
        <f ca="1">AX36*StartingBalance+AW99</f>
        <v>922.62796087612776</v>
      </c>
      <c r="AY95" s="12">
        <f ca="1">AY36*StartingBalance+AX99</f>
        <v>1002.2098138962108</v>
      </c>
      <c r="BA95" s="34" t="str">
        <f t="shared" ca="1" si="1"/>
        <v>TaxPools</v>
      </c>
      <c r="BB95" s="1" t="str">
        <f t="shared" ref="BB95:BB99" si="44">$A$52</f>
        <v>Capital allowances</v>
      </c>
      <c r="BC95" s="1" t="str">
        <f>$B$94</f>
        <v>Deferred revenue expenditure</v>
      </c>
    </row>
    <row r="96" spans="2:55" x14ac:dyDescent="0.35">
      <c r="E96" t="s">
        <v>316</v>
      </c>
      <c r="G96" t="str">
        <f t="shared" si="43"/>
        <v>£m nominal</v>
      </c>
      <c r="J96" t="s">
        <v>13</v>
      </c>
      <c r="AT96" s="174">
        <f t="shared" ref="AT96:AY96" si="45">AT37+(AT48*PCf)</f>
        <v>744.32698607057603</v>
      </c>
      <c r="AU96" s="152">
        <f t="shared" si="45"/>
        <v>98.269770306942817</v>
      </c>
      <c r="AV96" s="12">
        <f t="shared" si="45"/>
        <v>106.97276588384355</v>
      </c>
      <c r="AW96" s="12">
        <f t="shared" si="45"/>
        <v>105.53344234254848</v>
      </c>
      <c r="AX96" s="12">
        <f t="shared" si="45"/>
        <v>103.02858556683648</v>
      </c>
      <c r="AY96" s="12">
        <f t="shared" si="45"/>
        <v>101.74799435220446</v>
      </c>
      <c r="BA96" s="34" t="str">
        <f t="shared" ca="1" si="1"/>
        <v>TaxPools</v>
      </c>
      <c r="BB96" s="1" t="str">
        <f t="shared" si="44"/>
        <v>Capital allowances</v>
      </c>
      <c r="BC96" s="1" t="str">
        <f t="shared" ref="BC96:BC99" si="46">$B$94</f>
        <v>Deferred revenue expenditure</v>
      </c>
    </row>
    <row r="97" spans="1:55" x14ac:dyDescent="0.35">
      <c r="E97" t="s">
        <v>321</v>
      </c>
      <c r="G97" t="str">
        <f t="shared" si="43"/>
        <v>£m nominal</v>
      </c>
      <c r="AU97" s="152">
        <f>SUM(AU95:AU96)</f>
        <v>766.4882696432793</v>
      </c>
      <c r="AV97" s="12">
        <f ca="1">SUM(AV95:AV96)</f>
        <v>856.92043583666555</v>
      </c>
      <c r="AW97" s="12">
        <f ca="1">SUM(AW95:AW96)</f>
        <v>943.72950581526914</v>
      </c>
      <c r="AX97" s="12">
        <f ca="1">SUM(AX95:AX96)</f>
        <v>1025.6565464429643</v>
      </c>
      <c r="AY97" s="12">
        <f ca="1">SUM(AY95:AY96)</f>
        <v>1103.9578082484152</v>
      </c>
      <c r="BA97" s="34" t="str">
        <f t="shared" ca="1" si="1"/>
        <v>TaxPools</v>
      </c>
      <c r="BB97" s="1" t="str">
        <f t="shared" si="44"/>
        <v>Capital allowances</v>
      </c>
      <c r="BC97" s="1" t="str">
        <f t="shared" si="46"/>
        <v>Deferred revenue expenditure</v>
      </c>
    </row>
    <row r="98" spans="1:55" x14ac:dyDescent="0.35">
      <c r="E98" t="s">
        <v>440</v>
      </c>
      <c r="G98" t="str">
        <f t="shared" si="43"/>
        <v>£m nominal</v>
      </c>
      <c r="AU98" s="152">
        <f ca="1">-SUM(OFFSET(AT96,,-MIN(YEAR(AT$4)-YEAR($AT$4),ROUNDUP(1/AU38-1,0))):AT96)/ROUND(1/AU38,0)</f>
        <v>-16.540599690457245</v>
      </c>
      <c r="AV98" s="12">
        <f ca="1">-SUM(OFFSET(AU96,,-MIN(YEAR(AU$4)-YEAR($AT$4),ROUNDUP(1/AV38-1,0))):AU96)/ROUND(1/AV38,0)</f>
        <v>-18.724372363944862</v>
      </c>
      <c r="AW98" s="43">
        <f ca="1">-SUM(OFFSET(AV96,,-MIN(YEAR(AV$4)-YEAR($AT$4),ROUNDUP(1/AW38-1,0))):AV96)/ROUND(1/AW38,0)</f>
        <v>-21.101544939141387</v>
      </c>
      <c r="AX98" s="43">
        <f ca="1">-SUM(OFFSET(AW96,,-MIN(YEAR(AW$4)-YEAR($AT$4),ROUNDUP(1/AX38-1,0))):AW96)/ROUND(1/AX38,0)</f>
        <v>-23.446732546753577</v>
      </c>
      <c r="AY98" s="43">
        <f ca="1">-SUM(OFFSET(AX96,,-MIN(YEAR(AX$4)-YEAR($AT$4),ROUNDUP(1/AY38-1,0))):AX96)/ROUND(1/AY38,0)</f>
        <v>-25.736256670461053</v>
      </c>
      <c r="BA98" s="34" t="str">
        <f t="shared" ca="1" si="1"/>
        <v>TaxPools</v>
      </c>
      <c r="BB98" s="1" t="str">
        <f t="shared" si="44"/>
        <v>Capital allowances</v>
      </c>
      <c r="BC98" s="1" t="str">
        <f t="shared" si="46"/>
        <v>Deferred revenue expenditure</v>
      </c>
    </row>
    <row r="99" spans="1:55" x14ac:dyDescent="0.35">
      <c r="E99" t="s">
        <v>323</v>
      </c>
      <c r="G99" t="str">
        <f t="shared" si="43"/>
        <v>£m nominal</v>
      </c>
      <c r="AU99" s="152">
        <f ca="1">SUM(AU97:AU98)</f>
        <v>749.94766995282203</v>
      </c>
      <c r="AV99" s="12">
        <f t="shared" ref="AV99:AY99" ca="1" si="47">SUM(AV97:AV98)</f>
        <v>838.19606347272065</v>
      </c>
      <c r="AW99" s="12">
        <f t="shared" ca="1" si="47"/>
        <v>922.62796087612776</v>
      </c>
      <c r="AX99" s="12">
        <f t="shared" ca="1" si="47"/>
        <v>1002.2098138962108</v>
      </c>
      <c r="AY99" s="12">
        <f t="shared" ca="1" si="47"/>
        <v>1078.2215515779542</v>
      </c>
      <c r="BA99" s="34" t="str">
        <f t="shared" ca="1" si="1"/>
        <v>TaxPools</v>
      </c>
      <c r="BB99" s="1" t="str">
        <f t="shared" si="44"/>
        <v>Capital allowances</v>
      </c>
      <c r="BC99" s="1" t="str">
        <f t="shared" si="46"/>
        <v>Deferred revenue expenditure</v>
      </c>
    </row>
    <row r="100" spans="1:55" x14ac:dyDescent="0.35">
      <c r="AU100" s="51"/>
      <c r="AV100" s="51"/>
      <c r="AW100" s="51"/>
      <c r="AX100" s="51"/>
      <c r="AY100" s="51"/>
      <c r="BA100" s="34"/>
    </row>
    <row r="101" spans="1:55" ht="17.5" thickBot="1" x14ac:dyDescent="0.45">
      <c r="B101" s="15" t="s">
        <v>330</v>
      </c>
      <c r="AU101" s="51"/>
      <c r="AV101" s="51"/>
      <c r="AW101" s="51"/>
      <c r="AX101" s="51"/>
      <c r="AY101" s="51"/>
      <c r="BA101" s="34"/>
    </row>
    <row r="102" spans="1:55" ht="16.5" thickTop="1" x14ac:dyDescent="0.35">
      <c r="E102" t="s">
        <v>331</v>
      </c>
      <c r="G102" t="str">
        <f t="shared" ref="G102:G106" si="48">nominal</f>
        <v>£m nominal</v>
      </c>
      <c r="AU102" s="152">
        <f t="shared" ref="AU102:AX102" si="49">-SUM(AU60,AU67)</f>
        <v>29.931322105527816</v>
      </c>
      <c r="AV102" s="12">
        <f t="shared" si="49"/>
        <v>32.268706036262877</v>
      </c>
      <c r="AW102" s="12">
        <f t="shared" si="49"/>
        <v>28.486758206460248</v>
      </c>
      <c r="AX102" s="12">
        <f t="shared" si="49"/>
        <v>22.82475028859881</v>
      </c>
      <c r="AY102" s="12">
        <f>-SUM(AY60,AY67)</f>
        <v>21.85040168514346</v>
      </c>
      <c r="BA102" s="34" t="str">
        <f t="shared" ca="1" si="1"/>
        <v>TaxPools</v>
      </c>
      <c r="BB102" s="1" t="str">
        <f t="shared" ref="BB102:BB106" si="50">$A$52</f>
        <v>Capital allowances</v>
      </c>
      <c r="BC102" s="1" t="str">
        <f>$B$101</f>
        <v>Total capital allowances</v>
      </c>
    </row>
    <row r="103" spans="1:55" x14ac:dyDescent="0.35">
      <c r="E103" t="s">
        <v>332</v>
      </c>
      <c r="G103" t="str">
        <f t="shared" si="48"/>
        <v>£m nominal</v>
      </c>
      <c r="AU103" s="152">
        <f t="shared" ref="AU103:AX103" si="51">-SUM(AU77,AU84)</f>
        <v>41.843226391972323</v>
      </c>
      <c r="AV103" s="12">
        <f t="shared" si="51"/>
        <v>44.716609609429952</v>
      </c>
      <c r="AW103" s="12">
        <f t="shared" si="51"/>
        <v>48.08380348389894</v>
      </c>
      <c r="AX103" s="12">
        <f t="shared" si="51"/>
        <v>43.88657303451734</v>
      </c>
      <c r="AY103" s="12">
        <f>-SUM(AY77,AY84)</f>
        <v>40.209372016790361</v>
      </c>
      <c r="BA103" s="34" t="str">
        <f t="shared" ca="1" si="1"/>
        <v>TaxPools</v>
      </c>
      <c r="BB103" s="1" t="str">
        <f t="shared" si="50"/>
        <v>Capital allowances</v>
      </c>
      <c r="BC103" s="1" t="str">
        <f t="shared" ref="BC103:BC106" si="52">$B$101</f>
        <v>Total capital allowances</v>
      </c>
    </row>
    <row r="104" spans="1:55" x14ac:dyDescent="0.35">
      <c r="E104" t="s">
        <v>328</v>
      </c>
      <c r="G104" t="str">
        <f t="shared" si="48"/>
        <v>£m nominal</v>
      </c>
      <c r="AU104" s="154">
        <f ca="1">-AU91</f>
        <v>0.28971352128774991</v>
      </c>
      <c r="AV104" s="27">
        <f ca="1">-AV91</f>
        <v>0.30658566740449522</v>
      </c>
      <c r="AW104" s="27">
        <f ca="1">-AW91</f>
        <v>0.32317049029215644</v>
      </c>
      <c r="AX104" s="27">
        <f ca="1">-AX91</f>
        <v>0.34045153931300048</v>
      </c>
      <c r="AY104" s="27">
        <f ca="1">-AY91</f>
        <v>0.35931857417943341</v>
      </c>
      <c r="BA104" s="34" t="str">
        <f t="shared" ca="1" si="1"/>
        <v>TaxPools</v>
      </c>
      <c r="BB104" s="1" t="str">
        <f t="shared" si="50"/>
        <v>Capital allowances</v>
      </c>
      <c r="BC104" s="1" t="str">
        <f t="shared" si="52"/>
        <v>Total capital allowances</v>
      </c>
    </row>
    <row r="105" spans="1:55" x14ac:dyDescent="0.35">
      <c r="E105" t="s">
        <v>440</v>
      </c>
      <c r="G105" t="str">
        <f t="shared" si="48"/>
        <v>£m nominal</v>
      </c>
      <c r="AU105" s="154">
        <f ca="1">-AU98</f>
        <v>16.540599690457245</v>
      </c>
      <c r="AV105" s="27">
        <f t="shared" ref="AV105:AY105" ca="1" si="53">-AV98</f>
        <v>18.724372363944862</v>
      </c>
      <c r="AW105" s="27">
        <f t="shared" ca="1" si="53"/>
        <v>21.101544939141387</v>
      </c>
      <c r="AX105" s="27">
        <f t="shared" ca="1" si="53"/>
        <v>23.446732546753577</v>
      </c>
      <c r="AY105" s="27">
        <f t="shared" ca="1" si="53"/>
        <v>25.736256670461053</v>
      </c>
      <c r="BA105" s="34" t="str">
        <f t="shared" ca="1" si="1"/>
        <v>TaxPools</v>
      </c>
      <c r="BB105" s="1" t="str">
        <f t="shared" si="50"/>
        <v>Capital allowances</v>
      </c>
      <c r="BC105" s="1" t="str">
        <f t="shared" si="52"/>
        <v>Total capital allowances</v>
      </c>
    </row>
    <row r="106" spans="1:55" x14ac:dyDescent="0.35">
      <c r="E106" t="s">
        <v>319</v>
      </c>
      <c r="G106" t="str">
        <f t="shared" si="48"/>
        <v>£m nominal</v>
      </c>
      <c r="AU106" s="155">
        <f ca="1">SUM(AU102:AU105)</f>
        <v>88.604861709245128</v>
      </c>
      <c r="AV106" s="52">
        <f t="shared" ref="AV106:AY106" ca="1" si="54">SUM(AV102:AV105)</f>
        <v>96.016273677042179</v>
      </c>
      <c r="AW106" s="52">
        <f t="shared" ca="1" si="54"/>
        <v>97.995277119792732</v>
      </c>
      <c r="AX106" s="52">
        <f t="shared" ca="1" si="54"/>
        <v>90.498507409182722</v>
      </c>
      <c r="AY106" s="52">
        <f t="shared" ca="1" si="54"/>
        <v>88.155348946574307</v>
      </c>
      <c r="BA106" s="34" t="str">
        <f t="shared" ref="BA106" ca="1" si="55">$A$1</f>
        <v>TaxPools</v>
      </c>
      <c r="BB106" s="1" t="str">
        <f t="shared" si="50"/>
        <v>Capital allowances</v>
      </c>
      <c r="BC106" s="1" t="str">
        <f t="shared" si="52"/>
        <v>Total capital allowances</v>
      </c>
    </row>
    <row r="107" spans="1:55" x14ac:dyDescent="0.35"/>
    <row r="108" spans="1:55" ht="20" thickBot="1" x14ac:dyDescent="0.5">
      <c r="A108" s="13" t="s">
        <v>386</v>
      </c>
    </row>
    <row r="109" spans="1:55" ht="16.5" thickTop="1" x14ac:dyDescent="0.35"/>
    <row r="110" spans="1:55" x14ac:dyDescent="0.35"/>
  </sheetData>
  <conditionalFormatting sqref="H1">
    <cfRule type="cellIs" dxfId="7" priority="1" operator="equal">
      <formula>"ERROR"</formula>
    </cfRule>
  </conditionalFormatting>
  <pageMargins left="0.7" right="0.7" top="0.75" bottom="0.75" header="0.3" footer="0.3"/>
  <pageSetup paperSize="9" orientation="portrait" r:id="rId1"/>
  <headerFooter>
    <oddHeader>&amp;L&amp;"Aptos"&amp;10&amp;K000000 Classified as Internal&amp;1#_x000D_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Drop Down 1">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13649-BCEE-48A9-BDD0-E89ED2FB5303}">
  <sheetPr codeName="Sheet1">
    <tabColor rgb="FFBAA0CC"/>
    <pageSetUpPr autoPageBreaks="0"/>
  </sheetPr>
  <dimension ref="A1:BF124"/>
  <sheetViews>
    <sheetView zoomScaleNormal="100" workbookViewId="0">
      <pane xSplit="46" ySplit="4" topLeftCell="AU5" activePane="bottomRight" state="frozen"/>
      <selection pane="topRight" activeCell="AU1" sqref="AU1"/>
      <selection pane="bottomLeft" activeCell="A5" sqref="A5"/>
      <selection pane="bottomRight"/>
    </sheetView>
  </sheetViews>
  <sheetFormatPr defaultColWidth="0" defaultRowHeight="16" zeroHeight="1" outlineLevelRow="1" outlineLevelCol="1" x14ac:dyDescent="0.35"/>
  <cols>
    <col min="1" max="3" width="1.90625" customWidth="1"/>
    <col min="4" max="4" width="15.6328125" customWidth="1"/>
    <col min="5" max="5" width="65.6328125" customWidth="1"/>
    <col min="6" max="6" width="8.6328125" customWidth="1"/>
    <col min="7" max="7" width="17.6328125" customWidth="1"/>
    <col min="8" max="8" width="9.6328125" customWidth="1"/>
    <col min="9" max="9" width="11.6328125" customWidth="1"/>
    <col min="10" max="10" width="2.08984375" customWidth="1"/>
    <col min="11" max="45" width="11.6328125" hidden="1" customWidth="1" outlineLevel="1"/>
    <col min="46" max="46" width="11.6328125" style="61" hidden="1" customWidth="1" outlineLevel="1"/>
    <col min="47" max="47" width="11.6328125" customWidth="1" collapsed="1"/>
    <col min="48" max="51" width="11.6328125" customWidth="1"/>
    <col min="52" max="52" width="18.6328125" customWidth="1"/>
    <col min="53" max="56" width="10.6328125" style="1" customWidth="1"/>
    <col min="57" max="57" width="10.6328125" customWidth="1"/>
    <col min="58" max="58" width="1.6328125" style="6" customWidth="1"/>
    <col min="59" max="16384" width="9.08984375" hidden="1"/>
  </cols>
  <sheetData>
    <row r="1" spans="1:56" s="90" customFormat="1" x14ac:dyDescent="0.35">
      <c r="A1" s="95" t="str" cm="1">
        <f t="array" aca="1" ref="A1" ca="1">MID(CELL("filename",$A$1),FIND("]",CELL("filename",$A$1))+1,255)</f>
        <v>Finance</v>
      </c>
      <c r="E1" s="107"/>
      <c r="G1" s="90" t="s">
        <v>572</v>
      </c>
      <c r="H1" s="27" t="e">
        <f>Checks!I7</f>
        <v>#REF!</v>
      </c>
      <c r="AT1" s="96"/>
    </row>
    <row r="2" spans="1:56" s="90" customFormat="1" ht="15" customHeight="1" x14ac:dyDescent="0.35">
      <c r="AT2" s="96"/>
    </row>
    <row r="3" spans="1:56" s="90" customFormat="1" ht="15" customHeight="1" x14ac:dyDescent="0.35">
      <c r="E3" s="90" t="s">
        <v>1</v>
      </c>
      <c r="F3" s="90" t="s">
        <v>2</v>
      </c>
      <c r="G3" s="90" t="s">
        <v>3</v>
      </c>
      <c r="H3" s="90" t="s">
        <v>4</v>
      </c>
      <c r="I3" s="90" t="s">
        <v>5</v>
      </c>
      <c r="AT3" s="96"/>
      <c r="AU3" s="90" t="s">
        <v>6</v>
      </c>
    </row>
    <row r="4" spans="1:56" s="90" customFormat="1" ht="15" customHeight="1" x14ac:dyDescent="0.35">
      <c r="D4" s="92" t="s">
        <v>459</v>
      </c>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92" t="s">
        <v>591</v>
      </c>
      <c r="BB4" s="92" t="s">
        <v>592</v>
      </c>
      <c r="BC4" s="92" t="s">
        <v>593</v>
      </c>
      <c r="BD4" s="92" t="s">
        <v>594</v>
      </c>
    </row>
    <row r="5" spans="1:56" x14ac:dyDescent="0.35">
      <c r="AP5" s="1"/>
      <c r="AQ5" s="1"/>
      <c r="AR5" s="1"/>
      <c r="AS5" s="1"/>
      <c r="AT5" s="71"/>
    </row>
    <row r="6" spans="1:56" ht="20" thickBot="1" x14ac:dyDescent="0.5">
      <c r="A6" s="13" t="s">
        <v>484</v>
      </c>
      <c r="AP6" s="1"/>
      <c r="AQ6" s="1"/>
      <c r="AR6" s="1"/>
      <c r="AS6" s="1"/>
      <c r="AT6" s="71"/>
      <c r="AU6" s="1"/>
      <c r="AV6" s="1"/>
      <c r="AW6" s="1"/>
      <c r="AX6" s="1"/>
      <c r="AY6" s="1"/>
    </row>
    <row r="7" spans="1:56" ht="16.5" outlineLevel="1" thickTop="1" x14ac:dyDescent="0.35">
      <c r="D7" s="1" t="str" cm="1">
        <f t="array" aca="1" ref="D7" ca="1">IFERROR(MID(_xlfn.FORMULATEXT(I7),FIND("=",_xlfn.FORMULATEXT(I7))+1,FIND("!",_xlfn.FORMULATEXT(I7))-2),MID(_xlfn.FORMULATEXT(INDEX(L7:AV7,MATCH(FALSE,ISBLANK(L7:AV7),0))),FIND("=",_xlfn.FORMULATEXT(INDEX(L7:AV7,MATCH(FALSE,ISBLANK(L7:AV7),0))))+1,FIND("!",_xlfn.FORMULATEXT(INDEX(L7:AV7,MATCH(FALSE,ISBLANK(L7:AV7),0))))-2))</f>
        <v>Revenue</v>
      </c>
      <c r="E7" t="s">
        <v>333</v>
      </c>
      <c r="G7" t="str">
        <f t="shared" ref="G7:G28" si="0">price_label</f>
        <v>£m 23/24 prices</v>
      </c>
      <c r="AU7" s="148">
        <f>Revenue!AU20</f>
        <v>452.76852966450082</v>
      </c>
      <c r="AV7" s="50">
        <f ca="1">Revenue!AV20</f>
        <v>469.94959728980933</v>
      </c>
      <c r="AW7" s="50">
        <f ca="1">Revenue!AW20</f>
        <v>479.43459929062755</v>
      </c>
      <c r="AX7" s="50">
        <f ca="1">Revenue!AX20</f>
        <v>477.98439192842164</v>
      </c>
      <c r="AY7" s="50">
        <f ca="1">Revenue!AY20</f>
        <v>476.52029165337319</v>
      </c>
      <c r="AZ7" s="1"/>
      <c r="BA7" s="34"/>
    </row>
    <row r="8" spans="1:56" outlineLevel="1" x14ac:dyDescent="0.35">
      <c r="D8" s="1" t="str" cm="1">
        <f t="array" aca="1" ref="D8" ca="1">IFERROR(MID(_xlfn.FORMULATEXT(I8),FIND("=",_xlfn.FORMULATEXT(I8))+1,FIND("!",_xlfn.FORMULATEXT(I8))-2),MID(_xlfn.FORMULATEXT(INDEX(L8:AV8,MATCH(FALSE,ISBLANK(L8:AV8),0))),FIND("=",_xlfn.FORMULATEXT(INDEX(L8:AV8,MATCH(FALSE,ISBLANK(L8:AV8),0))))+1,FIND("!",_xlfn.FORMULATEXT(INDEX(L8:AV8,MATCH(FALSE,ISBLANK(L8:AV8),0))))-2))</f>
        <v>Transform</v>
      </c>
      <c r="E8" t="s">
        <v>225</v>
      </c>
      <c r="G8" t="s">
        <v>109</v>
      </c>
      <c r="AU8" s="149">
        <f>Transform!AU170</f>
        <v>0.6</v>
      </c>
      <c r="AV8" s="53">
        <f>Transform!AV170</f>
        <v>0.6</v>
      </c>
      <c r="AW8" s="53">
        <f>Transform!AW170</f>
        <v>0.6</v>
      </c>
      <c r="AX8" s="53">
        <f>Transform!AX170</f>
        <v>0.6</v>
      </c>
      <c r="AY8" s="53">
        <f>Transform!AY170</f>
        <v>0.6</v>
      </c>
    </row>
    <row r="9" spans="1:56" outlineLevel="1" x14ac:dyDescent="0.35">
      <c r="D9" s="1" t="str" cm="1">
        <f t="array" aca="1" ref="D9" ca="1">IFERROR(MID(_xlfn.FORMULATEXT(I9),FIND("=",_xlfn.FORMULATEXT(I9))+1,FIND("!",_xlfn.FORMULATEXT(I9))-2),MID(_xlfn.FORMULATEXT(INDEX(L9:AV9,MATCH(FALSE,ISBLANK(L9:AV9),0))),FIND("=",_xlfn.FORMULATEXT(INDEX(L9:AV9,MATCH(FALSE,ISBLANK(L9:AV9),0))))+1,FIND("!",_xlfn.FORMULATEXT(INDEX(L9:AV9,MATCH(FALSE,ISBLANK(L9:AV9),0))))-2))</f>
        <v>Totex</v>
      </c>
      <c r="E9" t="s">
        <v>9</v>
      </c>
      <c r="G9" t="str">
        <f t="shared" si="0"/>
        <v>£m 23/24 prices</v>
      </c>
      <c r="AU9" s="148">
        <f>Totex!AU85</f>
        <v>259.73142979289491</v>
      </c>
      <c r="AV9" s="50">
        <f>Totex!AV85</f>
        <v>271.79896316388141</v>
      </c>
      <c r="AW9" s="50">
        <f>Totex!AW85</f>
        <v>271.10774201776303</v>
      </c>
      <c r="AX9" s="50">
        <f>Totex!AX85</f>
        <v>257.15535996956191</v>
      </c>
      <c r="AY9" s="50">
        <f>Totex!AY85</f>
        <v>244.53230894633663</v>
      </c>
      <c r="BA9" s="34"/>
    </row>
    <row r="10" spans="1:56" outlineLevel="1" x14ac:dyDescent="0.35">
      <c r="D10" s="1" t="str" cm="1">
        <f t="array" aca="1" ref="D10" ca="1">IFERROR(MID(_xlfn.FORMULATEXT(I10),FIND("=",_xlfn.FORMULATEXT(I10))+1,FIND("!",_xlfn.FORMULATEXT(I10))-2),MID(_xlfn.FORMULATEXT(INDEX(L10:AV10,MATCH(FALSE,ISBLANK(L10:AV10),0))),FIND("=",_xlfn.FORMULATEXT(INDEX(L10:AV10,MATCH(FALSE,ISBLANK(L10:AV10),0))))+1,FIND("!",_xlfn.FORMULATEXT(INDEX(L10:AV10,MATCH(FALSE,ISBLANK(L10:AV10),0))))-2))</f>
        <v>Transform</v>
      </c>
      <c r="E10" t="s">
        <v>449</v>
      </c>
      <c r="G10" t="str">
        <f t="shared" si="0"/>
        <v>£m 23/24 prices</v>
      </c>
      <c r="AU10" s="148">
        <f>Transform!AU134</f>
        <v>0</v>
      </c>
      <c r="AV10" s="50">
        <f>Transform!AV134</f>
        <v>0</v>
      </c>
      <c r="AW10" s="50">
        <f>Transform!AW134</f>
        <v>0</v>
      </c>
      <c r="AX10" s="50">
        <f>Transform!AX134</f>
        <v>0</v>
      </c>
      <c r="AY10" s="50">
        <f>Transform!AY134</f>
        <v>0</v>
      </c>
    </row>
    <row r="11" spans="1:56" outlineLevel="1" x14ac:dyDescent="0.35">
      <c r="D11" s="1" t="str" cm="1">
        <f t="array" aca="1" ref="D11" ca="1">IFERROR(MID(_xlfn.FORMULATEXT(I11),FIND("=",_xlfn.FORMULATEXT(I11))+1,FIND("!",_xlfn.FORMULATEXT(I11))-2),MID(_xlfn.FORMULATEXT(INDEX(L11:AV11,MATCH(FALSE,ISBLANK(L11:AV11),0))),FIND("=",_xlfn.FORMULATEXT(INDEX(L11:AV11,MATCH(FALSE,ISBLANK(L11:AV11),0))))+1,FIND("!",_xlfn.FORMULATEXT(INDEX(L11:AV11,MATCH(FALSE,ISBLANK(L11:AV11),0))))-2))</f>
        <v>Transform</v>
      </c>
      <c r="E11" t="s">
        <v>202</v>
      </c>
      <c r="G11" t="str">
        <f t="shared" si="0"/>
        <v>£m 23/24 prices</v>
      </c>
      <c r="AU11" s="148">
        <f>Transform!AU223</f>
        <v>-8.183739375</v>
      </c>
      <c r="AV11" s="50">
        <f>Transform!AV223</f>
        <v>-8.5845247937500009</v>
      </c>
      <c r="AW11" s="50">
        <f>Transform!AW223</f>
        <v>-9.0437251534374994</v>
      </c>
      <c r="AX11" s="50">
        <f>Transform!AX223</f>
        <v>-9.5108419273093805</v>
      </c>
      <c r="AY11" s="50">
        <f>Transform!AY223</f>
        <v>-10.0058532618868</v>
      </c>
    </row>
    <row r="12" spans="1:56" outlineLevel="1" x14ac:dyDescent="0.35">
      <c r="D12" s="1" t="str" cm="1">
        <f t="array" aca="1" ref="D12" ca="1">IFERROR(MID(_xlfn.FORMULATEXT(I12),FIND("=",_xlfn.FORMULATEXT(I12))+1,FIND("!",_xlfn.FORMULATEXT(I12))-2),MID(_xlfn.FORMULATEXT(INDEX(L12:AV12,MATCH(FALSE,ISBLANK(L12:AV12),0))),FIND("=",_xlfn.FORMULATEXT(INDEX(L12:AV12,MATCH(FALSE,ISBLANK(L12:AV12),0))))+1,FIND("!",_xlfn.FORMULATEXT(INDEX(L12:AV12,MATCH(FALSE,ISBLANK(L12:AV12),0))))-2))</f>
        <v>Transform</v>
      </c>
      <c r="E12" t="s">
        <v>244</v>
      </c>
      <c r="G12" t="str">
        <f t="shared" si="0"/>
        <v>£m 23/24 prices</v>
      </c>
      <c r="AU12" s="148">
        <f>Transform!AU81</f>
        <v>88.217121756009078</v>
      </c>
      <c r="AV12" s="50">
        <f>Transform!AV81</f>
        <v>93.899136140797623</v>
      </c>
      <c r="AW12" s="50">
        <f>Transform!AW81</f>
        <v>94.420567416011451</v>
      </c>
      <c r="AX12" s="50">
        <f>Transform!AX81</f>
        <v>95.604557557967112</v>
      </c>
      <c r="AY12" s="50">
        <f>Transform!AY81</f>
        <v>95.366089830296715</v>
      </c>
    </row>
    <row r="13" spans="1:56" outlineLevel="1" x14ac:dyDescent="0.35">
      <c r="D13" s="1" t="str" cm="1">
        <f t="array" aca="1" ref="D13" ca="1">IFERROR(MID(_xlfn.FORMULATEXT(I13),FIND("=",_xlfn.FORMULATEXT(I13))+1,FIND("!",_xlfn.FORMULATEXT(I13))-2),MID(_xlfn.FORMULATEXT(INDEX(L13:AV13,MATCH(FALSE,ISBLANK(L13:AV13),0))),FIND("=",_xlfn.FORMULATEXT(INDEX(L13:AV13,MATCH(FALSE,ISBLANK(L13:AV13),0))))+1,FIND("!",_xlfn.FORMULATEXT(INDEX(L13:AV13,MATCH(FALSE,ISBLANK(L13:AV13),0))))-2))</f>
        <v>Transform</v>
      </c>
      <c r="E13" t="s">
        <v>422</v>
      </c>
      <c r="G13" t="str">
        <f t="shared" si="0"/>
        <v>£m 23/24 prices</v>
      </c>
      <c r="AU13" s="148">
        <f>Transform!AU91</f>
        <v>7.1760000000000002</v>
      </c>
      <c r="AV13" s="50">
        <f>Transform!AV91</f>
        <v>7.1760000000000002</v>
      </c>
      <c r="AW13" s="50">
        <f>Transform!AW91</f>
        <v>7.1760000000000002</v>
      </c>
      <c r="AX13" s="50">
        <f>Transform!AX91</f>
        <v>7.1760000000000002</v>
      </c>
      <c r="AY13" s="50">
        <f>Transform!AY91</f>
        <v>7.1760000000000002</v>
      </c>
    </row>
    <row r="14" spans="1:56" outlineLevel="1" x14ac:dyDescent="0.35">
      <c r="D14" s="1" t="str" cm="1">
        <f t="array" aca="1" ref="D14" ca="1">IFERROR(MID(_xlfn.FORMULATEXT(I14),FIND("=",_xlfn.FORMULATEXT(I14))+1,FIND("!",_xlfn.FORMULATEXT(I14))-2),MID(_xlfn.FORMULATEXT(INDEX(L14:AV14,MATCH(FALSE,ISBLANK(L14:AV14),0))),FIND("=",_xlfn.FORMULATEXT(INDEX(L14:AV14,MATCH(FALSE,ISBLANK(L14:AV14),0))))+1,FIND("!",_xlfn.FORMULATEXT(INDEX(L14:AV14,MATCH(FALSE,ISBLANK(L14:AV14),0))))-2))</f>
        <v>Tax</v>
      </c>
      <c r="E14" t="s">
        <v>334</v>
      </c>
      <c r="G14" t="str">
        <f>nominal</f>
        <v>£m nominal</v>
      </c>
      <c r="AU14" s="148">
        <f ca="1">Tax!AU87</f>
        <v>36.91761201656071</v>
      </c>
      <c r="AV14" s="50">
        <f ca="1">Tax!AV87</f>
        <v>40.619402867514168</v>
      </c>
      <c r="AW14" s="50">
        <f ca="1">Tax!AW87</f>
        <v>44.873205596498579</v>
      </c>
      <c r="AX14" s="50">
        <f ca="1">Tax!AX87</f>
        <v>46.485012215746565</v>
      </c>
      <c r="AY14" s="50">
        <f ca="1">Tax!AY87</f>
        <v>49.253942338035756</v>
      </c>
      <c r="BA14" s="34"/>
    </row>
    <row r="15" spans="1:56" outlineLevel="1" x14ac:dyDescent="0.35">
      <c r="D15" s="1" t="str" cm="1">
        <f t="array" aca="1" ref="D15" ca="1">IFERROR(MID(_xlfn.FORMULATEXT(I15),FIND("=",_xlfn.FORMULATEXT(I15))+1,FIND("!",_xlfn.FORMULATEXT(I15))-2),MID(_xlfn.FORMULATEXT(INDEX(L15:AV15,MATCH(FALSE,ISBLANK(L15:AV15),0))),FIND("=",_xlfn.FORMULATEXT(INDEX(L15:AV15,MATCH(FALSE,ISBLANK(L15:AV15),0))))+1,FIND("!",_xlfn.FORMULATEXT(INDEX(L15:AV15,MATCH(FALSE,ISBLANK(L15:AV15),0))))-2))</f>
        <v>Tax</v>
      </c>
      <c r="E15" t="s">
        <v>335</v>
      </c>
      <c r="G15" t="str">
        <f t="shared" ref="G15:G17" si="1">nominal</f>
        <v>£m nominal</v>
      </c>
      <c r="AU15" s="148">
        <f ca="1">Tax!AU107</f>
        <v>36.91761201656071</v>
      </c>
      <c r="AV15" s="50">
        <f ca="1">Tax!AV107</f>
        <v>40.619402867514168</v>
      </c>
      <c r="AW15" s="50">
        <f ca="1">Tax!AW107</f>
        <v>44.873205596498579</v>
      </c>
      <c r="AX15" s="50">
        <f ca="1">Tax!AX107</f>
        <v>46.485012215746565</v>
      </c>
      <c r="AY15" s="50">
        <f ca="1">Tax!AY107</f>
        <v>49.253942338035756</v>
      </c>
      <c r="BA15" s="34"/>
    </row>
    <row r="16" spans="1:56" outlineLevel="1" x14ac:dyDescent="0.35">
      <c r="D16" s="1" t="str" cm="1">
        <f t="array" aca="1" ref="D16" ca="1">IFERROR(MID(_xlfn.FORMULATEXT(I16),FIND("=",_xlfn.FORMULATEXT(I16))+1,FIND("!",_xlfn.FORMULATEXT(I16))-2),MID(_xlfn.FORMULATEXT(INDEX(L16:AV16,MATCH(FALSE,ISBLANK(L16:AV16),0))),FIND("=",_xlfn.FORMULATEXT(INDEX(L16:AV16,MATCH(FALSE,ISBLANK(L16:AV16),0))))+1,FIND("!",_xlfn.FORMULATEXT(INDEX(L16:AV16,MATCH(FALSE,ISBLANK(L16:AV16),0))))-2))</f>
        <v>'Return&amp;RAV'</v>
      </c>
      <c r="E16" t="s">
        <v>304</v>
      </c>
      <c r="G16" t="str">
        <f t="shared" si="1"/>
        <v>£m nominal</v>
      </c>
      <c r="AU16" s="148">
        <f>'Return&amp;RAV'!AU26</f>
        <v>2531.3595789293786</v>
      </c>
      <c r="AV16" s="50">
        <f>'Return&amp;RAV'!AV26</f>
        <v>2574.6910317495217</v>
      </c>
      <c r="AW16" s="50">
        <f>'Return&amp;RAV'!AW26</f>
        <v>2619.6212225871154</v>
      </c>
      <c r="AX16" s="50">
        <f>'Return&amp;RAV'!AX26</f>
        <v>2653.9034490273716</v>
      </c>
      <c r="AY16" s="50">
        <f>'Return&amp;RAV'!AY26</f>
        <v>2675.3860176424996</v>
      </c>
      <c r="BA16" s="34"/>
    </row>
    <row r="17" spans="4:53" outlineLevel="1" x14ac:dyDescent="0.35">
      <c r="D17" s="1" t="str" cm="1">
        <f t="array" aca="1" ref="D17" ca="1">IFERROR(MID(_xlfn.FORMULATEXT(I17),FIND("=",_xlfn.FORMULATEXT(I17))+1,FIND("!",_xlfn.FORMULATEXT(I17))-2),MID(_xlfn.FORMULATEXT(INDEX(L17:AV17,MATCH(FALSE,ISBLANK(L17:AV17),0))),FIND("=",_xlfn.FORMULATEXT(INDEX(L17:AV17,MATCH(FALSE,ISBLANK(L17:AV17),0))))+1,FIND("!",_xlfn.FORMULATEXT(INDEX(L17:AV17,MATCH(FALSE,ISBLANK(L17:AV17),0))))-2))</f>
        <v>'Return&amp;RAV'</v>
      </c>
      <c r="E17" t="s">
        <v>578</v>
      </c>
      <c r="G17" t="str">
        <f t="shared" si="1"/>
        <v>£m nominal</v>
      </c>
      <c r="AU17" s="148">
        <f>'Return&amp;RAV'!AU25</f>
        <v>16.648973497495689</v>
      </c>
      <c r="AV17" s="50">
        <f>'Return&amp;RAV'!AV25</f>
        <v>31.507833593992899</v>
      </c>
      <c r="AW17" s="50">
        <f>'Return&amp;RAV'!AW25</f>
        <v>31.845510375109232</v>
      </c>
      <c r="AX17" s="50">
        <f>'Return&amp;RAV'!AX25</f>
        <v>32.039504620583571</v>
      </c>
      <c r="AY17" s="50">
        <f>'Return&amp;RAV'!AY25</f>
        <v>32.673538383263313</v>
      </c>
      <c r="BA17" s="34"/>
    </row>
    <row r="18" spans="4:53" outlineLevel="1" x14ac:dyDescent="0.35">
      <c r="D18" s="1" t="str" cm="1">
        <f t="array" aca="1" ref="D18" ca="1">IFERROR(MID(_xlfn.FORMULATEXT(I18),FIND("=",_xlfn.FORMULATEXT(I18))+1,FIND("!",_xlfn.FORMULATEXT(I18))-2),MID(_xlfn.FORMULATEXT(INDEX(L18:AV18,MATCH(FALSE,ISBLANK(L18:AV18),0))),FIND("=",_xlfn.FORMULATEXT(INDEX(L18:AV18,MATCH(FALSE,ISBLANK(L18:AV18),0))))+1,FIND("!",_xlfn.FORMULATEXT(INDEX(L18:AV18,MATCH(FALSE,ISBLANK(L18:AV18),0))))-2))</f>
        <v>Transform</v>
      </c>
      <c r="E18" t="s">
        <v>223</v>
      </c>
      <c r="G18" t="s">
        <v>109</v>
      </c>
      <c r="I18" s="53">
        <f>Transform!I191</f>
        <v>0.6</v>
      </c>
      <c r="BA18" s="34"/>
    </row>
    <row r="19" spans="4:53" outlineLevel="1" x14ac:dyDescent="0.35">
      <c r="D19" s="1" t="str" cm="1">
        <f t="array" aca="1" ref="D19" ca="1">IFERROR(MID(_xlfn.FORMULATEXT(I19),FIND("=",_xlfn.FORMULATEXT(I19))+1,FIND("!",_xlfn.FORMULATEXT(I19))-2),MID(_xlfn.FORMULATEXT(INDEX(L19:AV19,MATCH(FALSE,ISBLANK(L19:AV19),0))),FIND("=",_xlfn.FORMULATEXT(INDEX(L19:AV19,MATCH(FALSE,ISBLANK(L19:AV19),0))))+1,FIND("!",_xlfn.FORMULATEXT(INDEX(L19:AV19,MATCH(FALSE,ISBLANK(L19:AV19),0))))-2))</f>
        <v>'Return&amp;RAV'</v>
      </c>
      <c r="E19" t="s">
        <v>305</v>
      </c>
      <c r="G19" t="str">
        <f>nominal</f>
        <v>£m nominal</v>
      </c>
      <c r="AU19" s="148">
        <f>'Return&amp;RAV'!AU29</f>
        <v>2543.1831981555288</v>
      </c>
      <c r="AV19" s="50">
        <f>'Return&amp;RAV'!AV29</f>
        <v>2587.7757122120061</v>
      </c>
      <c r="AW19" s="50">
        <f>'Return&amp;RAV'!AW29</f>
        <v>2621.8639444067881</v>
      </c>
      <c r="AX19" s="50">
        <f>'Return&amp;RAV'!AX29</f>
        <v>2642.7124792592363</v>
      </c>
      <c r="AY19" s="50">
        <f>'Return&amp;RAV'!AY29</f>
        <v>2649.4362203139549</v>
      </c>
      <c r="BA19" s="34"/>
    </row>
    <row r="20" spans="4:53" outlineLevel="1" x14ac:dyDescent="0.35">
      <c r="D20" s="1" t="str" cm="1">
        <f t="array" aca="1" ref="D20" ca="1">IFERROR(MID(_xlfn.FORMULATEXT(I20),FIND("=",_xlfn.FORMULATEXT(I20))+1,FIND("!",_xlfn.FORMULATEXT(I20))-2),MID(_xlfn.FORMULATEXT(INDEX(L20:AV20,MATCH(FALSE,ISBLANK(L20:AV20),0))),FIND("=",_xlfn.FORMULATEXT(INDEX(L20:AV20,MATCH(FALSE,ISBLANK(L20:AV20),0))))+1,FIND("!",_xlfn.FORMULATEXT(INDEX(L20:AV20,MATCH(FALSE,ISBLANK(L20:AV20),0))))-2))</f>
        <v>Transform</v>
      </c>
      <c r="E20" t="s">
        <v>455</v>
      </c>
      <c r="G20" t="str">
        <f>Transform!G159</f>
        <v>%</v>
      </c>
      <c r="AU20" s="149">
        <f>Transform!AU159</f>
        <v>5.2449650000000014E-2</v>
      </c>
      <c r="AV20" s="53">
        <f>Transform!AV159</f>
        <v>5.3368820000000206E-2</v>
      </c>
      <c r="AW20" s="53">
        <f>Transform!AW159</f>
        <v>5.418586000000003E-2</v>
      </c>
      <c r="AX20" s="53">
        <f>Transform!AX159</f>
        <v>5.5309290000000289E-2</v>
      </c>
      <c r="AY20" s="53">
        <f>Transform!AY159</f>
        <v>5.6534850000000025E-2</v>
      </c>
      <c r="AZ20" s="1"/>
      <c r="BA20" s="34"/>
    </row>
    <row r="21" spans="4:53" outlineLevel="1" x14ac:dyDescent="0.35">
      <c r="D21" s="1" t="str" cm="1">
        <f t="array" aca="1" ref="D21" ca="1">IFERROR(MID(_xlfn.FORMULATEXT(I21),FIND("=",_xlfn.FORMULATEXT(I21))+1,FIND("!",_xlfn.FORMULATEXT(I21))-2),MID(_xlfn.FORMULATEXT(INDEX(L21:AV21,MATCH(FALSE,ISBLANK(L21:AV21),0))),FIND("=",_xlfn.FORMULATEXT(INDEX(L21:AV21,MATCH(FALSE,ISBLANK(L21:AV21),0))))+1,FIND("!",_xlfn.FORMULATEXT(INDEX(L21:AV21,MATCH(FALSE,ISBLANK(L21:AV21),0))))-2))</f>
        <v>Transform</v>
      </c>
      <c r="E21" t="s">
        <v>798</v>
      </c>
      <c r="G21" t="str">
        <f>Transform!G160</f>
        <v>%</v>
      </c>
      <c r="AU21" s="149">
        <f>Transform!AU160</f>
        <v>5.384905256652428E-2</v>
      </c>
      <c r="AV21" s="53">
        <f>Transform!AV160</f>
        <v>5.3431295262928558E-2</v>
      </c>
      <c r="AW21" s="53">
        <f>Transform!AW160</f>
        <v>5.4100672067431521E-2</v>
      </c>
      <c r="AX21" s="53">
        <f>Transform!AX160</f>
        <v>5.5070784414307905E-2</v>
      </c>
      <c r="AY21" s="53">
        <f>Transform!AY160</f>
        <v>5.6552039153712652E-2</v>
      </c>
      <c r="AZ21" s="1"/>
      <c r="BA21" s="34"/>
    </row>
    <row r="22" spans="4:53" outlineLevel="1" x14ac:dyDescent="0.35">
      <c r="D22" s="1" t="str" cm="1">
        <f t="array" aca="1" ref="D22" ca="1">IFERROR(MID(_xlfn.FORMULATEXT(I22),FIND("=",_xlfn.FORMULATEXT(I22))+1,FIND("!",_xlfn.FORMULATEXT(I22))-2),MID(_xlfn.FORMULATEXT(INDEX(L22:AV22,MATCH(FALSE,ISBLANK(L22:AV22),0))),FIND("=",_xlfn.FORMULATEXT(INDEX(L22:AV22,MATCH(FALSE,ISBLANK(L22:AV22),0))))+1,FIND("!",_xlfn.FORMULATEXT(INDEX(L22:AV22,MATCH(FALSE,ISBLANK(L22:AV22),0))))-2))</f>
        <v>Revenue</v>
      </c>
      <c r="E22" t="s">
        <v>374</v>
      </c>
      <c r="G22" t="str">
        <f t="shared" si="0"/>
        <v>£m 23/24 prices</v>
      </c>
      <c r="AU22" s="148">
        <f>Revenue!AU12</f>
        <v>454.84626903950084</v>
      </c>
      <c r="AV22" s="50">
        <f>Revenue!AV12</f>
        <v>472.43312208355934</v>
      </c>
      <c r="AW22" s="50">
        <f>Revenue!AW12</f>
        <v>482.37932444406505</v>
      </c>
      <c r="AX22" s="50">
        <f>Revenue!AX12</f>
        <v>481.39323385573101</v>
      </c>
      <c r="AY22" s="50">
        <f>Revenue!AY12</f>
        <v>480.41714491526</v>
      </c>
      <c r="AZ22" s="1"/>
      <c r="BA22" s="34"/>
    </row>
    <row r="23" spans="4:53" outlineLevel="1" x14ac:dyDescent="0.35">
      <c r="D23" s="1" t="str" cm="1">
        <f t="array" aca="1" ref="D23" ca="1">IFERROR(MID(_xlfn.FORMULATEXT(I23),FIND("=",_xlfn.FORMULATEXT(I23))+1,FIND("!",_xlfn.FORMULATEXT(I23))-2),MID(_xlfn.FORMULATEXT(INDEX(L23:AV23,MATCH(FALSE,ISBLANK(L23:AV23),0))),FIND("=",_xlfn.FORMULATEXT(INDEX(L23:AV23,MATCH(FALSE,ISBLANK(L23:AV23),0))))+1,FIND("!",_xlfn.FORMULATEXT(INDEX(L23:AV23,MATCH(FALSE,ISBLANK(L23:AV23),0))))-2))</f>
        <v>Revenue</v>
      </c>
      <c r="E23" t="s">
        <v>733</v>
      </c>
      <c r="G23" t="str">
        <f t="shared" si="0"/>
        <v>£m 23/24 prices</v>
      </c>
      <c r="AU23" s="148">
        <f>Revenue!AU13</f>
        <v>0</v>
      </c>
      <c r="AV23" s="50">
        <f>Revenue!AV13</f>
        <v>0</v>
      </c>
      <c r="AW23" s="50">
        <f>Revenue!AW13</f>
        <v>0</v>
      </c>
      <c r="AX23" s="50">
        <f>Revenue!AX13</f>
        <v>0</v>
      </c>
      <c r="AY23" s="50">
        <f>Revenue!AY13</f>
        <v>0</v>
      </c>
      <c r="AZ23" s="1"/>
      <c r="BA23" s="34"/>
    </row>
    <row r="24" spans="4:53" outlineLevel="1" x14ac:dyDescent="0.35">
      <c r="D24" s="1" t="str" cm="1">
        <f t="array" aca="1" ref="D24" ca="1">IFERROR(MID(_xlfn.FORMULATEXT(I24),FIND("=",_xlfn.FORMULATEXT(I24))+1,FIND("!",_xlfn.FORMULATEXT(I24))-2),MID(_xlfn.FORMULATEXT(INDEX(L24:AV24,MATCH(FALSE,ISBLANK(L24:AV24),0))),FIND("=",_xlfn.FORMULATEXT(INDEX(L24:AV24,MATCH(FALSE,ISBLANK(L24:AV24),0))))+1,FIND("!",_xlfn.FORMULATEXT(INDEX(L24:AV24,MATCH(FALSE,ISBLANK(L24:AV24),0))))-2))</f>
        <v>Revenue</v>
      </c>
      <c r="E24" t="s">
        <v>449</v>
      </c>
      <c r="G24" t="str">
        <f t="shared" si="0"/>
        <v>£m 23/24 prices</v>
      </c>
      <c r="AU24" s="148">
        <f>Revenue!AU15</f>
        <v>0</v>
      </c>
      <c r="AV24" s="50">
        <f>Revenue!AV15</f>
        <v>0</v>
      </c>
      <c r="AW24" s="50">
        <f>Revenue!AW15</f>
        <v>0</v>
      </c>
      <c r="AX24" s="50">
        <f>Revenue!AX15</f>
        <v>0</v>
      </c>
      <c r="AY24" s="50">
        <f>Revenue!AY15</f>
        <v>0</v>
      </c>
      <c r="AZ24" s="1"/>
      <c r="BA24" s="34"/>
    </row>
    <row r="25" spans="4:53" outlineLevel="1" x14ac:dyDescent="0.35">
      <c r="D25" s="1" t="str" cm="1">
        <f t="array" aca="1" ref="D25" ca="1">IFERROR(MID(_xlfn.FORMULATEXT(I25),FIND("=",_xlfn.FORMULATEXT(I25))+1,FIND("!",_xlfn.FORMULATEXT(I25))-2),MID(_xlfn.FORMULATEXT(INDEX(L25:AV25,MATCH(FALSE,ISBLANK(L25:AV25),0))),FIND("=",_xlfn.FORMULATEXT(INDEX(L25:AV25,MATCH(FALSE,ISBLANK(L25:AV25),0))))+1,FIND("!",_xlfn.FORMULATEXT(INDEX(L25:AV25,MATCH(FALSE,ISBLANK(L25:AV25),0))))-2))</f>
        <v>Revenue</v>
      </c>
      <c r="E25" t="s">
        <v>202</v>
      </c>
      <c r="G25" t="str">
        <f t="shared" si="0"/>
        <v>£m 23/24 prices</v>
      </c>
      <c r="AU25" s="148">
        <f>Revenue!AU16</f>
        <v>-8.183739375</v>
      </c>
      <c r="AV25" s="50">
        <f>Revenue!AV16</f>
        <v>-8.5845247937500009</v>
      </c>
      <c r="AW25" s="50">
        <f>Revenue!AW16</f>
        <v>-9.0437251534374994</v>
      </c>
      <c r="AX25" s="50">
        <f>Revenue!AX16</f>
        <v>-9.5108419273093805</v>
      </c>
      <c r="AY25" s="50">
        <f>Revenue!AY16</f>
        <v>-10.0058532618868</v>
      </c>
      <c r="AZ25" s="1"/>
      <c r="BA25" s="34"/>
    </row>
    <row r="26" spans="4:53" outlineLevel="1" x14ac:dyDescent="0.35">
      <c r="D26" s="1" t="str" cm="1">
        <f t="array" aca="1" ref="D26" ca="1">IFERROR(MID(_xlfn.FORMULATEXT(I26),FIND("=",_xlfn.FORMULATEXT(I26))+1,FIND("!",_xlfn.FORMULATEXT(I26))-2),MID(_xlfn.FORMULATEXT(INDEX(L26:AV26,MATCH(FALSE,ISBLANK(L26:AV26),0))),FIND("=",_xlfn.FORMULATEXT(INDEX(L26:AV26,MATCH(FALSE,ISBLANK(L26:AV26),0))))+1,FIND("!",_xlfn.FORMULATEXT(INDEX(L26:AV26,MATCH(FALSE,ISBLANK(L26:AV26),0))))-2))</f>
        <v>Revenue</v>
      </c>
      <c r="E26" t="s">
        <v>409</v>
      </c>
      <c r="G26" t="str">
        <f t="shared" si="0"/>
        <v>£m 23/24 prices</v>
      </c>
      <c r="AU26" s="148">
        <f>Revenue!AU17</f>
        <v>-0.8</v>
      </c>
      <c r="AV26" s="50">
        <f>Revenue!AV17</f>
        <v>-0.80500000000000005</v>
      </c>
      <c r="AW26" s="50">
        <f>Revenue!AW17</f>
        <v>-0.80700000000000005</v>
      </c>
      <c r="AX26" s="50">
        <f>Revenue!AX17</f>
        <v>-0.80400000000000005</v>
      </c>
      <c r="AY26" s="50">
        <f>Revenue!AY17</f>
        <v>-0.79700000000000004</v>
      </c>
      <c r="AZ26" s="1"/>
      <c r="BA26" s="34"/>
    </row>
    <row r="27" spans="4:53" outlineLevel="1" x14ac:dyDescent="0.35">
      <c r="D27" s="1" t="str" cm="1">
        <f t="array" aca="1" ref="D27" ca="1">IFERROR(MID(_xlfn.FORMULATEXT(I27),FIND("=",_xlfn.FORMULATEXT(I27))+1,FIND("!",_xlfn.FORMULATEXT(I27))-2),MID(_xlfn.FORMULATEXT(INDEX(L27:AV27,MATCH(FALSE,ISBLANK(L27:AV27),0))),FIND("=",_xlfn.FORMULATEXT(INDEX(L27:AV27,MATCH(FALSE,ISBLANK(L27:AV27),0))))+1,FIND("!",_xlfn.FORMULATEXT(INDEX(L27:AV27,MATCH(FALSE,ISBLANK(L27:AV27),0))))-2))</f>
        <v>Revenue</v>
      </c>
      <c r="E27" t="s">
        <v>245</v>
      </c>
      <c r="G27" t="str">
        <f t="shared" si="0"/>
        <v>£m 23/24 prices</v>
      </c>
      <c r="AU27" s="148">
        <f>Revenue!AU18</f>
        <v>0</v>
      </c>
      <c r="AV27" s="50">
        <f>Revenue!AV18</f>
        <v>0</v>
      </c>
      <c r="AW27" s="50">
        <f>Revenue!AW18</f>
        <v>0</v>
      </c>
      <c r="AX27" s="50">
        <f>Revenue!AX18</f>
        <v>0</v>
      </c>
      <c r="AY27" s="50">
        <f>Revenue!AY18</f>
        <v>0</v>
      </c>
      <c r="AZ27" s="1"/>
      <c r="BA27" s="34"/>
    </row>
    <row r="28" spans="4:53" outlineLevel="1" x14ac:dyDescent="0.35">
      <c r="D28" s="1" t="str" cm="1">
        <f t="array" aca="1" ref="D28" ca="1">IFERROR(MID(_xlfn.FORMULATEXT(I28),FIND("=",_xlfn.FORMULATEXT(I28))+1,FIND("!",_xlfn.FORMULATEXT(I28))-2),MID(_xlfn.FORMULATEXT(INDEX(L28:AV28,MATCH(FALSE,ISBLANK(L28:AV28),0))),FIND("=",_xlfn.FORMULATEXT(INDEX(L28:AV28,MATCH(FALSE,ISBLANK(L28:AV28),0))))+1,FIND("!",_xlfn.FORMULATEXT(INDEX(L28:AV28,MATCH(FALSE,ISBLANK(L28:AV28),0))))-2))</f>
        <v>Revenue</v>
      </c>
      <c r="E28" t="s">
        <v>246</v>
      </c>
      <c r="G28" t="str">
        <f t="shared" si="0"/>
        <v>£m 23/24 prices</v>
      </c>
      <c r="AU28" s="148">
        <f>Revenue!AU19</f>
        <v>6.9060000000000006</v>
      </c>
      <c r="AV28" s="50">
        <f>Revenue!AV19</f>
        <v>6.9060000000000006</v>
      </c>
      <c r="AW28" s="50">
        <f>Revenue!AW19</f>
        <v>6.9060000000000006</v>
      </c>
      <c r="AX28" s="50">
        <f>Revenue!AX19</f>
        <v>6.9060000000000006</v>
      </c>
      <c r="AY28" s="50">
        <f>Revenue!AY19</f>
        <v>6.9060000000000006</v>
      </c>
      <c r="AZ28" s="1"/>
      <c r="BA28" s="34"/>
    </row>
    <row r="29" spans="4:53" outlineLevel="1" x14ac:dyDescent="0.35">
      <c r="D29" s="1" t="str" cm="1">
        <f t="array" aca="1" ref="D29" ca="1">IFERROR(MID(_xlfn.FORMULATEXT(I29),FIND("=",_xlfn.FORMULATEXT(I29))+1,FIND("!",_xlfn.FORMULATEXT(I29))-2),MID(_xlfn.FORMULATEXT(INDEX(L29:AV29,MATCH(FALSE,ISBLANK(L29:AV29),0))),FIND("=",_xlfn.FORMULATEXT(INDEX(L29:AV29,MATCH(FALSE,ISBLANK(L29:AV29),0))))+1,FIND("!",_xlfn.FORMULATEXT(INDEX(L29:AV29,MATCH(FALSE,ISBLANK(L29:AV29),0))))-2))</f>
        <v>Transform</v>
      </c>
      <c r="E29" t="s">
        <v>229</v>
      </c>
      <c r="G29" t="s">
        <v>109</v>
      </c>
      <c r="AU29" s="149">
        <f>Transform!AU195</f>
        <v>0.3</v>
      </c>
      <c r="AV29" s="53">
        <f>Transform!AV195</f>
        <v>0.3</v>
      </c>
      <c r="AW29" s="53">
        <f>Transform!AW195</f>
        <v>0.3</v>
      </c>
      <c r="AX29" s="53">
        <f>Transform!AX195</f>
        <v>0.3</v>
      </c>
      <c r="AY29" s="53">
        <f>Transform!AY195</f>
        <v>0.3</v>
      </c>
    </row>
    <row r="30" spans="4:53" outlineLevel="1" x14ac:dyDescent="0.35">
      <c r="D30" s="1" t="str" cm="1">
        <f t="array" aca="1" ref="D30" ca="1">IFERROR(MID(_xlfn.FORMULATEXT(I30),FIND("=",_xlfn.FORMULATEXT(I30))+1,FIND("!",_xlfn.FORMULATEXT(I30))-2),MID(_xlfn.FORMULATEXT(INDEX(L30:AV30,MATCH(FALSE,ISBLANK(L30:AV30),0))),FIND("=",_xlfn.FORMULATEXT(INDEX(L30:AV30,MATCH(FALSE,ISBLANK(L30:AV30),0))))+1,FIND("!",_xlfn.FORMULATEXT(INDEX(L30:AV30,MATCH(FALSE,ISBLANK(L30:AV30),0))))-2))</f>
        <v>Transform</v>
      </c>
      <c r="E30" t="s">
        <v>227</v>
      </c>
      <c r="G30" t="s">
        <v>109</v>
      </c>
      <c r="AU30" s="149">
        <f>Transform!AU192</f>
        <v>0</v>
      </c>
      <c r="AV30" s="53">
        <f>Transform!AV192</f>
        <v>0</v>
      </c>
      <c r="AW30" s="53">
        <f>Transform!AW192</f>
        <v>0</v>
      </c>
      <c r="AX30" s="53">
        <f>Transform!AX192</f>
        <v>0</v>
      </c>
      <c r="AY30" s="53">
        <f>Transform!AY192</f>
        <v>0</v>
      </c>
    </row>
    <row r="31" spans="4:53" outlineLevel="1" x14ac:dyDescent="0.35">
      <c r="D31" s="1" t="str" cm="1">
        <f t="array" aca="1" ref="D31" ca="1">IFERROR(MID(_xlfn.FORMULATEXT(I31),FIND("=",_xlfn.FORMULATEXT(I31))+1,FIND("!",_xlfn.FORMULATEXT(I31))-2),MID(_xlfn.FORMULATEXT(INDEX(L31:AV31,MATCH(FALSE,ISBLANK(L31:AV31),0))),FIND("=",_xlfn.FORMULATEXT(INDEX(L31:AV31,MATCH(FALSE,ISBLANK(L31:AV31),0))))+1,FIND("!",_xlfn.FORMULATEXT(INDEX(L31:AV31,MATCH(FALSE,ISBLANK(L31:AV31),0))))-2))</f>
        <v>Transform</v>
      </c>
      <c r="E31" t="s">
        <v>228</v>
      </c>
      <c r="G31" t="s">
        <v>109</v>
      </c>
      <c r="AU31" s="149">
        <f>Transform!AU193</f>
        <v>0.05</v>
      </c>
      <c r="AV31" s="53">
        <f>Transform!AV193</f>
        <v>0.05</v>
      </c>
      <c r="AW31" s="53">
        <f>Transform!AW193</f>
        <v>0.05</v>
      </c>
      <c r="AX31" s="53">
        <f>Transform!AX193</f>
        <v>0.05</v>
      </c>
      <c r="AY31" s="53">
        <f>Transform!AY193</f>
        <v>0.05</v>
      </c>
      <c r="BA31" s="34"/>
    </row>
    <row r="32" spans="4:53" outlineLevel="1" x14ac:dyDescent="0.35">
      <c r="D32" s="1" t="str" cm="1">
        <f t="array" aca="1" ref="D32" ca="1">IFERROR(MID(_xlfn.FORMULATEXT(I32),FIND("=",_xlfn.FORMULATEXT(I32))+1,FIND("!",_xlfn.FORMULATEXT(I32))-2),MID(_xlfn.FORMULATEXT(INDEX(L32:AV32,MATCH(FALSE,ISBLANK(L32:AV32),0))),FIND("=",_xlfn.FORMULATEXT(INDEX(L32:AV32,MATCH(FALSE,ISBLANK(L32:AV32),0))))+1,FIND("!",_xlfn.FORMULATEXT(INDEX(L32:AV32,MATCH(FALSE,ISBLANK(L32:AV32),0))))-2))</f>
        <v>Transform</v>
      </c>
      <c r="E32" t="s">
        <v>816</v>
      </c>
      <c r="G32" t="s">
        <v>109</v>
      </c>
      <c r="AU32" s="149">
        <f>Transform!AU194</f>
        <v>0.03</v>
      </c>
      <c r="AV32" s="53">
        <f>Transform!AV194</f>
        <v>0.03</v>
      </c>
      <c r="AW32" s="53">
        <f>Transform!AW194</f>
        <v>0.03</v>
      </c>
      <c r="AX32" s="53">
        <f>Transform!AX194</f>
        <v>0.03</v>
      </c>
      <c r="AY32" s="53">
        <f>Transform!AY194</f>
        <v>0.03</v>
      </c>
      <c r="BA32" s="34"/>
    </row>
    <row r="33" spans="1:54" x14ac:dyDescent="0.35">
      <c r="A33" s="3"/>
      <c r="BA33" s="34"/>
    </row>
    <row r="34" spans="1:54" ht="20" thickBot="1" x14ac:dyDescent="0.5">
      <c r="A34" s="13" t="s">
        <v>337</v>
      </c>
      <c r="B34" s="3"/>
      <c r="BA34" s="34"/>
    </row>
    <row r="35" spans="1:54" ht="16.5" thickTop="1" x14ac:dyDescent="0.35">
      <c r="E35" t="s">
        <v>291</v>
      </c>
      <c r="G35" t="str">
        <f t="shared" ref="G35:G53" si="2">nominal</f>
        <v>£m nominal</v>
      </c>
      <c r="AU35" s="154">
        <f>AT53</f>
        <v>0</v>
      </c>
      <c r="AV35" s="27">
        <f ca="1">AU53</f>
        <v>-1525.9099188933171</v>
      </c>
      <c r="AW35" s="27">
        <f ca="1">AV53</f>
        <v>-1552.6654273272034</v>
      </c>
      <c r="AX35" s="27">
        <f ca="1">AW53</f>
        <v>-1573.1183666440727</v>
      </c>
      <c r="AY35" s="27">
        <f ca="1">AX53</f>
        <v>-1585.6274875555414</v>
      </c>
      <c r="BA35" s="34" t="str">
        <f ca="1">$A$1</f>
        <v>Finance</v>
      </c>
      <c r="BB35" s="1" t="str">
        <f t="shared" ref="BB35:BB53" si="3">$A$34</f>
        <v>Core net debt</v>
      </c>
    </row>
    <row r="36" spans="1:54" x14ac:dyDescent="0.35">
      <c r="E36" t="s">
        <v>338</v>
      </c>
      <c r="G36" t="str">
        <f t="shared" si="2"/>
        <v>£m nominal</v>
      </c>
      <c r="AU36" s="152">
        <f>-AU8*AU57*StartingBalance</f>
        <v>-1508.8263632591297</v>
      </c>
      <c r="AV36" s="12">
        <f>-AV8*AV57*StartingBalance</f>
        <v>0</v>
      </c>
      <c r="AW36" s="12">
        <f>-AW8*AW57*StartingBalance</f>
        <v>0</v>
      </c>
      <c r="AX36" s="12">
        <f>-AX8*AX57*StartingBalance</f>
        <v>0</v>
      </c>
      <c r="AY36" s="12">
        <f>-AY8*AY57*StartingBalance</f>
        <v>0</v>
      </c>
      <c r="BA36" s="34" t="str">
        <f t="shared" ref="BA36:BA104" ca="1" si="4">$A$1</f>
        <v>Finance</v>
      </c>
      <c r="BB36" s="1" t="str">
        <f t="shared" si="3"/>
        <v>Core net debt</v>
      </c>
    </row>
    <row r="37" spans="1:54" x14ac:dyDescent="0.35">
      <c r="E37" t="s">
        <v>580</v>
      </c>
      <c r="G37" t="str">
        <f t="shared" si="2"/>
        <v>£m nominal</v>
      </c>
      <c r="AU37" s="155">
        <f>SUM(AU35:AU36)</f>
        <v>-1508.8263632591297</v>
      </c>
      <c r="AV37" s="52">
        <f ca="1">SUM(AV35:AV36)</f>
        <v>-1525.9099188933171</v>
      </c>
      <c r="AW37" s="52">
        <f ca="1">SUM(AW35:AW36)</f>
        <v>-1552.6654273272034</v>
      </c>
      <c r="AX37" s="52">
        <f ca="1">SUM(AX35:AX36)</f>
        <v>-1573.1183666440727</v>
      </c>
      <c r="AY37" s="52">
        <f ca="1">SUM(AY35:AY36)</f>
        <v>-1585.6274875555414</v>
      </c>
      <c r="BA37" s="34" t="str">
        <f t="shared" ca="1" si="4"/>
        <v>Finance</v>
      </c>
      <c r="BB37" s="1" t="str">
        <f t="shared" si="3"/>
        <v>Core net debt</v>
      </c>
    </row>
    <row r="38" spans="1:54" x14ac:dyDescent="0.35">
      <c r="E38" t="s">
        <v>741</v>
      </c>
      <c r="G38" t="str">
        <f t="shared" si="2"/>
        <v>£m nominal</v>
      </c>
      <c r="AU38" s="154">
        <f>AU7*PCf</f>
        <v>496.0416073394108</v>
      </c>
      <c r="AV38" s="27">
        <f ca="1">AV7*PCf</f>
        <v>525.86255119248449</v>
      </c>
      <c r="AW38" s="27">
        <f ca="1">AW7*PCf</f>
        <v>547.85870960334171</v>
      </c>
      <c r="AX38" s="27">
        <f ca="1">AX7*PCf</f>
        <v>557.7095498080422</v>
      </c>
      <c r="AY38" s="27">
        <f ca="1">AY7*PCf</f>
        <v>567.85331068668597</v>
      </c>
      <c r="BA38" s="34" t="str">
        <f t="shared" ca="1" si="4"/>
        <v>Finance</v>
      </c>
      <c r="BB38" s="1" t="str">
        <f t="shared" si="3"/>
        <v>Core net debt</v>
      </c>
    </row>
    <row r="39" spans="1:54" x14ac:dyDescent="0.35">
      <c r="E39" t="s">
        <v>339</v>
      </c>
      <c r="G39" t="str">
        <f t="shared" si="2"/>
        <v>£m nominal</v>
      </c>
      <c r="AU39" s="154">
        <f>AU10*PCf</f>
        <v>0</v>
      </c>
      <c r="AV39" s="27">
        <f>AV10*PCf</f>
        <v>0</v>
      </c>
      <c r="AW39" s="27">
        <f>AW10*PCf</f>
        <v>0</v>
      </c>
      <c r="AX39" s="27">
        <f>AX10*PCf</f>
        <v>0</v>
      </c>
      <c r="AY39" s="27">
        <f>AY10*PCf</f>
        <v>0</v>
      </c>
      <c r="BA39" s="34" t="str">
        <f t="shared" ca="1" si="4"/>
        <v>Finance</v>
      </c>
      <c r="BB39" s="1" t="str">
        <f t="shared" si="3"/>
        <v>Core net debt</v>
      </c>
    </row>
    <row r="40" spans="1:54" x14ac:dyDescent="0.35">
      <c r="E40" t="s">
        <v>340</v>
      </c>
      <c r="G40" t="str">
        <f t="shared" si="2"/>
        <v>£m nominal</v>
      </c>
      <c r="AU40" s="154">
        <f>-AU11*PCf</f>
        <v>8.9658953033460076</v>
      </c>
      <c r="AV40" s="27">
        <f>-AV11*PCf</f>
        <v>9.6058814282431193</v>
      </c>
      <c r="AW40" s="27">
        <f>-AW11*PCf</f>
        <v>10.334430597834434</v>
      </c>
      <c r="AX40" s="27">
        <f>-AX11*PCf</f>
        <v>11.097197856555715</v>
      </c>
      <c r="AY40" s="27">
        <f>-AY11*PCf</f>
        <v>11.923641029626182</v>
      </c>
      <c r="BA40" s="34" t="str">
        <f t="shared" ca="1" si="4"/>
        <v>Finance</v>
      </c>
      <c r="BB40" s="1" t="str">
        <f t="shared" si="3"/>
        <v>Core net debt</v>
      </c>
    </row>
    <row r="41" spans="1:54" x14ac:dyDescent="0.35">
      <c r="E41" t="s">
        <v>746</v>
      </c>
      <c r="G41" t="str">
        <f t="shared" si="2"/>
        <v>£m nominal</v>
      </c>
      <c r="AU41" s="154">
        <f>-AU9*PCf</f>
        <v>-284.55510370055742</v>
      </c>
      <c r="AV41" s="27">
        <f>-AV9*PCf</f>
        <v>-304.13664998352829</v>
      </c>
      <c r="AW41" s="27">
        <f>-AW9*PCf</f>
        <v>-309.79978901207954</v>
      </c>
      <c r="AX41" s="27">
        <f>-AX9*PCf</f>
        <v>-300.0474543964321</v>
      </c>
      <c r="AY41" s="27">
        <f>-AY9*PCf</f>
        <v>-291.40098257566785</v>
      </c>
      <c r="BA41" s="34" t="str">
        <f t="shared" ca="1" si="4"/>
        <v>Finance</v>
      </c>
      <c r="BB41" s="1" t="str">
        <f t="shared" si="3"/>
        <v>Core net debt</v>
      </c>
    </row>
    <row r="42" spans="1:54" x14ac:dyDescent="0.35">
      <c r="E42" t="s">
        <v>747</v>
      </c>
      <c r="G42" t="str">
        <f t="shared" si="2"/>
        <v>£m nominal</v>
      </c>
      <c r="AU42" s="154">
        <f t="shared" ref="AU42:AY43" si="5">-AU12*PCf</f>
        <v>-96.648419675132274</v>
      </c>
      <c r="AV42" s="27">
        <f t="shared" si="5"/>
        <v>-105.07092584084018</v>
      </c>
      <c r="AW42" s="27">
        <f t="shared" si="5"/>
        <v>-107.89611409166109</v>
      </c>
      <c r="AX42" s="27">
        <f t="shared" si="5"/>
        <v>-111.55086997743543</v>
      </c>
      <c r="AY42" s="27">
        <f t="shared" si="5"/>
        <v>-113.64458300292097</v>
      </c>
      <c r="BA42" s="34" t="str">
        <f t="shared" ca="1" si="4"/>
        <v>Finance</v>
      </c>
      <c r="BB42" s="1" t="str">
        <f t="shared" si="3"/>
        <v>Core net debt</v>
      </c>
    </row>
    <row r="43" spans="1:54" x14ac:dyDescent="0.35">
      <c r="E43" t="s">
        <v>748</v>
      </c>
      <c r="G43" t="str">
        <f t="shared" si="2"/>
        <v>£m nominal</v>
      </c>
      <c r="AU43" s="154">
        <f t="shared" si="5"/>
        <v>-7.8618418486489192</v>
      </c>
      <c r="AV43" s="27">
        <f t="shared" si="5"/>
        <v>-8.0297752974350676</v>
      </c>
      <c r="AW43" s="27">
        <f t="shared" si="5"/>
        <v>-8.2001468102855704</v>
      </c>
      <c r="AX43" s="27">
        <f t="shared" si="5"/>
        <v>-8.3729171851741775</v>
      </c>
      <c r="AY43" s="27">
        <f t="shared" si="5"/>
        <v>-8.5513994448148338</v>
      </c>
      <c r="BA43" s="34" t="str">
        <f t="shared" ca="1" si="4"/>
        <v>Finance</v>
      </c>
      <c r="BB43" s="1" t="str">
        <f t="shared" si="3"/>
        <v>Core net debt</v>
      </c>
    </row>
    <row r="44" spans="1:54" x14ac:dyDescent="0.35">
      <c r="E44" t="s">
        <v>749</v>
      </c>
      <c r="G44" t="str">
        <f t="shared" si="2"/>
        <v>£m nominal</v>
      </c>
      <c r="AU44" s="154">
        <f>-AU89</f>
        <v>-30.518198377866344</v>
      </c>
      <c r="AV44" s="27">
        <f t="shared" ref="AV44:AY44" si="6">-AV89</f>
        <v>-31.053308546544073</v>
      </c>
      <c r="AW44" s="27">
        <f t="shared" si="6"/>
        <v>-31.46236733288146</v>
      </c>
      <c r="AX44" s="27">
        <f t="shared" si="6"/>
        <v>-31.712549751110839</v>
      </c>
      <c r="AY44" s="27">
        <f t="shared" si="6"/>
        <v>-31.793234643767455</v>
      </c>
      <c r="BA44" s="34" t="str">
        <f t="shared" ca="1" si="4"/>
        <v>Finance</v>
      </c>
      <c r="BB44" s="1" t="str">
        <f t="shared" si="3"/>
        <v>Core net debt</v>
      </c>
    </row>
    <row r="45" spans="1:54" x14ac:dyDescent="0.35">
      <c r="E45" t="s">
        <v>750</v>
      </c>
      <c r="G45" t="str">
        <f t="shared" si="2"/>
        <v>£m nominal</v>
      </c>
      <c r="AU45" s="154">
        <f>AU92</f>
        <v>-24.351088021367786</v>
      </c>
      <c r="AV45" s="57">
        <f t="shared" ref="AV45:AY45" ca="1" si="7">AV92</f>
        <v>-33.89109307977742</v>
      </c>
      <c r="AW45" s="57">
        <f t="shared" ca="1" si="7"/>
        <v>-38.872770388398067</v>
      </c>
      <c r="AX45" s="57">
        <f t="shared" ca="1" si="7"/>
        <v>-44.735827224552168</v>
      </c>
      <c r="AY45" s="57">
        <f t="shared" ca="1" si="7"/>
        <v>-51.123461347739294</v>
      </c>
      <c r="BA45" s="34" t="str">
        <f t="shared" ca="1" si="4"/>
        <v>Finance</v>
      </c>
      <c r="BB45" s="1" t="str">
        <f t="shared" si="3"/>
        <v>Core net debt</v>
      </c>
    </row>
    <row r="46" spans="1:54" x14ac:dyDescent="0.35">
      <c r="E46" t="s">
        <v>751</v>
      </c>
      <c r="G46" t="str">
        <f t="shared" si="2"/>
        <v>£m nominal</v>
      </c>
      <c r="AU46" s="152">
        <f t="shared" ref="AU46:AY46" si="8">AU83</f>
        <v>0</v>
      </c>
      <c r="AV46" s="12">
        <f t="shared" ca="1" si="8"/>
        <v>0</v>
      </c>
      <c r="AW46" s="12">
        <f t="shared" ca="1" si="8"/>
        <v>0</v>
      </c>
      <c r="AX46" s="12">
        <f t="shared" ca="1" si="8"/>
        <v>0</v>
      </c>
      <c r="AY46" s="12">
        <f t="shared" ca="1" si="8"/>
        <v>0</v>
      </c>
      <c r="BA46" s="34" t="str">
        <f t="shared" ca="1" si="4"/>
        <v>Finance</v>
      </c>
      <c r="BB46" s="1" t="str">
        <f t="shared" si="3"/>
        <v>Core net debt</v>
      </c>
    </row>
    <row r="47" spans="1:54" x14ac:dyDescent="0.35">
      <c r="E47" t="s">
        <v>574</v>
      </c>
      <c r="G47" t="str">
        <f t="shared" si="2"/>
        <v>£m nominal</v>
      </c>
      <c r="AU47" s="154">
        <f>-AU64-AU86</f>
        <v>0</v>
      </c>
      <c r="AV47" s="27">
        <f ca="1">-AV64-AV86</f>
        <v>0</v>
      </c>
      <c r="AW47" s="27">
        <f ca="1">-AW64-AW86</f>
        <v>0</v>
      </c>
      <c r="AX47" s="27">
        <f ca="1">-AX64-AX86</f>
        <v>0</v>
      </c>
      <c r="AY47" s="27">
        <f ca="1">-AY64-AY86</f>
        <v>0</v>
      </c>
      <c r="BA47" s="34" t="str">
        <f t="shared" ca="1" si="4"/>
        <v>Finance</v>
      </c>
      <c r="BB47" s="1" t="str">
        <f t="shared" si="3"/>
        <v>Core net debt</v>
      </c>
    </row>
    <row r="48" spans="1:54" x14ac:dyDescent="0.35">
      <c r="E48" t="s">
        <v>336</v>
      </c>
      <c r="G48" t="str">
        <f t="shared" si="2"/>
        <v>£m nominal</v>
      </c>
      <c r="AU48" s="155">
        <f>SUM(AU37:AU47)</f>
        <v>-1447.7535122399458</v>
      </c>
      <c r="AV48" s="52">
        <f ca="1">SUM(AV37:AV47)</f>
        <v>-1472.6232390207144</v>
      </c>
      <c r="AW48" s="52">
        <f ca="1">SUM(AW37:AW47)</f>
        <v>-1490.7034747613329</v>
      </c>
      <c r="AX48" s="52">
        <f ca="1">SUM(AX37:AX47)</f>
        <v>-1500.7312375141796</v>
      </c>
      <c r="AY48" s="52">
        <f ca="1">SUM(AY37:AY47)</f>
        <v>-1502.3641968541397</v>
      </c>
      <c r="BA48" s="34" t="str">
        <f t="shared" ca="1" si="4"/>
        <v>Finance</v>
      </c>
      <c r="BB48" s="1" t="str">
        <f t="shared" si="3"/>
        <v>Core net debt</v>
      </c>
    </row>
    <row r="49" spans="1:55" x14ac:dyDescent="0.35">
      <c r="E49" t="s">
        <v>742</v>
      </c>
      <c r="G49" t="str">
        <f t="shared" si="2"/>
        <v>£m nominal</v>
      </c>
      <c r="AU49" s="154">
        <f>AU105</f>
        <v>-68.107885702838985</v>
      </c>
      <c r="AV49" s="27">
        <f t="shared" ref="AV49:AY49" ca="1" si="9">AV105</f>
        <v>-70.434630226546474</v>
      </c>
      <c r="AW49" s="27">
        <f t="shared" ca="1" si="9"/>
        <v>-72.729003832236955</v>
      </c>
      <c r="AX49" s="27">
        <f t="shared" ca="1" si="9"/>
        <v>-75.181726129506472</v>
      </c>
      <c r="AY49" s="27">
        <f t="shared" ca="1" si="9"/>
        <v>-77.423705436078492</v>
      </c>
      <c r="BA49" s="34" t="str">
        <f t="shared" ca="1" si="4"/>
        <v>Finance</v>
      </c>
      <c r="BB49" s="1" t="str">
        <f t="shared" si="3"/>
        <v>Core net debt</v>
      </c>
    </row>
    <row r="50" spans="1:55" x14ac:dyDescent="0.35">
      <c r="E50" t="s">
        <v>743</v>
      </c>
      <c r="G50" t="str">
        <f t="shared" si="2"/>
        <v>£m nominal</v>
      </c>
      <c r="AU50" s="154">
        <f>AU102</f>
        <v>-10.048520950532188</v>
      </c>
      <c r="AV50" s="27">
        <f t="shared" ref="AV50:AY50" ca="1" si="10">AV102</f>
        <v>-9.6075580799426117</v>
      </c>
      <c r="AW50" s="27">
        <f t="shared" ca="1" si="10"/>
        <v>-9.6858880505028075</v>
      </c>
      <c r="AX50" s="27">
        <f t="shared" ca="1" si="10"/>
        <v>-9.7145239118554496</v>
      </c>
      <c r="AY50" s="27">
        <f t="shared" ca="1" si="10"/>
        <v>-9.8738298981548507</v>
      </c>
      <c r="BA50" s="34" t="str">
        <f t="shared" ca="1" si="4"/>
        <v>Finance</v>
      </c>
      <c r="BB50" s="1" t="str">
        <f t="shared" si="3"/>
        <v>Core net debt</v>
      </c>
    </row>
    <row r="51" spans="1:55" x14ac:dyDescent="0.35">
      <c r="E51" t="s">
        <v>752</v>
      </c>
      <c r="G51" t="str">
        <f t="shared" si="2"/>
        <v>£m nominal</v>
      </c>
      <c r="AU51" s="154">
        <f ca="1">AU14</f>
        <v>36.91761201656071</v>
      </c>
      <c r="AV51" s="27">
        <f ca="1">AV14</f>
        <v>40.619402867514168</v>
      </c>
      <c r="AW51" s="27">
        <f ca="1">AW14</f>
        <v>44.873205596498579</v>
      </c>
      <c r="AX51" s="27">
        <f ca="1">AX14</f>
        <v>46.485012215746565</v>
      </c>
      <c r="AY51" s="27">
        <f ca="1">AY14</f>
        <v>49.253942338035756</v>
      </c>
      <c r="BA51" s="34" t="str">
        <f t="shared" ca="1" si="4"/>
        <v>Finance</v>
      </c>
      <c r="BB51" s="1" t="str">
        <f t="shared" si="3"/>
        <v>Core net debt</v>
      </c>
    </row>
    <row r="52" spans="1:55" x14ac:dyDescent="0.35">
      <c r="E52" t="s">
        <v>753</v>
      </c>
      <c r="G52" t="str">
        <f t="shared" si="2"/>
        <v>£m nominal</v>
      </c>
      <c r="AU52" s="154">
        <f ca="1">-AU15</f>
        <v>-36.91761201656071</v>
      </c>
      <c r="AV52" s="27">
        <f ca="1">-AV15</f>
        <v>-40.619402867514168</v>
      </c>
      <c r="AW52" s="27">
        <f ca="1">-AW15</f>
        <v>-44.873205596498579</v>
      </c>
      <c r="AX52" s="27">
        <f ca="1">-AX15</f>
        <v>-46.485012215746565</v>
      </c>
      <c r="AY52" s="27">
        <f ca="1">-AY15</f>
        <v>-49.253942338035756</v>
      </c>
      <c r="BA52" s="34" t="str">
        <f t="shared" ca="1" si="4"/>
        <v>Finance</v>
      </c>
      <c r="BB52" s="1" t="str">
        <f t="shared" si="3"/>
        <v>Core net debt</v>
      </c>
    </row>
    <row r="53" spans="1:55" x14ac:dyDescent="0.35">
      <c r="E53" t="s">
        <v>341</v>
      </c>
      <c r="G53" t="str">
        <f t="shared" si="2"/>
        <v>£m nominal</v>
      </c>
      <c r="AU53" s="155">
        <f ca="1">SUM(AU48:AU52)</f>
        <v>-1525.9099188933171</v>
      </c>
      <c r="AV53" s="52">
        <f ca="1">SUM(AV48:AV52)</f>
        <v>-1552.6654273272034</v>
      </c>
      <c r="AW53" s="52">
        <f ca="1">SUM(AW48:AW52)</f>
        <v>-1573.1183666440727</v>
      </c>
      <c r="AX53" s="52">
        <f ca="1">SUM(AX48:AX52)</f>
        <v>-1585.6274875555414</v>
      </c>
      <c r="AY53" s="52">
        <f ca="1">SUM(AY48:AY52)</f>
        <v>-1589.661732188373</v>
      </c>
      <c r="BA53" s="34" t="str">
        <f t="shared" ca="1" si="4"/>
        <v>Finance</v>
      </c>
      <c r="BB53" s="1" t="str">
        <f t="shared" si="3"/>
        <v>Core net debt</v>
      </c>
    </row>
    <row r="54" spans="1:55" x14ac:dyDescent="0.35">
      <c r="BA54" s="34"/>
    </row>
    <row r="55" spans="1:55" ht="20" thickBot="1" x14ac:dyDescent="0.5">
      <c r="A55" s="13" t="s">
        <v>342</v>
      </c>
      <c r="BA55" s="34"/>
    </row>
    <row r="56" spans="1:55" ht="18" thickTop="1" thickBot="1" x14ac:dyDescent="0.45">
      <c r="B56" s="15" t="s">
        <v>343</v>
      </c>
      <c r="BA56" s="34"/>
    </row>
    <row r="57" spans="1:55" ht="16.5" thickTop="1" x14ac:dyDescent="0.35">
      <c r="E57" t="s">
        <v>754</v>
      </c>
      <c r="G57" t="str">
        <f>nominal</f>
        <v>£m nominal</v>
      </c>
      <c r="AU57" s="152">
        <f>AU16-AU17</f>
        <v>2514.7106054318829</v>
      </c>
      <c r="AV57" s="12">
        <f>AV16-AV17</f>
        <v>2543.1831981555288</v>
      </c>
      <c r="AW57" s="12">
        <f>AW16-AW17</f>
        <v>2587.7757122120061</v>
      </c>
      <c r="AX57" s="12">
        <f>AX16-AX17</f>
        <v>2621.8639444067881</v>
      </c>
      <c r="AY57" s="12">
        <f>AY16-AY17</f>
        <v>2642.7124792592363</v>
      </c>
      <c r="BA57" s="34" t="str">
        <f t="shared" ca="1" si="4"/>
        <v>Finance</v>
      </c>
      <c r="BB57" s="1" t="str">
        <f>$A$55</f>
        <v>Regearing</v>
      </c>
      <c r="BC57" s="1" t="str">
        <f>$B$56</f>
        <v>Overall opening gearing</v>
      </c>
    </row>
    <row r="58" spans="1:55" x14ac:dyDescent="0.35">
      <c r="E58" t="s">
        <v>755</v>
      </c>
      <c r="G58" t="s">
        <v>109</v>
      </c>
      <c r="AU58" s="153">
        <f>-AU35/AU57</f>
        <v>0</v>
      </c>
      <c r="AV58" s="46">
        <f ca="1">-AV35/AV57</f>
        <v>0.6</v>
      </c>
      <c r="AW58" s="46">
        <f ca="1">-AW35/AW57</f>
        <v>0.59999999999999987</v>
      </c>
      <c r="AX58" s="46">
        <f ca="1">-AX35/AX57</f>
        <v>0.6</v>
      </c>
      <c r="AY58" s="46">
        <f ca="1">-AY35/AY57</f>
        <v>0.59999999999999987</v>
      </c>
      <c r="BA58" s="34" t="str">
        <f t="shared" ca="1" si="4"/>
        <v>Finance</v>
      </c>
      <c r="BB58" s="1" t="str">
        <f>$A$55</f>
        <v>Regearing</v>
      </c>
      <c r="BC58" s="1" t="str">
        <f>$B$56</f>
        <v>Overall opening gearing</v>
      </c>
    </row>
    <row r="59" spans="1:55" x14ac:dyDescent="0.35">
      <c r="BA59" s="34"/>
    </row>
    <row r="60" spans="1:55" ht="17.5" thickBot="1" x14ac:dyDescent="0.45">
      <c r="B60" s="15" t="s">
        <v>344</v>
      </c>
      <c r="BA60" s="34"/>
    </row>
    <row r="61" spans="1:55" ht="16.5" thickTop="1" x14ac:dyDescent="0.35">
      <c r="E61" t="s">
        <v>225</v>
      </c>
      <c r="G61" t="s">
        <v>109</v>
      </c>
      <c r="AU61" s="158">
        <f>AU8</f>
        <v>0.6</v>
      </c>
      <c r="BA61" s="34" t="str">
        <f t="shared" ca="1" si="4"/>
        <v>Finance</v>
      </c>
      <c r="BB61" s="1" t="str">
        <f>$A$55</f>
        <v>Regearing</v>
      </c>
      <c r="BC61" s="1" t="str">
        <f>$B$60</f>
        <v>Start of price control notional regearing</v>
      </c>
    </row>
    <row r="62" spans="1:55" x14ac:dyDescent="0.35">
      <c r="E62" t="s">
        <v>345</v>
      </c>
      <c r="G62" t="s">
        <v>109</v>
      </c>
      <c r="AU62" s="153">
        <f>AU61-I18</f>
        <v>0</v>
      </c>
      <c r="BA62" s="34" t="str">
        <f t="shared" ca="1" si="4"/>
        <v>Finance</v>
      </c>
      <c r="BB62" s="1" t="str">
        <f>$A$55</f>
        <v>Regearing</v>
      </c>
      <c r="BC62" s="1" t="str">
        <f>$B$60</f>
        <v>Start of price control notional regearing</v>
      </c>
    </row>
    <row r="63" spans="1:55" x14ac:dyDescent="0.35">
      <c r="E63" t="s">
        <v>396</v>
      </c>
      <c r="G63" t="str">
        <f>nominal</f>
        <v>£m nominal</v>
      </c>
      <c r="AU63" s="152">
        <f>AU57*AU62</f>
        <v>0</v>
      </c>
      <c r="BA63" s="34" t="str">
        <f t="shared" ca="1" si="4"/>
        <v>Finance</v>
      </c>
      <c r="BB63" s="1" t="str">
        <f>$A$55</f>
        <v>Regearing</v>
      </c>
      <c r="BC63" s="1" t="str">
        <f>$B$60</f>
        <v>Start of price control notional regearing</v>
      </c>
    </row>
    <row r="64" spans="1:55" x14ac:dyDescent="0.35">
      <c r="E64" t="s">
        <v>579</v>
      </c>
      <c r="G64" t="str">
        <f>nominal</f>
        <v>£m nominal</v>
      </c>
      <c r="AU64" s="152">
        <f>MIN(AU63*AU31,0)*-1</f>
        <v>0</v>
      </c>
      <c r="BA64" s="34" t="str">
        <f t="shared" ca="1" si="4"/>
        <v>Finance</v>
      </c>
      <c r="BB64" s="1" t="str">
        <f>$A$55</f>
        <v>Regearing</v>
      </c>
      <c r="BC64" s="1" t="str">
        <f>$B$60</f>
        <v>Start of price control notional regearing</v>
      </c>
    </row>
    <row r="65" spans="1:55" x14ac:dyDescent="0.35">
      <c r="BA65" s="34"/>
    </row>
    <row r="66" spans="1:55" ht="20" thickBot="1" x14ac:dyDescent="0.5">
      <c r="A66" s="13" t="s">
        <v>347</v>
      </c>
      <c r="AU66" s="98"/>
      <c r="BA66" s="34"/>
    </row>
    <row r="67" spans="1:55" ht="18" thickTop="1" thickBot="1" x14ac:dyDescent="0.45">
      <c r="B67" s="15" t="s">
        <v>649</v>
      </c>
      <c r="H67" s="98"/>
      <c r="BA67" s="34"/>
    </row>
    <row r="68" spans="1:55" ht="16.5" thickTop="1" x14ac:dyDescent="0.35">
      <c r="E68" t="s">
        <v>497</v>
      </c>
      <c r="G68" t="str">
        <f t="shared" ref="G68:G83" si="11">nominal</f>
        <v>£m nominal</v>
      </c>
      <c r="AU68" s="154">
        <f>AU19</f>
        <v>2543.1831981555288</v>
      </c>
      <c r="AV68" s="27">
        <f>AV19</f>
        <v>2587.7757122120061</v>
      </c>
      <c r="AW68" s="27">
        <f>AW19</f>
        <v>2621.8639444067881</v>
      </c>
      <c r="AX68" s="27">
        <f>AX19</f>
        <v>2642.7124792592363</v>
      </c>
      <c r="AY68" s="27">
        <f>AY19</f>
        <v>2649.4362203139549</v>
      </c>
      <c r="BA68" s="34" t="str">
        <f t="shared" ca="1" si="4"/>
        <v>Finance</v>
      </c>
      <c r="BB68" s="1" t="str">
        <f t="shared" ref="BB68:BB86" si="12">$A$66</f>
        <v>Financing costs</v>
      </c>
      <c r="BC68" s="1" t="str">
        <f>$B$67</f>
        <v>Equity issuance</v>
      </c>
    </row>
    <row r="69" spans="1:55" x14ac:dyDescent="0.35">
      <c r="E69" t="s">
        <v>498</v>
      </c>
      <c r="G69" t="s">
        <v>109</v>
      </c>
      <c r="AU69" s="153">
        <f>AU29*AU21+(1-AU29)*AU20</f>
        <v>5.2869470769957294E-2</v>
      </c>
      <c r="AV69" s="46">
        <f>AV29*AV21+(1-AV29)*AV20</f>
        <v>5.3387562578878708E-2</v>
      </c>
      <c r="AW69" s="46">
        <f>AW29*AW21+(1-AW29)*AW20</f>
        <v>5.4160303620229472E-2</v>
      </c>
      <c r="AX69" s="46">
        <f>AX29*AX21+(1-AX29)*AX20</f>
        <v>5.5237738324292573E-2</v>
      </c>
      <c r="AY69" s="46">
        <f>AY29*AY21+(1-AY29)*AY20</f>
        <v>5.6540006746113806E-2</v>
      </c>
      <c r="BA69" s="34" t="str">
        <f t="shared" ca="1" si="4"/>
        <v>Finance</v>
      </c>
      <c r="BB69" s="1" t="str">
        <f t="shared" si="12"/>
        <v>Financing costs</v>
      </c>
      <c r="BC69" s="1" t="str">
        <f t="shared" ref="BC69:BC70" si="13">$B$67</f>
        <v>Equity issuance</v>
      </c>
    </row>
    <row r="70" spans="1:55" x14ac:dyDescent="0.35">
      <c r="E70" t="s">
        <v>648</v>
      </c>
      <c r="G70" t="str">
        <f t="shared" si="11"/>
        <v>£m nominal</v>
      </c>
      <c r="AU70" s="152">
        <f>SUM(AU22:AU28)*PCf</f>
        <v>496.0416073394108</v>
      </c>
      <c r="AV70" s="12">
        <f>SUM(AV22:AV28)*PCf</f>
        <v>525.86255119248449</v>
      </c>
      <c r="AW70" s="12">
        <f>SUM(AW22:AW28)*PCf</f>
        <v>547.85870960334171</v>
      </c>
      <c r="AX70" s="12">
        <f>SUM(AX22:AX28)*PCf</f>
        <v>557.7095498080422</v>
      </c>
      <c r="AY70" s="12">
        <f>SUM(AY22:AY28)*PCf</f>
        <v>567.85331068668597</v>
      </c>
      <c r="BA70" s="34" t="str">
        <f t="shared" ca="1" si="4"/>
        <v>Finance</v>
      </c>
      <c r="BB70" s="1" t="str">
        <f t="shared" si="12"/>
        <v>Financing costs</v>
      </c>
      <c r="BC70" s="1" t="str">
        <f t="shared" si="13"/>
        <v>Equity issuance</v>
      </c>
    </row>
    <row r="71" spans="1:55" x14ac:dyDescent="0.35">
      <c r="BA71" s="34"/>
    </row>
    <row r="72" spans="1:55" x14ac:dyDescent="0.35">
      <c r="E72" t="s">
        <v>499</v>
      </c>
      <c r="G72" t="str">
        <f t="shared" si="11"/>
        <v>£m nominal</v>
      </c>
      <c r="AU72" s="154">
        <f>AU37</f>
        <v>-1508.8263632591297</v>
      </c>
      <c r="AV72" s="27">
        <f ca="1">AV37</f>
        <v>-1525.9099188933171</v>
      </c>
      <c r="AW72" s="27">
        <f ca="1">AW37</f>
        <v>-1552.6654273272034</v>
      </c>
      <c r="AX72" s="27">
        <f ca="1">AX37</f>
        <v>-1573.1183666440727</v>
      </c>
      <c r="AY72" s="27">
        <f ca="1">AY37</f>
        <v>-1585.6274875555414</v>
      </c>
      <c r="BA72" s="34" t="str">
        <f t="shared" ca="1" si="4"/>
        <v>Finance</v>
      </c>
      <c r="BB72" s="1" t="str">
        <f t="shared" si="12"/>
        <v>Financing costs</v>
      </c>
      <c r="BC72" s="1" t="str">
        <f t="shared" ref="BC72:BC74" si="14">$B$67</f>
        <v>Equity issuance</v>
      </c>
    </row>
    <row r="73" spans="1:55" x14ac:dyDescent="0.35">
      <c r="E73" t="s">
        <v>500</v>
      </c>
      <c r="G73" t="str">
        <f t="shared" si="11"/>
        <v>£m nominal</v>
      </c>
      <c r="AU73" s="152">
        <f>-AU68*AU8</f>
        <v>-1525.9099188933171</v>
      </c>
      <c r="AV73" s="12">
        <f>-AV68*AV8</f>
        <v>-1552.6654273272036</v>
      </c>
      <c r="AW73" s="12">
        <f>-AW68*AW8</f>
        <v>-1573.1183666440727</v>
      </c>
      <c r="AX73" s="12">
        <f>-AX68*AX8</f>
        <v>-1585.6274875555416</v>
      </c>
      <c r="AY73" s="12">
        <f>-AY68*AY8</f>
        <v>-1589.661732188373</v>
      </c>
      <c r="BA73" s="34" t="str">
        <f t="shared" ca="1" si="4"/>
        <v>Finance</v>
      </c>
      <c r="BB73" s="1" t="str">
        <f t="shared" si="12"/>
        <v>Financing costs</v>
      </c>
      <c r="BC73" s="1" t="str">
        <f t="shared" si="14"/>
        <v>Equity issuance</v>
      </c>
    </row>
    <row r="74" spans="1:55" x14ac:dyDescent="0.35">
      <c r="E74" t="s">
        <v>501</v>
      </c>
      <c r="G74" t="str">
        <f t="shared" si="11"/>
        <v>£m nominal</v>
      </c>
      <c r="AU74" s="152">
        <f>AU73-AVERAGE(AU72:AU73)*AU69</f>
        <v>-1445.6874683114233</v>
      </c>
      <c r="AV74" s="12">
        <f t="shared" ref="AV74:AY74" ca="1" si="15">AV73-AVERAGE(AV72:AV73)*AV69</f>
        <v>-1470.4866103521331</v>
      </c>
      <c r="AW74" s="12">
        <f t="shared" ca="1" si="15"/>
        <v>-1488.4716669777342</v>
      </c>
      <c r="AX74" s="12">
        <f t="shared" ca="1" si="15"/>
        <v>-1498.3864990919305</v>
      </c>
      <c r="AY74" s="12">
        <f t="shared" ca="1" si="15"/>
        <v>-1499.8962952357813</v>
      </c>
      <c r="BA74" s="34" t="str">
        <f t="shared" ca="1" si="4"/>
        <v>Finance</v>
      </c>
      <c r="BB74" s="1" t="str">
        <f t="shared" si="12"/>
        <v>Financing costs</v>
      </c>
      <c r="BC74" s="1" t="str">
        <f t="shared" si="14"/>
        <v>Equity issuance</v>
      </c>
    </row>
    <row r="75" spans="1:55" x14ac:dyDescent="0.35">
      <c r="BA75" s="34"/>
    </row>
    <row r="76" spans="1:55" x14ac:dyDescent="0.35">
      <c r="E76" t="s">
        <v>502</v>
      </c>
      <c r="G76" t="str">
        <f t="shared" si="11"/>
        <v>£m nominal</v>
      </c>
      <c r="AU76" s="152">
        <f>SUM(AU70,AU72,AU39:AU44)</f>
        <v>-1423.4024242185781</v>
      </c>
      <c r="AV76" s="12">
        <f t="shared" ref="AV76:AY76" ca="1" si="16">SUM(AV70,AV72,AV39:AV44)</f>
        <v>-1438.732145940937</v>
      </c>
      <c r="AW76" s="12">
        <f t="shared" ca="1" si="16"/>
        <v>-1451.8307043729349</v>
      </c>
      <c r="AX76" s="12">
        <f t="shared" ca="1" si="16"/>
        <v>-1455.9954102896274</v>
      </c>
      <c r="AY76" s="12">
        <f t="shared" ca="1" si="16"/>
        <v>-1451.2407355064004</v>
      </c>
      <c r="BA76" s="34" t="str">
        <f t="shared" ca="1" si="4"/>
        <v>Finance</v>
      </c>
      <c r="BB76" s="1" t="str">
        <f t="shared" si="12"/>
        <v>Financing costs</v>
      </c>
      <c r="BC76" s="1" t="str">
        <f t="shared" ref="BC76:BC80" si="17">$B$67</f>
        <v>Equity issuance</v>
      </c>
    </row>
    <row r="77" spans="1:55" x14ac:dyDescent="0.35">
      <c r="E77" t="s">
        <v>503</v>
      </c>
      <c r="G77" t="str">
        <f t="shared" si="11"/>
        <v>£m nominal</v>
      </c>
      <c r="AU77" s="152">
        <f>AU73-(((AU73-AU74)/(2+AU69))*2)</f>
        <v>-1447.7535122399461</v>
      </c>
      <c r="AV77" s="12">
        <f t="shared" ref="AV77:AY77" ca="1" si="18">AV73-(((AV73-AV74)/(2+AV69))*2)</f>
        <v>-1472.6232390207147</v>
      </c>
      <c r="AW77" s="12">
        <f t="shared" ca="1" si="18"/>
        <v>-1490.7034747613329</v>
      </c>
      <c r="AX77" s="12">
        <f t="shared" ca="1" si="18"/>
        <v>-1500.7312375141798</v>
      </c>
      <c r="AY77" s="12">
        <f t="shared" ca="1" si="18"/>
        <v>-1502.3641968541397</v>
      </c>
      <c r="BA77" s="34" t="str">
        <f t="shared" ca="1" si="4"/>
        <v>Finance</v>
      </c>
      <c r="BB77" s="1" t="str">
        <f t="shared" si="12"/>
        <v>Financing costs</v>
      </c>
      <c r="BC77" s="1" t="str">
        <f t="shared" si="17"/>
        <v>Equity issuance</v>
      </c>
    </row>
    <row r="78" spans="1:55" x14ac:dyDescent="0.35">
      <c r="E78" t="s">
        <v>504</v>
      </c>
      <c r="G78" t="str">
        <f t="shared" si="11"/>
        <v>£m nominal</v>
      </c>
      <c r="AU78" s="152">
        <f>AVERAGE(AU72,AU77)*AU69</f>
        <v>-78.156406653371178</v>
      </c>
      <c r="AV78" s="12">
        <f t="shared" ref="AV78:AY78" ca="1" si="19">AVERAGE(AV72,AV77)*AV69</f>
        <v>-80.042188306489095</v>
      </c>
      <c r="AW78" s="12">
        <f t="shared" ca="1" si="19"/>
        <v>-82.414891882739767</v>
      </c>
      <c r="AX78" s="12">
        <f t="shared" ca="1" si="19"/>
        <v>-84.896250041361938</v>
      </c>
      <c r="AY78" s="12">
        <f t="shared" ca="1" si="19"/>
        <v>-87.297535334233345</v>
      </c>
      <c r="BA78" s="34" t="str">
        <f t="shared" ca="1" si="4"/>
        <v>Finance</v>
      </c>
      <c r="BB78" s="1" t="str">
        <f t="shared" si="12"/>
        <v>Financing costs</v>
      </c>
      <c r="BC78" s="1" t="str">
        <f t="shared" si="17"/>
        <v>Equity issuance</v>
      </c>
    </row>
    <row r="79" spans="1:55" x14ac:dyDescent="0.35">
      <c r="E79" t="s">
        <v>505</v>
      </c>
      <c r="G79" t="str">
        <f t="shared" si="11"/>
        <v>£m nominal</v>
      </c>
      <c r="AU79" s="152">
        <f>SUM(AU76,AU78)</f>
        <v>-1501.5588308719493</v>
      </c>
      <c r="AV79" s="12">
        <f t="shared" ref="AV79:AY79" ca="1" si="20">SUM(AV76,AV78)</f>
        <v>-1518.7743342474262</v>
      </c>
      <c r="AW79" s="12">
        <f t="shared" ca="1" si="20"/>
        <v>-1534.2455962556746</v>
      </c>
      <c r="AX79" s="12">
        <f t="shared" ca="1" si="20"/>
        <v>-1540.8916603309895</v>
      </c>
      <c r="AY79" s="12">
        <f t="shared" ca="1" si="20"/>
        <v>-1538.5382708406337</v>
      </c>
      <c r="BA79" s="34" t="str">
        <f t="shared" ca="1" si="4"/>
        <v>Finance</v>
      </c>
      <c r="BB79" s="1" t="str">
        <f t="shared" si="12"/>
        <v>Financing costs</v>
      </c>
      <c r="BC79" s="1" t="str">
        <f t="shared" si="17"/>
        <v>Equity issuance</v>
      </c>
    </row>
    <row r="80" spans="1:55" x14ac:dyDescent="0.35">
      <c r="E80" t="s">
        <v>506</v>
      </c>
      <c r="G80" t="str">
        <f t="shared" si="11"/>
        <v>£m nominal</v>
      </c>
      <c r="AU80" s="153">
        <f>-AU79/AU68</f>
        <v>0.59042495718002985</v>
      </c>
      <c r="AV80" s="46">
        <f t="shared" ref="AV80:AY80" ca="1" si="21">-AV79/AV68</f>
        <v>0.58690338852790003</v>
      </c>
      <c r="AW80" s="46">
        <f t="shared" ca="1" si="21"/>
        <v>0.58517361266158552</v>
      </c>
      <c r="AX80" s="46">
        <f t="shared" ca="1" si="21"/>
        <v>0.58307200364184453</v>
      </c>
      <c r="AY80" s="46">
        <f t="shared" ca="1" si="21"/>
        <v>0.58070402263101806</v>
      </c>
      <c r="BA80" s="34" t="str">
        <f t="shared" ca="1" si="4"/>
        <v>Finance</v>
      </c>
      <c r="BB80" s="1" t="str">
        <f t="shared" si="12"/>
        <v>Financing costs</v>
      </c>
      <c r="BC80" s="1" t="str">
        <f t="shared" si="17"/>
        <v>Equity issuance</v>
      </c>
    </row>
    <row r="81" spans="1:56" x14ac:dyDescent="0.35">
      <c r="BA81" s="34"/>
    </row>
    <row r="82" spans="1:56" x14ac:dyDescent="0.35">
      <c r="E82" t="s">
        <v>346</v>
      </c>
      <c r="G82" t="s">
        <v>236</v>
      </c>
      <c r="AU82" s="152" t="b">
        <f>AU80-AU8&gt;AU30</f>
        <v>0</v>
      </c>
      <c r="AV82" s="12" t="b">
        <f ca="1">AV80-AV8&gt;AV30</f>
        <v>0</v>
      </c>
      <c r="AW82" s="12" t="b">
        <f ca="1">AW80-AW8&gt;AW30</f>
        <v>0</v>
      </c>
      <c r="AX82" s="12" t="b">
        <f ca="1">AX80-AX8&gt;AX30</f>
        <v>0</v>
      </c>
      <c r="AY82" s="12" t="b">
        <f ca="1">AY80-AY8&gt;AY30</f>
        <v>0</v>
      </c>
      <c r="BA82" s="34" t="str">
        <f t="shared" ca="1" si="4"/>
        <v>Finance</v>
      </c>
      <c r="BB82" s="1" t="str">
        <f t="shared" si="12"/>
        <v>Financing costs</v>
      </c>
      <c r="BC82" s="1" t="str">
        <f t="shared" ref="BC82:BC84" si="22">$B$67</f>
        <v>Equity issuance</v>
      </c>
    </row>
    <row r="83" spans="1:56" x14ac:dyDescent="0.35">
      <c r="E83" t="s">
        <v>649</v>
      </c>
      <c r="G83" t="str">
        <f t="shared" si="11"/>
        <v>£m nominal</v>
      </c>
      <c r="AU83" s="152">
        <f>MAX(AU73-AU79,0)*AU82</f>
        <v>0</v>
      </c>
      <c r="AV83" s="12">
        <f t="shared" ref="AV83:AY83" ca="1" si="23">MAX(AV73-AV79,0)*AV82</f>
        <v>0</v>
      </c>
      <c r="AW83" s="12">
        <f t="shared" ca="1" si="23"/>
        <v>0</v>
      </c>
      <c r="AX83" s="12">
        <f t="shared" ca="1" si="23"/>
        <v>0</v>
      </c>
      <c r="AY83" s="12">
        <f t="shared" ca="1" si="23"/>
        <v>0</v>
      </c>
      <c r="BA83" s="34" t="str">
        <f t="shared" ca="1" si="4"/>
        <v>Finance</v>
      </c>
      <c r="BB83" s="1" t="str">
        <f t="shared" si="12"/>
        <v>Financing costs</v>
      </c>
      <c r="BC83" s="1" t="str">
        <f t="shared" si="22"/>
        <v>Equity issuance</v>
      </c>
    </row>
    <row r="84" spans="1:56" x14ac:dyDescent="0.35">
      <c r="E84" t="s">
        <v>507</v>
      </c>
      <c r="G84" t="s">
        <v>109</v>
      </c>
      <c r="AU84" s="153">
        <f ca="1">-AU53/AU68</f>
        <v>0.6</v>
      </c>
      <c r="AV84" s="46">
        <f ca="1">-AV53/AV68</f>
        <v>0.59999999999999987</v>
      </c>
      <c r="AW84" s="46">
        <f ca="1">-AW53/AW68</f>
        <v>0.6</v>
      </c>
      <c r="AX84" s="46">
        <f ca="1">-AX53/AX68</f>
        <v>0.59999999999999987</v>
      </c>
      <c r="AY84" s="46">
        <f ca="1">-AY53/AY68</f>
        <v>0.6</v>
      </c>
      <c r="BA84" s="34" t="str">
        <f t="shared" ca="1" si="4"/>
        <v>Finance</v>
      </c>
      <c r="BB84" s="1" t="str">
        <f t="shared" si="12"/>
        <v>Financing costs</v>
      </c>
      <c r="BC84" s="1" t="str">
        <f t="shared" si="22"/>
        <v>Equity issuance</v>
      </c>
    </row>
    <row r="85" spans="1:56" x14ac:dyDescent="0.35">
      <c r="BA85" s="34"/>
    </row>
    <row r="86" spans="1:56" x14ac:dyDescent="0.35">
      <c r="E86" t="s">
        <v>228</v>
      </c>
      <c r="G86" t="str">
        <f t="shared" ref="G86" si="24">nominal</f>
        <v>£m nominal</v>
      </c>
      <c r="AU86" s="152">
        <f>AU83*AU31</f>
        <v>0</v>
      </c>
      <c r="AV86" s="12">
        <f ca="1">AV83*AV31</f>
        <v>0</v>
      </c>
      <c r="AW86" s="12">
        <f ca="1">AW83*AW31</f>
        <v>0</v>
      </c>
      <c r="AX86" s="12">
        <f ca="1">AX83*AX31</f>
        <v>0</v>
      </c>
      <c r="AY86" s="12">
        <f ca="1">AY83*AY31</f>
        <v>0</v>
      </c>
      <c r="BA86" s="34" t="str">
        <f t="shared" ca="1" si="4"/>
        <v>Finance</v>
      </c>
      <c r="BB86" s="1" t="str">
        <f t="shared" si="12"/>
        <v>Financing costs</v>
      </c>
      <c r="BC86" s="1" t="str">
        <f>$B$67</f>
        <v>Equity issuance</v>
      </c>
    </row>
    <row r="87" spans="1:56" x14ac:dyDescent="0.35">
      <c r="BA87" s="34"/>
    </row>
    <row r="88" spans="1:56" ht="17.5" thickBot="1" x14ac:dyDescent="0.45">
      <c r="B88" s="15" t="s">
        <v>348</v>
      </c>
      <c r="BA88" s="34"/>
    </row>
    <row r="89" spans="1:56" ht="16.5" thickTop="1" x14ac:dyDescent="0.35">
      <c r="E89" t="s">
        <v>349</v>
      </c>
      <c r="G89" t="str">
        <f t="shared" ref="G89" si="25">nominal</f>
        <v>£m nominal</v>
      </c>
      <c r="AU89" s="152">
        <f>AU$19*(1-AU$8)*AU32</f>
        <v>30.518198377866344</v>
      </c>
      <c r="AV89" s="12">
        <f>AV$19*(1-AV$8)*AV32</f>
        <v>31.053308546544073</v>
      </c>
      <c r="AW89" s="12">
        <f>AW$19*(1-AW$8)*AW32</f>
        <v>31.46236733288146</v>
      </c>
      <c r="AX89" s="12">
        <f>AX$19*(1-AX$8)*AX32</f>
        <v>31.712549751110839</v>
      </c>
      <c r="AY89" s="12">
        <f>AY$19*(1-AY$8)*AY32</f>
        <v>31.793234643767455</v>
      </c>
      <c r="BA89" s="34" t="str">
        <f t="shared" ca="1" si="4"/>
        <v>Finance</v>
      </c>
      <c r="BB89" s="1" t="str">
        <f>$A$66</f>
        <v>Financing costs</v>
      </c>
      <c r="BC89" s="1" t="str">
        <f>$B$88</f>
        <v>Dividends</v>
      </c>
    </row>
    <row r="90" spans="1:56" x14ac:dyDescent="0.35">
      <c r="BA90" s="34"/>
    </row>
    <row r="91" spans="1:56" x14ac:dyDescent="0.35">
      <c r="E91" t="s">
        <v>508</v>
      </c>
      <c r="G91" t="s">
        <v>236</v>
      </c>
      <c r="AU91" s="152" t="b">
        <f>AU8-AU80&gt;AU30</f>
        <v>1</v>
      </c>
      <c r="AV91" s="12" t="b">
        <f ca="1">AV8-AV80&gt;AV30</f>
        <v>1</v>
      </c>
      <c r="AW91" s="12" t="b">
        <f ca="1">AW8-AW80&gt;AW30</f>
        <v>1</v>
      </c>
      <c r="AX91" s="12" t="b">
        <f ca="1">AX8-AX80&gt;AX30</f>
        <v>1</v>
      </c>
      <c r="AY91" s="12" t="b">
        <f ca="1">AY8-AY80&gt;AY30</f>
        <v>1</v>
      </c>
      <c r="BA91" s="34" t="str">
        <f t="shared" ca="1" si="4"/>
        <v>Finance</v>
      </c>
      <c r="BB91" s="1" t="str">
        <f t="shared" ref="BB91:BB92" si="26">$A$66</f>
        <v>Financing costs</v>
      </c>
      <c r="BC91" s="1" t="str">
        <f t="shared" ref="BC91:BC92" si="27">$B$88</f>
        <v>Dividends</v>
      </c>
    </row>
    <row r="92" spans="1:56" x14ac:dyDescent="0.35">
      <c r="E92" t="s">
        <v>509</v>
      </c>
      <c r="G92" t="str">
        <f>nominal</f>
        <v>£m nominal</v>
      </c>
      <c r="AU92" s="152">
        <f>-MAX(AU79-AU73,0)*AU91</f>
        <v>-24.351088021367786</v>
      </c>
      <c r="AV92" s="12">
        <f t="shared" ref="AV92:AY92" ca="1" si="28">-MAX(AV79-AV73,0)*AV91</f>
        <v>-33.89109307977742</v>
      </c>
      <c r="AW92" s="12">
        <f t="shared" ca="1" si="28"/>
        <v>-38.872770388398067</v>
      </c>
      <c r="AX92" s="12">
        <f t="shared" ca="1" si="28"/>
        <v>-44.735827224552168</v>
      </c>
      <c r="AY92" s="12">
        <f t="shared" ca="1" si="28"/>
        <v>-51.123461347739294</v>
      </c>
      <c r="BA92" s="34" t="str">
        <f t="shared" ca="1" si="4"/>
        <v>Finance</v>
      </c>
      <c r="BB92" s="1" t="str">
        <f t="shared" si="26"/>
        <v>Financing costs</v>
      </c>
      <c r="BC92" s="1" t="str">
        <f t="shared" si="27"/>
        <v>Dividends</v>
      </c>
    </row>
    <row r="93" spans="1:56" x14ac:dyDescent="0.35">
      <c r="BA93" s="34"/>
    </row>
    <row r="94" spans="1:56" ht="17.5" thickBot="1" x14ac:dyDescent="0.45">
      <c r="B94" s="15" t="s">
        <v>350</v>
      </c>
      <c r="BA94" s="34"/>
    </row>
    <row r="95" spans="1:56" ht="17" thickTop="1" thickBot="1" x14ac:dyDescent="0.4">
      <c r="C95" s="11" t="s">
        <v>442</v>
      </c>
      <c r="BA95" s="34"/>
    </row>
    <row r="96" spans="1:56" x14ac:dyDescent="0.35">
      <c r="A96" s="1"/>
      <c r="E96" t="s">
        <v>441</v>
      </c>
      <c r="G96" t="str">
        <f>nominal</f>
        <v>£m nominal</v>
      </c>
      <c r="AU96" s="152">
        <f>AVERAGE(AU37,AU48)</f>
        <v>-1478.2899377495378</v>
      </c>
      <c r="AV96" s="12">
        <f ca="1">AVERAGE(AV37,AV48)</f>
        <v>-1499.2665789570158</v>
      </c>
      <c r="AW96" s="12">
        <f ca="1">AVERAGE(AW37,AW48)</f>
        <v>-1521.6844510442681</v>
      </c>
      <c r="AX96" s="12">
        <f ca="1">AVERAGE(AX37,AX48)</f>
        <v>-1536.924802079126</v>
      </c>
      <c r="AY96" s="12">
        <f ca="1">AVERAGE(AY37,AY48)</f>
        <v>-1543.9958422048405</v>
      </c>
      <c r="BA96" s="34" t="str">
        <f t="shared" ca="1" si="4"/>
        <v>Finance</v>
      </c>
      <c r="BB96" s="1" t="str">
        <f>$A$66</f>
        <v>Financing costs</v>
      </c>
      <c r="BC96" s="1" t="str">
        <f>$B$94</f>
        <v>Debt</v>
      </c>
      <c r="BD96" s="1" t="str">
        <f>$C$95</f>
        <v>Net interest expense</v>
      </c>
    </row>
    <row r="97" spans="1:56" x14ac:dyDescent="0.35">
      <c r="A97" s="1"/>
      <c r="BA97" s="34"/>
    </row>
    <row r="98" spans="1:56" x14ac:dyDescent="0.35">
      <c r="E98" t="s">
        <v>351</v>
      </c>
      <c r="G98" t="str">
        <f t="shared" ref="G98:G102" si="29">nominal</f>
        <v>£m nominal</v>
      </c>
      <c r="AU98" s="152">
        <f>AU96*(1-AU29)</f>
        <v>-1034.8029564246765</v>
      </c>
      <c r="AV98" s="12">
        <f ca="1">AV96*(1-AV29)</f>
        <v>-1049.486605269911</v>
      </c>
      <c r="AW98" s="12">
        <f ca="1">AW96*(1-AW29)</f>
        <v>-1065.1791157309876</v>
      </c>
      <c r="AX98" s="12">
        <f ca="1">AX96*(1-AX29)</f>
        <v>-1075.8473614553882</v>
      </c>
      <c r="AY98" s="12">
        <f ca="1">AY96*(1-AY29)</f>
        <v>-1080.7970895433882</v>
      </c>
      <c r="BA98" s="34" t="str">
        <f t="shared" ca="1" si="4"/>
        <v>Finance</v>
      </c>
      <c r="BB98" s="1" t="str">
        <f>$A$66</f>
        <v>Financing costs</v>
      </c>
      <c r="BC98" s="1" t="str">
        <f t="shared" ref="BC98:BC102" si="30">$B$94</f>
        <v>Debt</v>
      </c>
      <c r="BD98" s="1" t="str">
        <f>$C$95</f>
        <v>Net interest expense</v>
      </c>
    </row>
    <row r="99" spans="1:56" x14ac:dyDescent="0.35">
      <c r="E99" t="s">
        <v>443</v>
      </c>
      <c r="G99" t="str">
        <f t="shared" si="29"/>
        <v>£m nominal</v>
      </c>
      <c r="AU99" s="152">
        <f>AU98*AU20</f>
        <v>-54.27505288343955</v>
      </c>
      <c r="AV99" s="12">
        <f ca="1">AV98*AV20</f>
        <v>-56.00986172906115</v>
      </c>
      <c r="AW99" s="12">
        <f ca="1">AW98*AW20</f>
        <v>-57.717646439923122</v>
      </c>
      <c r="AX99" s="12">
        <f ca="1">AX98*AX20</f>
        <v>-59.5043537104712</v>
      </c>
      <c r="AY99" s="12">
        <f ca="1">AY98*AY20</f>
        <v>-61.102701337772046</v>
      </c>
      <c r="BA99" s="34" t="str">
        <f t="shared" ca="1" si="4"/>
        <v>Finance</v>
      </c>
      <c r="BB99" s="1" t="str">
        <f>$A$66</f>
        <v>Financing costs</v>
      </c>
      <c r="BC99" s="1" t="str">
        <f t="shared" si="30"/>
        <v>Debt</v>
      </c>
      <c r="BD99" s="1" t="str">
        <f t="shared" ref="BD99:BD102" si="31">$C$95</f>
        <v>Net interest expense</v>
      </c>
    </row>
    <row r="100" spans="1:56" x14ac:dyDescent="0.35">
      <c r="E100" t="s">
        <v>352</v>
      </c>
      <c r="G100" t="str">
        <f t="shared" si="29"/>
        <v>£m nominal</v>
      </c>
      <c r="AU100" s="152">
        <f>AU96*AU29</f>
        <v>-443.48698132486135</v>
      </c>
      <c r="AV100" s="12">
        <f ca="1">AV96*AV29</f>
        <v>-449.7799736871047</v>
      </c>
      <c r="AW100" s="12">
        <f ca="1">AW96*AW29</f>
        <v>-456.50533531328045</v>
      </c>
      <c r="AX100" s="12">
        <f ca="1">AX96*AX29</f>
        <v>-461.0774406237378</v>
      </c>
      <c r="AY100" s="12">
        <f ca="1">AY96*AY29</f>
        <v>-463.19875266145215</v>
      </c>
      <c r="BA100" s="34" t="str">
        <f t="shared" ca="1" si="4"/>
        <v>Finance</v>
      </c>
      <c r="BB100" s="1" t="str">
        <f>$A$66</f>
        <v>Financing costs</v>
      </c>
      <c r="BC100" s="1" t="str">
        <f t="shared" si="30"/>
        <v>Debt</v>
      </c>
      <c r="BD100" s="1" t="str">
        <f t="shared" si="31"/>
        <v>Net interest expense</v>
      </c>
    </row>
    <row r="101" spans="1:56" x14ac:dyDescent="0.35">
      <c r="E101" t="s">
        <v>444</v>
      </c>
      <c r="G101" t="str">
        <f t="shared" si="29"/>
        <v>£m nominal</v>
      </c>
      <c r="AU101" s="152">
        <f>AU100*AU21</f>
        <v>-23.881353769931632</v>
      </c>
      <c r="AV101" s="12">
        <f ca="1">AV100*AV21</f>
        <v>-24.032326577427927</v>
      </c>
      <c r="AW101" s="12">
        <f ca="1">AW100*AW21</f>
        <v>-24.697245442816651</v>
      </c>
      <c r="AX101" s="12">
        <f ca="1">AX100*AX21</f>
        <v>-25.391896330890717</v>
      </c>
      <c r="AY101" s="12">
        <f ca="1">AY100*AY21</f>
        <v>-26.194833996461306</v>
      </c>
      <c r="BA101" s="34" t="str">
        <f t="shared" ca="1" si="4"/>
        <v>Finance</v>
      </c>
      <c r="BB101" s="1" t="str">
        <f>$A$66</f>
        <v>Financing costs</v>
      </c>
      <c r="BC101" s="1" t="str">
        <f t="shared" si="30"/>
        <v>Debt</v>
      </c>
      <c r="BD101" s="1" t="str">
        <f t="shared" si="31"/>
        <v>Net interest expense</v>
      </c>
    </row>
    <row r="102" spans="1:56" x14ac:dyDescent="0.35">
      <c r="E102" t="s">
        <v>353</v>
      </c>
      <c r="G102" t="str">
        <f t="shared" si="29"/>
        <v>£m nominal</v>
      </c>
      <c r="AU102" s="152">
        <f>AU100*Transform!AU142</f>
        <v>-10.048520950532188</v>
      </c>
      <c r="AV102" s="12">
        <f ca="1">AV100*Transform!AV142</f>
        <v>-9.6075580799426117</v>
      </c>
      <c r="AW102" s="12">
        <f ca="1">AW100*Transform!AW142</f>
        <v>-9.6858880505028075</v>
      </c>
      <c r="AX102" s="12">
        <f ca="1">AX100*Transform!AX142</f>
        <v>-9.7145239118554496</v>
      </c>
      <c r="AY102" s="12">
        <f ca="1">AY100*Transform!AY142</f>
        <v>-9.8738298981548507</v>
      </c>
      <c r="BA102" s="34" t="str">
        <f t="shared" ca="1" si="4"/>
        <v>Finance</v>
      </c>
      <c r="BB102" s="1" t="str">
        <f>$A$66</f>
        <v>Financing costs</v>
      </c>
      <c r="BC102" s="1" t="str">
        <f t="shared" si="30"/>
        <v>Debt</v>
      </c>
      <c r="BD102" s="1" t="str">
        <f t="shared" si="31"/>
        <v>Net interest expense</v>
      </c>
    </row>
    <row r="103" spans="1:56" x14ac:dyDescent="0.35">
      <c r="BA103" s="34"/>
    </row>
    <row r="104" spans="1:56" x14ac:dyDescent="0.35">
      <c r="E104" t="s">
        <v>442</v>
      </c>
      <c r="G104" t="str">
        <f t="shared" ref="G104:G105" si="32">nominal</f>
        <v>£m nominal</v>
      </c>
      <c r="AU104" s="152">
        <f>SUM(AU99,AU101)</f>
        <v>-78.156406653371178</v>
      </c>
      <c r="AV104" s="12">
        <f t="shared" ref="AV104:AY104" ca="1" si="33">SUM(AV99,AV101)</f>
        <v>-80.042188306489081</v>
      </c>
      <c r="AW104" s="12">
        <f t="shared" ca="1" si="33"/>
        <v>-82.414891882739767</v>
      </c>
      <c r="AX104" s="12">
        <f t="shared" ca="1" si="33"/>
        <v>-84.896250041361924</v>
      </c>
      <c r="AY104" s="12">
        <f t="shared" ca="1" si="33"/>
        <v>-87.297535334233345</v>
      </c>
      <c r="BA104" s="34" t="str">
        <f t="shared" ca="1" si="4"/>
        <v>Finance</v>
      </c>
      <c r="BB104" s="1" t="str">
        <f>$A$66</f>
        <v>Financing costs</v>
      </c>
      <c r="BC104" s="1" t="str">
        <f t="shared" ref="BC104:BC105" si="34">$B$94</f>
        <v>Debt</v>
      </c>
      <c r="BD104" s="1" t="str">
        <f t="shared" ref="BD104:BD105" si="35">$C$95</f>
        <v>Net interest expense</v>
      </c>
    </row>
    <row r="105" spans="1:56" x14ac:dyDescent="0.35">
      <c r="E105" t="s">
        <v>445</v>
      </c>
      <c r="G105" t="str">
        <f t="shared" si="32"/>
        <v>£m nominal</v>
      </c>
      <c r="AU105" s="152">
        <f>AU104-AU102</f>
        <v>-68.107885702838985</v>
      </c>
      <c r="AV105" s="12">
        <f t="shared" ref="AV105:AY105" ca="1" si="36">AV104-AV102</f>
        <v>-70.434630226546474</v>
      </c>
      <c r="AW105" s="12">
        <f t="shared" ca="1" si="36"/>
        <v>-72.729003832236955</v>
      </c>
      <c r="AX105" s="12">
        <f t="shared" ca="1" si="36"/>
        <v>-75.181726129506472</v>
      </c>
      <c r="AY105" s="12">
        <f t="shared" ca="1" si="36"/>
        <v>-77.423705436078492</v>
      </c>
      <c r="BA105" s="34" t="str">
        <f t="shared" ref="BA105" ca="1" si="37">$A$1</f>
        <v>Finance</v>
      </c>
      <c r="BB105" s="1" t="str">
        <f>$A$66</f>
        <v>Financing costs</v>
      </c>
      <c r="BC105" s="1" t="str">
        <f t="shared" si="34"/>
        <v>Debt</v>
      </c>
      <c r="BD105" s="1" t="str">
        <f t="shared" si="35"/>
        <v>Net interest expense</v>
      </c>
    </row>
    <row r="106" spans="1:56" x14ac:dyDescent="0.35"/>
    <row r="107" spans="1:56" ht="20" thickBot="1" x14ac:dyDescent="0.5">
      <c r="A107" s="13" t="s">
        <v>386</v>
      </c>
    </row>
    <row r="108" spans="1:56" x14ac:dyDescent="0.35"/>
    <row r="109" spans="1:56" x14ac:dyDescent="0.35"/>
    <row r="124" spans="7:7" hidden="1" x14ac:dyDescent="0.35">
      <c r="G124" t="s">
        <v>452</v>
      </c>
    </row>
  </sheetData>
  <conditionalFormatting sqref="H1">
    <cfRule type="cellIs" dxfId="6" priority="1" operator="equal">
      <formula>"ERROR"</formula>
    </cfRule>
  </conditionalFormatting>
  <pageMargins left="0.7" right="0.7" top="0.75" bottom="0.75" header="0.3" footer="0.3"/>
  <pageSetup paperSize="9" orientation="portrait" r:id="rId1"/>
  <headerFooter>
    <oddHeader>&amp;L&amp;"Aptos"&amp;10&amp;K000000 Classified as Internal&amp;1#_x000D_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D95A4-8E65-4A7A-8CD2-E358C945D405}">
  <sheetPr codeName="Sheet10">
    <tabColor rgb="FFBAA0CC"/>
    <pageSetUpPr autoPageBreaks="0"/>
  </sheetPr>
  <dimension ref="A1:BF111"/>
  <sheetViews>
    <sheetView zoomScaleNormal="100" workbookViewId="0">
      <pane xSplit="46" ySplit="4" topLeftCell="AU5" activePane="bottomRight" state="frozen"/>
      <selection pane="topRight" activeCell="AU1" sqref="AU1"/>
      <selection pane="bottomLeft" activeCell="A5" sqref="A5"/>
      <selection pane="bottomRight"/>
    </sheetView>
  </sheetViews>
  <sheetFormatPr defaultColWidth="0" defaultRowHeight="16" zeroHeight="1" outlineLevelRow="1" outlineLevelCol="1" x14ac:dyDescent="0.35"/>
  <cols>
    <col min="1" max="3" width="1.90625" customWidth="1"/>
    <col min="4" max="4" width="15.6328125" customWidth="1"/>
    <col min="5" max="5" width="65.6328125" customWidth="1"/>
    <col min="6" max="6" width="8.6328125" customWidth="1"/>
    <col min="7" max="7" width="17.6328125" customWidth="1"/>
    <col min="8" max="8" width="9.6328125" customWidth="1"/>
    <col min="9" max="9" width="11.6328125" customWidth="1"/>
    <col min="10" max="10" width="2.08984375" customWidth="1"/>
    <col min="11" max="45" width="11.6328125" hidden="1" customWidth="1" outlineLevel="1"/>
    <col min="46" max="46" width="11.6328125" style="61" hidden="1" customWidth="1" outlineLevel="1"/>
    <col min="47" max="47" width="11.6328125" customWidth="1" collapsed="1"/>
    <col min="48" max="51" width="11.6328125" customWidth="1"/>
    <col min="52" max="52" width="18.6328125" customWidth="1"/>
    <col min="53" max="55" width="10.6328125" style="1" customWidth="1"/>
    <col min="56" max="57" width="10.6328125" customWidth="1"/>
    <col min="58" max="58" width="1.6328125" style="6" customWidth="1"/>
    <col min="59" max="16384" width="9.08984375" hidden="1"/>
  </cols>
  <sheetData>
    <row r="1" spans="1:56" s="90" customFormat="1" x14ac:dyDescent="0.35">
      <c r="A1" s="95" t="str" cm="1">
        <f t="array" aca="1" ref="A1" ca="1">MID(CELL("filename",$A$1),FIND("]",CELL("filename",$A$1))+1,255)</f>
        <v>Tax</v>
      </c>
      <c r="E1" s="107"/>
      <c r="G1" s="90" t="s">
        <v>572</v>
      </c>
      <c r="H1" s="27" t="e">
        <f>Checks!I7</f>
        <v>#REF!</v>
      </c>
      <c r="AT1" s="96"/>
    </row>
    <row r="2" spans="1:56" s="90" customFormat="1" ht="15" customHeight="1" x14ac:dyDescent="0.35">
      <c r="AT2" s="96"/>
    </row>
    <row r="3" spans="1:56" s="90" customFormat="1" ht="15" customHeight="1" x14ac:dyDescent="0.35">
      <c r="E3" s="90" t="s">
        <v>1</v>
      </c>
      <c r="F3" s="90" t="s">
        <v>2</v>
      </c>
      <c r="G3" s="90" t="s">
        <v>3</v>
      </c>
      <c r="H3" s="90" t="s">
        <v>4</v>
      </c>
      <c r="I3" s="90" t="s">
        <v>5</v>
      </c>
      <c r="AT3" s="96"/>
      <c r="AU3" s="90" t="s">
        <v>6</v>
      </c>
    </row>
    <row r="4" spans="1:56" s="90" customFormat="1" ht="15" customHeight="1" x14ac:dyDescent="0.35">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92" t="s">
        <v>591</v>
      </c>
      <c r="BB4" s="92" t="s">
        <v>592</v>
      </c>
      <c r="BC4" s="92" t="s">
        <v>593</v>
      </c>
      <c r="BD4" s="92"/>
    </row>
    <row r="5" spans="1:56" x14ac:dyDescent="0.35">
      <c r="AP5" s="1"/>
      <c r="AQ5" s="1"/>
      <c r="AR5" s="1"/>
      <c r="AS5" s="1"/>
      <c r="AT5" s="71"/>
    </row>
    <row r="6" spans="1:56" ht="20" thickBot="1" x14ac:dyDescent="0.5">
      <c r="A6" s="13" t="s">
        <v>484</v>
      </c>
      <c r="AP6" s="1"/>
      <c r="AQ6" s="1"/>
      <c r="AR6" s="1"/>
      <c r="AS6" s="1"/>
      <c r="AT6" s="71"/>
    </row>
    <row r="7" spans="1:56" ht="16.5" outlineLevel="1" thickTop="1" x14ac:dyDescent="0.35">
      <c r="D7" s="1" t="str" cm="1">
        <f t="array" aca="1" ref="D7" ca="1">IFERROR(MID(_xlfn.FORMULATEXT(I7),FIND("=",_xlfn.FORMULATEXT(I7))+1,FIND("!",_xlfn.FORMULATEXT(I7))-2),MID(_xlfn.FORMULATEXT(INDEX(L7:AV7,MATCH(FALSE,ISBLANK(L7:AV7),0))),FIND("=",_xlfn.FORMULATEXT(INDEX(L7:AV7,MATCH(FALSE,ISBLANK(L7:AV7),0))))+1,FIND("!",_xlfn.FORMULATEXT(INDEX(L7:AV7,MATCH(FALSE,ISBLANK(L7:AV7),0))))-2))</f>
        <v>Transform</v>
      </c>
      <c r="E7" t="s">
        <v>210</v>
      </c>
      <c r="G7" t="s">
        <v>109</v>
      </c>
      <c r="AU7" s="149">
        <f>Transform!AU207</f>
        <v>0.25</v>
      </c>
      <c r="AV7" s="53">
        <f>Transform!AV207</f>
        <v>0.25</v>
      </c>
      <c r="AW7" s="53">
        <f>Transform!AW207</f>
        <v>0.25</v>
      </c>
      <c r="AX7" s="53">
        <f>Transform!AX207</f>
        <v>0.25</v>
      </c>
      <c r="AY7" s="53">
        <f>Transform!AY207</f>
        <v>0.25</v>
      </c>
    </row>
    <row r="8" spans="1:56" outlineLevel="1" x14ac:dyDescent="0.35">
      <c r="D8" s="1" t="str" cm="1">
        <f t="array" aca="1" ref="D8" ca="1">IFERROR(MID(_xlfn.FORMULATEXT(I8),FIND("=",_xlfn.FORMULATEXT(I8))+1,FIND("!",_xlfn.FORMULATEXT(I8))-2),MID(_xlfn.FORMULATEXT(INDEX(L8:AV8,MATCH(FALSE,ISBLANK(L8:AV8),0))),FIND("=",_xlfn.FORMULATEXT(INDEX(L8:AV8,MATCH(FALSE,ISBLANK(L8:AV8),0))))+1,FIND("!",_xlfn.FORMULATEXT(INDEX(L8:AV8,MATCH(FALSE,ISBLANK(L8:AV8),0))))-2))</f>
        <v>Revenue</v>
      </c>
      <c r="E8" t="s">
        <v>333</v>
      </c>
      <c r="G8" t="str">
        <f>price_label</f>
        <v>£m 23/24 prices</v>
      </c>
      <c r="AU8" s="148">
        <f>Revenue!AU20</f>
        <v>452.76852966450082</v>
      </c>
      <c r="AV8" s="50">
        <f ca="1">Revenue!AV20</f>
        <v>469.94959728980933</v>
      </c>
      <c r="AW8" s="50">
        <f ca="1">Revenue!AW20</f>
        <v>479.43459929062755</v>
      </c>
      <c r="AX8" s="50">
        <f ca="1">Revenue!AX20</f>
        <v>477.98439192842164</v>
      </c>
      <c r="AY8" s="50">
        <f ca="1">Revenue!AY20</f>
        <v>476.52029165337319</v>
      </c>
      <c r="BA8" s="34"/>
    </row>
    <row r="9" spans="1:56" outlineLevel="1" x14ac:dyDescent="0.35">
      <c r="D9" s="1" t="str" cm="1">
        <f t="array" aca="1" ref="D9" ca="1">IFERROR(MID(_xlfn.FORMULATEXT(I9),FIND("=",_xlfn.FORMULATEXT(I9))+1,FIND("!",_xlfn.FORMULATEXT(I9))-2),MID(_xlfn.FORMULATEXT(INDEX(L9:AV9,MATCH(FALSE,ISBLANK(L9:AV9),0))),FIND("=",_xlfn.FORMULATEXT(INDEX(L9:AV9,MATCH(FALSE,ISBLANK(L9:AV9),0))))+1,FIND("!",_xlfn.FORMULATEXT(INDEX(L9:AV9,MATCH(FALSE,ISBLANK(L9:AV9),0))))-2))</f>
        <v>Transform</v>
      </c>
      <c r="E9" t="s">
        <v>449</v>
      </c>
      <c r="G9" t="str">
        <f>price_label</f>
        <v>£m 23/24 prices</v>
      </c>
      <c r="AU9" s="148">
        <f>Transform!AU134</f>
        <v>0</v>
      </c>
      <c r="AV9" s="50">
        <f>Transform!AV134</f>
        <v>0</v>
      </c>
      <c r="AW9" s="50">
        <f>Transform!AW134</f>
        <v>0</v>
      </c>
      <c r="AX9" s="50">
        <f>Transform!AX134</f>
        <v>0</v>
      </c>
      <c r="AY9" s="50">
        <f>Transform!AY134</f>
        <v>0</v>
      </c>
    </row>
    <row r="10" spans="1:56" outlineLevel="1" x14ac:dyDescent="0.35">
      <c r="D10" s="1" t="str" cm="1">
        <f t="array" aca="1" ref="D10" ca="1">IFERROR(MID(_xlfn.FORMULATEXT(I10),FIND("=",_xlfn.FORMULATEXT(I10))+1,FIND("!",_xlfn.FORMULATEXT(I10))-2),MID(_xlfn.FORMULATEXT(INDEX(L10:AV10,MATCH(FALSE,ISBLANK(L10:AV10),0))),FIND("=",_xlfn.FORMULATEXT(INDEX(L10:AV10,MATCH(FALSE,ISBLANK(L10:AV10),0))))+1,FIND("!",_xlfn.FORMULATEXT(INDEX(L10:AV10,MATCH(FALSE,ISBLANK(L10:AV10),0))))-2))</f>
        <v>Transform</v>
      </c>
      <c r="E10" t="s">
        <v>202</v>
      </c>
      <c r="G10" t="str">
        <f>price_label</f>
        <v>£m 23/24 prices</v>
      </c>
      <c r="AU10" s="148">
        <f>Transform!AU223</f>
        <v>-8.183739375</v>
      </c>
      <c r="AV10" s="50">
        <f>Transform!AV223</f>
        <v>-8.5845247937500009</v>
      </c>
      <c r="AW10" s="50">
        <f>Transform!AW223</f>
        <v>-9.0437251534374994</v>
      </c>
      <c r="AX10" s="50">
        <f>Transform!AX223</f>
        <v>-9.5108419273093805</v>
      </c>
      <c r="AY10" s="50">
        <f>Transform!AY223</f>
        <v>-10.0058532618868</v>
      </c>
    </row>
    <row r="11" spans="1:56" outlineLevel="1" x14ac:dyDescent="0.35">
      <c r="D11" s="1" t="str" cm="1">
        <f t="array" aca="1" ref="D11" ca="1">IFERROR(MID(_xlfn.FORMULATEXT(I11),FIND("=",_xlfn.FORMULATEXT(I11))+1,FIND("!",_xlfn.FORMULATEXT(I11))-2),MID(_xlfn.FORMULATEXT(INDEX(L11:AV11,MATCH(FALSE,ISBLANK(L11:AV11),0))),FIND("=",_xlfn.FORMULATEXT(INDEX(L11:AV11,MATCH(FALSE,ISBLANK(L11:AV11),0))))+1,FIND("!",_xlfn.FORMULATEXT(INDEX(L11:AV11,MATCH(FALSE,ISBLANK(L11:AV11),0))))-2))</f>
        <v>Finance</v>
      </c>
      <c r="E11" t="s">
        <v>445</v>
      </c>
      <c r="G11" t="str">
        <f>nominal</f>
        <v>£m nominal</v>
      </c>
      <c r="AU11" s="148">
        <f>Finance!AU105</f>
        <v>-68.107885702838985</v>
      </c>
      <c r="AV11" s="50">
        <f ca="1">Finance!AV105</f>
        <v>-70.434630226546474</v>
      </c>
      <c r="AW11" s="50">
        <f ca="1">Finance!AW105</f>
        <v>-72.729003832236955</v>
      </c>
      <c r="AX11" s="50">
        <f ca="1">Finance!AX105</f>
        <v>-75.181726129506472</v>
      </c>
      <c r="AY11" s="50">
        <f ca="1">Finance!AY105</f>
        <v>-77.423705436078492</v>
      </c>
      <c r="BA11" s="34"/>
    </row>
    <row r="12" spans="1:56" outlineLevel="1" x14ac:dyDescent="0.35">
      <c r="D12" s="1" t="str" cm="1">
        <f t="array" aca="1" ref="D12" ca="1">IFERROR(MID(_xlfn.FORMULATEXT(I12),FIND("=",_xlfn.FORMULATEXT(I12))+1,FIND("!",_xlfn.FORMULATEXT(I12))-2),MID(_xlfn.FORMULATEXT(INDEX(L12:AV12,MATCH(FALSE,ISBLANK(L12:AV12),0))),FIND("=",_xlfn.FORMULATEXT(INDEX(L12:AV12,MATCH(FALSE,ISBLANK(L12:AV12),0))))+1,FIND("!",_xlfn.FORMULATEXT(INDEX(L12:AV12,MATCH(FALSE,ISBLANK(L12:AV12),0))))-2))</f>
        <v>Finance</v>
      </c>
      <c r="E12" t="s">
        <v>353</v>
      </c>
      <c r="G12" t="str">
        <f>nominal</f>
        <v>£m nominal</v>
      </c>
      <c r="AU12" s="148">
        <f>Finance!AU102</f>
        <v>-10.048520950532188</v>
      </c>
      <c r="AV12" s="50">
        <f ca="1">Finance!AV102</f>
        <v>-9.6075580799426117</v>
      </c>
      <c r="AW12" s="50">
        <f ca="1">Finance!AW102</f>
        <v>-9.6858880505028075</v>
      </c>
      <c r="AX12" s="50">
        <f ca="1">Finance!AX102</f>
        <v>-9.7145239118554496</v>
      </c>
      <c r="AY12" s="50">
        <f ca="1">Finance!AY102</f>
        <v>-9.8738298981548507</v>
      </c>
      <c r="BA12" s="34"/>
    </row>
    <row r="13" spans="1:56" outlineLevel="1" x14ac:dyDescent="0.35">
      <c r="D13" s="1" t="str" cm="1">
        <f t="array" aca="1" ref="D13" ca="1">IFERROR(MID(_xlfn.FORMULATEXT(I13),FIND("=",_xlfn.FORMULATEXT(I13))+1,FIND("!",_xlfn.FORMULATEXT(I13))-2),MID(_xlfn.FORMULATEXT(INDEX(L13:AV13,MATCH(FALSE,ISBLANK(L13:AV13),0))),FIND("=",_xlfn.FORMULATEXT(INDEX(L13:AV13,MATCH(FALSE,ISBLANK(L13:AV13),0))))+1,FIND("!",_xlfn.FORMULATEXT(INDEX(L13:AV13,MATCH(FALSE,ISBLANK(L13:AV13),0))))-2))</f>
        <v>TaxPools</v>
      </c>
      <c r="E13" t="s">
        <v>318</v>
      </c>
      <c r="G13" t="str">
        <f>price_label</f>
        <v>£m 23/24 prices</v>
      </c>
      <c r="AU13" s="148">
        <f>TaxPools!AU50</f>
        <v>207.64760435651834</v>
      </c>
      <c r="AV13" s="50">
        <f>TaxPools!AV50</f>
        <v>212.29379169616305</v>
      </c>
      <c r="AW13" s="50">
        <f>TaxPools!AW50</f>
        <v>212.79377938103983</v>
      </c>
      <c r="AX13" s="50">
        <f>TaxPools!AX50</f>
        <v>217.65354397895473</v>
      </c>
      <c r="AY13" s="50">
        <f>TaxPools!AY50</f>
        <v>215.29699894679783</v>
      </c>
      <c r="BA13" s="34"/>
    </row>
    <row r="14" spans="1:56" outlineLevel="1" x14ac:dyDescent="0.35">
      <c r="D14" s="1" t="str" cm="1">
        <f t="array" aca="1" ref="D14" ca="1">IFERROR(MID(_xlfn.FORMULATEXT(I14),FIND("=",_xlfn.FORMULATEXT(I14))+1,FIND("!",_xlfn.FORMULATEXT(I14))-2),MID(_xlfn.FORMULATEXT(INDEX(L14:AV14,MATCH(FALSE,ISBLANK(L14:AV14),0))),FIND("=",_xlfn.FORMULATEXT(INDEX(L14:AV14,MATCH(FALSE,ISBLANK(L14:AV14),0))))+1,FIND("!",_xlfn.FORMULATEXT(INDEX(L14:AV14,MATCH(FALSE,ISBLANK(L14:AV14),0))))-2))</f>
        <v>TaxPools</v>
      </c>
      <c r="E14" t="s">
        <v>319</v>
      </c>
      <c r="G14" t="str">
        <f>nominal</f>
        <v>£m nominal</v>
      </c>
      <c r="AU14" s="148">
        <f ca="1">TaxPools!AU106</f>
        <v>88.604861709245128</v>
      </c>
      <c r="AV14" s="50">
        <f ca="1">TaxPools!AV106</f>
        <v>96.016273677042179</v>
      </c>
      <c r="AW14" s="50">
        <f ca="1">TaxPools!AW106</f>
        <v>97.995277119792732</v>
      </c>
      <c r="AX14" s="50">
        <f ca="1">TaxPools!AX106</f>
        <v>90.498507409182722</v>
      </c>
      <c r="AY14" s="50">
        <f ca="1">TaxPools!AY106</f>
        <v>88.155348946574307</v>
      </c>
      <c r="BA14" s="34"/>
    </row>
    <row r="15" spans="1:56" outlineLevel="1" x14ac:dyDescent="0.35">
      <c r="D15" s="1" t="str" cm="1">
        <f t="array" aca="1" ref="D15" ca="1">IFERROR(MID(_xlfn.FORMULATEXT(I15),FIND("=",_xlfn.FORMULATEXT(I15))+1,FIND("!",_xlfn.FORMULATEXT(I15))-2),MID(_xlfn.FORMULATEXT(INDEX(L15:AV15,MATCH(FALSE,ISBLANK(L15:AV15),0))),FIND("=",_xlfn.FORMULATEXT(INDEX(L15:AV15,MATCH(FALSE,ISBLANK(L15:AV15),0))))+1,FIND("!",_xlfn.FORMULATEXT(INDEX(L15:AV15,MATCH(FALSE,ISBLANK(L15:AV15),0))))-2))</f>
        <v>Transform</v>
      </c>
      <c r="E15" t="s">
        <v>95</v>
      </c>
      <c r="G15" t="str">
        <f>price_label</f>
        <v>£m 23/24 prices</v>
      </c>
      <c r="AU15" s="148">
        <f>Transform!AU201</f>
        <v>0</v>
      </c>
      <c r="AV15" s="50">
        <f>Transform!AV201</f>
        <v>0</v>
      </c>
      <c r="AW15" s="50">
        <f>Transform!AW201</f>
        <v>0</v>
      </c>
      <c r="AX15" s="50">
        <f>Transform!AX201</f>
        <v>0</v>
      </c>
      <c r="AY15" s="50">
        <f>Transform!AY201</f>
        <v>0</v>
      </c>
    </row>
    <row r="16" spans="1:56" outlineLevel="1" x14ac:dyDescent="0.35">
      <c r="D16" s="1" t="str" cm="1">
        <f t="array" aca="1" ref="D16" ca="1">IFERROR(MID(_xlfn.FORMULATEXT(I16),FIND("=",_xlfn.FORMULATEXT(I16))+1,FIND("!",_xlfn.FORMULATEXT(I16))-2),MID(_xlfn.FORMULATEXT(INDEX(L16:AV16,MATCH(FALSE,ISBLANK(L16:AV16),0))),FIND("=",_xlfn.FORMULATEXT(INDEX(L16:AV16,MATCH(FALSE,ISBLANK(L16:AV16),0))))+1,FIND("!",_xlfn.FORMULATEXT(INDEX(L16:AV16,MATCH(FALSE,ISBLANK(L16:AV16),0))))-2))</f>
        <v>Transform</v>
      </c>
      <c r="E16" t="s">
        <v>183</v>
      </c>
      <c r="G16" t="str">
        <f>price_label</f>
        <v>£m 23/24 prices</v>
      </c>
      <c r="AU16" s="148">
        <f>Transform!AU205</f>
        <v>1.5073476235385441</v>
      </c>
      <c r="AV16" s="50">
        <f>Transform!AV205</f>
        <v>1.5777854665626652</v>
      </c>
      <c r="AW16" s="50">
        <f>Transform!AW205</f>
        <v>1.6130806242112121</v>
      </c>
      <c r="AX16" s="50">
        <f>Transform!AX205</f>
        <v>1.6124484596230519</v>
      </c>
      <c r="AY16" s="50">
        <f>Transform!AY205</f>
        <v>1.6130229169488854</v>
      </c>
    </row>
    <row r="17" spans="1:54" outlineLevel="1" x14ac:dyDescent="0.35">
      <c r="A17" s="1"/>
      <c r="D17" s="1" t="str" cm="1">
        <f t="array" aca="1" ref="D17" ca="1">IFERROR(MID(_xlfn.FORMULATEXT(I17),FIND("=",_xlfn.FORMULATEXT(I17))+1,FIND("!",_xlfn.FORMULATEXT(I17))-2),MID(_xlfn.FORMULATEXT(INDEX(L17:AV17,MATCH(FALSE,ISBLANK(L17:AV17),0))),FIND("=",_xlfn.FORMULATEXT(INDEX(L17:AV17,MATCH(FALSE,ISBLANK(L17:AV17),0))))+1,FIND("!",_xlfn.FORMULATEXT(INDEX(L17:AV17,MATCH(FALSE,ISBLANK(L17:AV17),0))))-2))</f>
        <v>Transform</v>
      </c>
      <c r="E17" t="s">
        <v>380</v>
      </c>
      <c r="G17" t="str">
        <f>Transform!G151</f>
        <v>scalar</v>
      </c>
      <c r="AU17" s="151">
        <f>Transform!AU151</f>
        <v>1.1073232504310131</v>
      </c>
      <c r="AV17" s="56">
        <f>Transform!AV151</f>
        <v>1.13077612996489</v>
      </c>
      <c r="AW17" s="56">
        <f>Transform!AW151</f>
        <v>1.1546603214808062</v>
      </c>
      <c r="AX17" s="56">
        <f>Transform!AX151</f>
        <v>1.1791214385998912</v>
      </c>
      <c r="AY17" s="56">
        <f>Transform!AY151</f>
        <v>1.2032413494376912</v>
      </c>
    </row>
    <row r="18" spans="1:54" outlineLevel="1" x14ac:dyDescent="0.35">
      <c r="A18" s="1"/>
      <c r="D18" s="1" t="str" cm="1">
        <f t="array" aca="1" ref="D18" ca="1">IFERROR(MID(_xlfn.FORMULATEXT(I18),FIND("=",_xlfn.FORMULATEXT(I18))+1,FIND("!",_xlfn.FORMULATEXT(I18))-2),MID(_xlfn.FORMULATEXT(INDEX(L18:AV18,MATCH(FALSE,ISBLANK(L18:AV18),0))),FIND("=",_xlfn.FORMULATEXT(INDEX(L18:AV18,MATCH(FALSE,ISBLANK(L18:AV18),0))))+1,FIND("!",_xlfn.FORMULATEXT(INDEX(L18:AV18,MATCH(FALSE,ISBLANK(L18:AV18),0))))-2))</f>
        <v>'Return&amp;RAV'</v>
      </c>
      <c r="E18" t="s">
        <v>305</v>
      </c>
      <c r="G18" t="str">
        <f>price_label</f>
        <v>£m 23/24 prices</v>
      </c>
      <c r="AU18" s="148">
        <f>'Return&amp;RAV'!AU37</f>
        <v>2321.3240588273052</v>
      </c>
      <c r="AV18" s="50">
        <f>'Return&amp;RAV'!AV37</f>
        <v>2312.6274177018486</v>
      </c>
      <c r="AW18" s="50">
        <f>'Return&amp;RAV'!AW37</f>
        <v>2294.4096124552061</v>
      </c>
      <c r="AX18" s="50">
        <f>'Return&amp;RAV'!AX37</f>
        <v>2264.9339927479268</v>
      </c>
      <c r="AY18" s="50">
        <f>'Return&amp;RAV'!AY37</f>
        <v>2223.3032662859805</v>
      </c>
      <c r="BA18" s="34"/>
    </row>
    <row r="19" spans="1:54" outlineLevel="1" x14ac:dyDescent="0.35">
      <c r="A19" s="1"/>
      <c r="D19" s="1" t="str" cm="1">
        <f t="array" aca="1" ref="D19" ca="1">IFERROR(MID(_xlfn.FORMULATEXT(I19),FIND("=",_xlfn.FORMULATEXT(I19))+1,FIND("!",_xlfn.FORMULATEXT(I19))-2),MID(_xlfn.FORMULATEXT(INDEX(L19:AV19,MATCH(FALSE,ISBLANK(L19:AV19),0))),FIND("=",_xlfn.FORMULATEXT(INDEX(L19:AV19,MATCH(FALSE,ISBLANK(L19:AV19),0))))+1,FIND("!",_xlfn.FORMULATEXT(INDEX(L19:AV19,MATCH(FALSE,ISBLANK(L19:AV19),0))))-2))</f>
        <v>Transform</v>
      </c>
      <c r="E19" t="s">
        <v>88</v>
      </c>
      <c r="G19" t="str">
        <f>nominal</f>
        <v>£m nominal</v>
      </c>
      <c r="AU19" s="148">
        <f>Transform!AU198</f>
        <v>0</v>
      </c>
      <c r="AV19" s="50">
        <f>Transform!AV198</f>
        <v>0</v>
      </c>
      <c r="AW19" s="50">
        <f>Transform!AW198</f>
        <v>0</v>
      </c>
      <c r="AX19" s="50">
        <f>Transform!AX198</f>
        <v>0</v>
      </c>
      <c r="AY19" s="50">
        <f>Transform!AY198</f>
        <v>0</v>
      </c>
    </row>
    <row r="20" spans="1:54" outlineLevel="1" x14ac:dyDescent="0.35">
      <c r="A20" s="1"/>
      <c r="D20" s="1" t="str" cm="1">
        <f t="array" aca="1" ref="D20" ca="1">IFERROR(MID(_xlfn.FORMULATEXT(I20),FIND("=",_xlfn.FORMULATEXT(I20))+1,FIND("!",_xlfn.FORMULATEXT(I20))-2),MID(_xlfn.FORMULATEXT(INDEX(L20:AV20,MATCH(FALSE,ISBLANK(L20:AV20),0))),FIND("=",_xlfn.FORMULATEXT(INDEX(L20:AV20,MATCH(FALSE,ISBLANK(L20:AV20),0))))+1,FIND("!",_xlfn.FORMULATEXT(INDEX(L20:AV20,MATCH(FALSE,ISBLANK(L20:AV20),0))))-2))</f>
        <v>Transform</v>
      </c>
      <c r="E20" t="s">
        <v>182</v>
      </c>
      <c r="G20" t="s">
        <v>109</v>
      </c>
      <c r="AU20" s="149">
        <f>Transform!AU204</f>
        <v>0.6</v>
      </c>
      <c r="AV20" s="53">
        <f>Transform!AV204</f>
        <v>0.6</v>
      </c>
      <c r="AW20" s="53">
        <f>Transform!AW204</f>
        <v>0.6</v>
      </c>
      <c r="AX20" s="53">
        <f>Transform!AX204</f>
        <v>0.6</v>
      </c>
      <c r="AY20" s="53">
        <f>Transform!AY204</f>
        <v>0.6</v>
      </c>
    </row>
    <row r="21" spans="1:54" outlineLevel="1" x14ac:dyDescent="0.35">
      <c r="D21" s="1" t="str" cm="1">
        <f t="array" aca="1" ref="D21" ca="1">IFERROR(MID(_xlfn.FORMULATEXT(I21),FIND("=",_xlfn.FORMULATEXT(I21))+1,FIND("!",_xlfn.FORMULATEXT(I21))-2),MID(_xlfn.FORMULATEXT(INDEX(L21:AV21,MATCH(FALSE,ISBLANK(L21:AV21),0))),FIND("=",_xlfn.FORMULATEXT(INDEX(L21:AV21,MATCH(FALSE,ISBLANK(L21:AV21),0))))+1,FIND("!",_xlfn.FORMULATEXT(INDEX(L21:AV21,MATCH(FALSE,ISBLANK(L21:AV21),0))))-2))</f>
        <v>Transform</v>
      </c>
      <c r="E21" t="s">
        <v>90</v>
      </c>
      <c r="G21" t="str">
        <f>nominal</f>
        <v>£m nominal</v>
      </c>
      <c r="AU21" s="148">
        <f>Transform!AU199</f>
        <v>0</v>
      </c>
      <c r="AV21" s="50">
        <f>Transform!AV199</f>
        <v>0</v>
      </c>
      <c r="AW21" s="50">
        <f>Transform!AW199</f>
        <v>0</v>
      </c>
      <c r="AX21" s="50">
        <f>Transform!AX199</f>
        <v>0</v>
      </c>
      <c r="AY21" s="50">
        <f>Transform!AY199</f>
        <v>0</v>
      </c>
    </row>
    <row r="22" spans="1:54" outlineLevel="1" x14ac:dyDescent="0.35">
      <c r="D22" s="1" t="str" cm="1">
        <f t="array" aca="1" ref="D22" ca="1">IFERROR(MID(_xlfn.FORMULATEXT(I22),FIND("=",_xlfn.FORMULATEXT(I22))+1,FIND("!",_xlfn.FORMULATEXT(I22))-2),MID(_xlfn.FORMULATEXT(INDEX(L22:AV22,MATCH(FALSE,ISBLANK(L22:AV22),0))),FIND("=",_xlfn.FORMULATEXT(INDEX(L22:AV22,MATCH(FALSE,ISBLANK(L22:AV22),0))))+1,FIND("!",_xlfn.FORMULATEXT(INDEX(L22:AV22,MATCH(FALSE,ISBLANK(L22:AV22),0))))-2))</f>
        <v>Transform</v>
      </c>
      <c r="E22" t="s">
        <v>394</v>
      </c>
      <c r="G22" t="str">
        <f>nominal</f>
        <v>£m nominal</v>
      </c>
      <c r="I22" s="50">
        <f>Transform!I208</f>
        <v>5</v>
      </c>
      <c r="BA22" s="34"/>
    </row>
    <row r="23" spans="1:54" outlineLevel="1" x14ac:dyDescent="0.35">
      <c r="D23" s="1" t="str" cm="1">
        <f t="array" aca="1" ref="D23" ca="1">IFERROR(MID(_xlfn.FORMULATEXT(I23),FIND("=",_xlfn.FORMULATEXT(I23))+1,FIND("!",_xlfn.FORMULATEXT(I23))-2),MID(_xlfn.FORMULATEXT(INDEX(L23:AV23,MATCH(FALSE,ISBLANK(L23:AV23),0))),FIND("=",_xlfn.FORMULATEXT(INDEX(L23:AV23,MATCH(FALSE,ISBLANK(L23:AV23),0))))+1,FIND("!",_xlfn.FORMULATEXT(INDEX(L23:AV23,MATCH(FALSE,ISBLANK(L23:AV23),0))))-2))</f>
        <v>Transform</v>
      </c>
      <c r="E23" t="s">
        <v>393</v>
      </c>
      <c r="G23" t="s">
        <v>109</v>
      </c>
      <c r="I23" s="53">
        <f>Transform!I209</f>
        <v>0.5</v>
      </c>
      <c r="BA23" s="34"/>
    </row>
    <row r="24" spans="1:54" outlineLevel="1" x14ac:dyDescent="0.35">
      <c r="D24" s="1" t="str" cm="1">
        <f t="array" aca="1" ref="D24" ca="1">IFERROR(MID(_xlfn.FORMULATEXT(I24),FIND("=",_xlfn.FORMULATEXT(I24))+1,FIND("!",_xlfn.FORMULATEXT(I24))-2),MID(_xlfn.FORMULATEXT(INDEX(L24:AV24,MATCH(FALSE,ISBLANK(L24:AV24),0))),FIND("=",_xlfn.FORMULATEXT(INDEX(L24:AV24,MATCH(FALSE,ISBLANK(L24:AV24),0))))+1,FIND("!",_xlfn.FORMULATEXT(INDEX(L24:AV24,MATCH(FALSE,ISBLANK(L24:AV24),0))))-2))</f>
        <v>Transform</v>
      </c>
      <c r="E24" t="s">
        <v>106</v>
      </c>
      <c r="G24" t="str">
        <f>nominal</f>
        <v>£m nominal</v>
      </c>
      <c r="AU24" s="148">
        <f>Transform!AU202</f>
        <v>0</v>
      </c>
      <c r="BA24" s="34"/>
    </row>
    <row r="25" spans="1:54" outlineLevel="1" x14ac:dyDescent="0.35">
      <c r="A25" s="1"/>
      <c r="D25" s="1" t="str" cm="1">
        <f t="array" aca="1" ref="D25" ca="1">IFERROR(MID(_xlfn.FORMULATEXT(I25),FIND("=",_xlfn.FORMULATEXT(I25))+1,FIND("!",_xlfn.FORMULATEXT(I25))-2),MID(_xlfn.FORMULATEXT(INDEX(L25:AV25,MATCH(FALSE,ISBLANK(L25:AV25),0))),FIND("=",_xlfn.FORMULATEXT(INDEX(L25:AV25,MATCH(FALSE,ISBLANK(L25:AV25),0))))+1,FIND("!",_xlfn.FORMULATEXT(INDEX(L25:AV25,MATCH(FALSE,ISBLANK(L25:AV25),0))))-2))</f>
        <v>Transform</v>
      </c>
      <c r="E25" t="s">
        <v>92</v>
      </c>
      <c r="G25" t="str">
        <f>nominal</f>
        <v>£m nominal</v>
      </c>
      <c r="AU25" s="148">
        <f>Transform!AU200</f>
        <v>0</v>
      </c>
      <c r="AV25" s="50">
        <f>Transform!AV200</f>
        <v>0</v>
      </c>
      <c r="AW25" s="50">
        <f>Transform!AW200</f>
        <v>0</v>
      </c>
      <c r="AX25" s="50">
        <f>Transform!AX200</f>
        <v>0</v>
      </c>
      <c r="AY25" s="50">
        <f>Transform!AY200</f>
        <v>0</v>
      </c>
    </row>
    <row r="26" spans="1:54" x14ac:dyDescent="0.35">
      <c r="BA26" s="34"/>
    </row>
    <row r="27" spans="1:54" ht="20" thickBot="1" x14ac:dyDescent="0.5">
      <c r="A27" s="13" t="s">
        <v>485</v>
      </c>
      <c r="BA27" s="34"/>
    </row>
    <row r="28" spans="1:54" ht="16.5" thickTop="1" x14ac:dyDescent="0.35">
      <c r="A28" s="1"/>
      <c r="E28" t="s">
        <v>354</v>
      </c>
      <c r="G28" t="s">
        <v>77</v>
      </c>
      <c r="AU28" s="156">
        <f>1/(1-AU7)</f>
        <v>1.3333333333333333</v>
      </c>
      <c r="AV28" s="47">
        <f>1/(1-AV7)</f>
        <v>1.3333333333333333</v>
      </c>
      <c r="AW28" s="47">
        <f>1/(1-AW7)</f>
        <v>1.3333333333333333</v>
      </c>
      <c r="AX28" s="47">
        <f>1/(1-AX7)</f>
        <v>1.3333333333333333</v>
      </c>
      <c r="AY28" s="47">
        <f>1/(1-AY7)</f>
        <v>1.3333333333333333</v>
      </c>
      <c r="BA28" s="34" t="str">
        <f ca="1">$A$1</f>
        <v>Tax</v>
      </c>
      <c r="BB28" s="1" t="str">
        <f>$A$27</f>
        <v>Input calculation</v>
      </c>
    </row>
    <row r="29" spans="1:54" x14ac:dyDescent="0.35">
      <c r="A29" s="3"/>
      <c r="BA29" s="34"/>
    </row>
    <row r="30" spans="1:54" ht="20" thickBot="1" x14ac:dyDescent="0.5">
      <c r="A30" s="13" t="s">
        <v>370</v>
      </c>
      <c r="BA30" s="34"/>
    </row>
    <row r="31" spans="1:54" ht="16.5" thickTop="1" x14ac:dyDescent="0.35">
      <c r="E31" t="s">
        <v>741</v>
      </c>
      <c r="G31" t="str">
        <f t="shared" ref="G31:G38" si="0">nominal</f>
        <v>£m nominal</v>
      </c>
      <c r="AU31" s="154">
        <f>AU8*PCf</f>
        <v>496.0416073394108</v>
      </c>
      <c r="AV31" s="27">
        <f ca="1">AV8*PCf</f>
        <v>525.86255119248449</v>
      </c>
      <c r="AW31" s="27">
        <f ca="1">AW8*PCf</f>
        <v>547.85870960334171</v>
      </c>
      <c r="AX31" s="27">
        <f ca="1">AX8*PCf</f>
        <v>557.7095498080422</v>
      </c>
      <c r="AY31" s="27">
        <f ca="1">AY8*PCf</f>
        <v>567.85331068668597</v>
      </c>
      <c r="BA31" s="34" t="str">
        <f ca="1">$A$1</f>
        <v>Tax</v>
      </c>
      <c r="BB31" s="1" t="str">
        <f t="shared" ref="BB31:BB37" si="1">$A$30</f>
        <v>Tax base</v>
      </c>
    </row>
    <row r="32" spans="1:54" x14ac:dyDescent="0.35">
      <c r="E32" t="s">
        <v>339</v>
      </c>
      <c r="G32" t="str">
        <f t="shared" si="0"/>
        <v>£m nominal</v>
      </c>
      <c r="AU32" s="154">
        <f t="shared" ref="AU32:AY33" si="2">-AU9*PCf</f>
        <v>0</v>
      </c>
      <c r="AV32" s="27">
        <f t="shared" si="2"/>
        <v>0</v>
      </c>
      <c r="AW32" s="27">
        <f t="shared" si="2"/>
        <v>0</v>
      </c>
      <c r="AX32" s="27">
        <f t="shared" si="2"/>
        <v>0</v>
      </c>
      <c r="AY32" s="27">
        <f t="shared" si="2"/>
        <v>0</v>
      </c>
      <c r="BA32" s="34" t="str">
        <f t="shared" ref="BA32:BA97" ca="1" si="3">$A$1</f>
        <v>Tax</v>
      </c>
      <c r="BB32" s="1" t="str">
        <f t="shared" si="1"/>
        <v>Tax base</v>
      </c>
    </row>
    <row r="33" spans="1:54" x14ac:dyDescent="0.35">
      <c r="E33" t="s">
        <v>340</v>
      </c>
      <c r="G33" t="str">
        <f t="shared" si="0"/>
        <v>£m nominal</v>
      </c>
      <c r="AU33" s="154">
        <f t="shared" si="2"/>
        <v>8.9658953033460076</v>
      </c>
      <c r="AV33" s="27">
        <f t="shared" si="2"/>
        <v>9.6058814282431193</v>
      </c>
      <c r="AW33" s="27">
        <f t="shared" si="2"/>
        <v>10.334430597834434</v>
      </c>
      <c r="AX33" s="27">
        <f t="shared" si="2"/>
        <v>11.097197856555715</v>
      </c>
      <c r="AY33" s="27">
        <f t="shared" si="2"/>
        <v>11.923641029626182</v>
      </c>
      <c r="BA33" s="34" t="str">
        <f t="shared" ca="1" si="3"/>
        <v>Tax</v>
      </c>
      <c r="BB33" s="1" t="str">
        <f t="shared" si="1"/>
        <v>Tax base</v>
      </c>
    </row>
    <row r="34" spans="1:54" x14ac:dyDescent="0.35">
      <c r="E34" t="s">
        <v>742</v>
      </c>
      <c r="G34" t="str">
        <f t="shared" si="0"/>
        <v>£m nominal</v>
      </c>
      <c r="AU34" s="154">
        <f t="shared" ref="AU34:AY35" si="4">AU11</f>
        <v>-68.107885702838985</v>
      </c>
      <c r="AV34" s="27">
        <f t="shared" ca="1" si="4"/>
        <v>-70.434630226546474</v>
      </c>
      <c r="AW34" s="27">
        <f t="shared" ca="1" si="4"/>
        <v>-72.729003832236955</v>
      </c>
      <c r="AX34" s="27">
        <f t="shared" ca="1" si="4"/>
        <v>-75.181726129506472</v>
      </c>
      <c r="AY34" s="27">
        <f t="shared" ca="1" si="4"/>
        <v>-77.423705436078492</v>
      </c>
      <c r="BA34" s="34" t="str">
        <f t="shared" ca="1" si="3"/>
        <v>Tax</v>
      </c>
      <c r="BB34" s="1" t="str">
        <f t="shared" si="1"/>
        <v>Tax base</v>
      </c>
    </row>
    <row r="35" spans="1:54" x14ac:dyDescent="0.35">
      <c r="E35" t="s">
        <v>743</v>
      </c>
      <c r="G35" t="str">
        <f t="shared" si="0"/>
        <v>£m nominal</v>
      </c>
      <c r="AU35" s="154">
        <f t="shared" si="4"/>
        <v>-10.048520950532188</v>
      </c>
      <c r="AV35" s="27">
        <f t="shared" ca="1" si="4"/>
        <v>-9.6075580799426117</v>
      </c>
      <c r="AW35" s="27">
        <f t="shared" ca="1" si="4"/>
        <v>-9.6858880505028075</v>
      </c>
      <c r="AX35" s="27">
        <f t="shared" ca="1" si="4"/>
        <v>-9.7145239118554496</v>
      </c>
      <c r="AY35" s="27">
        <f t="shared" ca="1" si="4"/>
        <v>-9.8738298981548507</v>
      </c>
      <c r="BA35" s="34" t="str">
        <f t="shared" ca="1" si="3"/>
        <v>Tax</v>
      </c>
      <c r="BB35" s="1" t="str">
        <f t="shared" si="1"/>
        <v>Tax base</v>
      </c>
    </row>
    <row r="36" spans="1:54" x14ac:dyDescent="0.35">
      <c r="E36" t="s">
        <v>381</v>
      </c>
      <c r="G36" t="str">
        <f t="shared" si="0"/>
        <v>£m nominal</v>
      </c>
      <c r="AU36" s="154">
        <f>-AU13*PCf</f>
        <v>-227.49339823045841</v>
      </c>
      <c r="AV36" s="27">
        <f>-AV13*PCf</f>
        <v>-237.55176203465385</v>
      </c>
      <c r="AW36" s="27">
        <f>-AW13*PCf</f>
        <v>-243.16335440914787</v>
      </c>
      <c r="AX36" s="27">
        <f>-AX13*PCf</f>
        <v>-253.9569535668135</v>
      </c>
      <c r="AY36" s="27">
        <f>-AY13*PCf</f>
        <v>-256.56224042139729</v>
      </c>
      <c r="BA36" s="34" t="str">
        <f t="shared" ca="1" si="3"/>
        <v>Tax</v>
      </c>
      <c r="BB36" s="1" t="str">
        <f t="shared" si="1"/>
        <v>Tax base</v>
      </c>
    </row>
    <row r="37" spans="1:54" x14ac:dyDescent="0.35">
      <c r="E37" t="s">
        <v>744</v>
      </c>
      <c r="G37" t="str">
        <f t="shared" si="0"/>
        <v>£m nominal</v>
      </c>
      <c r="AU37" s="154">
        <f ca="1">-AU14</f>
        <v>-88.604861709245128</v>
      </c>
      <c r="AV37" s="27">
        <f ca="1">-AV14</f>
        <v>-96.016273677042179</v>
      </c>
      <c r="AW37" s="27">
        <f ca="1">-AW14</f>
        <v>-97.995277119792732</v>
      </c>
      <c r="AX37" s="27">
        <f ca="1">-AX14</f>
        <v>-90.498507409182722</v>
      </c>
      <c r="AY37" s="27">
        <f ca="1">-AY14</f>
        <v>-88.155348946574307</v>
      </c>
      <c r="BA37" s="34" t="str">
        <f t="shared" ca="1" si="3"/>
        <v>Tax</v>
      </c>
      <c r="BB37" s="1" t="str">
        <f t="shared" si="1"/>
        <v>Tax base</v>
      </c>
    </row>
    <row r="38" spans="1:54" x14ac:dyDescent="0.35">
      <c r="E38" t="s">
        <v>355</v>
      </c>
      <c r="G38" t="str">
        <f t="shared" si="0"/>
        <v>£m nominal</v>
      </c>
      <c r="AU38" s="155">
        <f t="shared" ref="AU38:AY38" ca="1" si="5">SUM(AU31:AU37)</f>
        <v>110.75283604968213</v>
      </c>
      <c r="AV38" s="52">
        <f t="shared" ca="1" si="5"/>
        <v>121.85820860254252</v>
      </c>
      <c r="AW38" s="52">
        <f t="shared" ca="1" si="5"/>
        <v>134.61961678949575</v>
      </c>
      <c r="AX38" s="52">
        <f t="shared" ca="1" si="5"/>
        <v>139.45503664723969</v>
      </c>
      <c r="AY38" s="52">
        <f t="shared" ca="1" si="5"/>
        <v>147.76182701410727</v>
      </c>
      <c r="BA38" s="34" t="str">
        <f t="shared" ca="1" si="3"/>
        <v>Tax</v>
      </c>
      <c r="BB38" s="1" t="str">
        <f>$A$30</f>
        <v>Tax base</v>
      </c>
    </row>
    <row r="39" spans="1:54" x14ac:dyDescent="0.35">
      <c r="B39" s="1"/>
      <c r="AU39" s="51"/>
      <c r="BA39" s="34"/>
    </row>
    <row r="40" spans="1:54" ht="20" thickBot="1" x14ac:dyDescent="0.5">
      <c r="A40" s="13" t="s">
        <v>356</v>
      </c>
      <c r="BA40" s="34"/>
    </row>
    <row r="41" spans="1:54" ht="16.5" thickTop="1" x14ac:dyDescent="0.35">
      <c r="A41" s="5"/>
      <c r="E41" t="s">
        <v>446</v>
      </c>
      <c r="G41" t="s">
        <v>283</v>
      </c>
      <c r="AU41" s="152" t="b">
        <f>ABS(AU15)&gt;AU16</f>
        <v>0</v>
      </c>
      <c r="AV41" s="12" t="b">
        <f>ABS(AV15)&gt;AV16</f>
        <v>0</v>
      </c>
      <c r="AW41" s="12" t="b">
        <f>ABS(AW15)&gt;AW16</f>
        <v>0</v>
      </c>
      <c r="AX41" s="12" t="b">
        <f>ABS(AX15)&gt;AX16</f>
        <v>0</v>
      </c>
      <c r="AY41" s="12" t="b">
        <f>ABS(AY15)&gt;AY16</f>
        <v>0</v>
      </c>
      <c r="AZ41" s="1"/>
      <c r="BA41" s="34" t="str">
        <f t="shared" ca="1" si="3"/>
        <v>Tax</v>
      </c>
      <c r="BB41" s="1" t="str">
        <f>$A$40</f>
        <v>Tax trigger calculations</v>
      </c>
    </row>
    <row r="42" spans="1:54" x14ac:dyDescent="0.35">
      <c r="E42" t="s">
        <v>357</v>
      </c>
      <c r="G42" t="str">
        <f>price_label</f>
        <v>£m 23/24 prices</v>
      </c>
      <c r="AU42" s="152">
        <f>-SIGN(AU15)*AU16</f>
        <v>0</v>
      </c>
      <c r="AV42" s="12">
        <f>-SIGN(AV15)*AV16</f>
        <v>0</v>
      </c>
      <c r="AW42" s="12">
        <f>-SIGN(AW15)*AW16</f>
        <v>0</v>
      </c>
      <c r="AX42" s="12">
        <f>-SIGN(AX15)*AX16</f>
        <v>0</v>
      </c>
      <c r="AY42" s="12">
        <f>-SIGN(AY15)*AY16</f>
        <v>0</v>
      </c>
      <c r="AZ42" s="1"/>
      <c r="BA42" s="34" t="str">
        <f t="shared" ca="1" si="3"/>
        <v>Tax</v>
      </c>
      <c r="BB42" s="1" t="str">
        <f>$A$40</f>
        <v>Tax trigger calculations</v>
      </c>
    </row>
    <row r="43" spans="1:54" x14ac:dyDescent="0.35">
      <c r="E43" t="s">
        <v>358</v>
      </c>
      <c r="G43" t="str">
        <f>price_label</f>
        <v>£m 23/24 prices</v>
      </c>
      <c r="AU43" s="152">
        <f>SUM(AU15,AU42)*AU41</f>
        <v>0</v>
      </c>
      <c r="AV43" s="12">
        <f>SUM(AV15,AV42)*AV41</f>
        <v>0</v>
      </c>
      <c r="AW43" s="12">
        <f>SUM(AW15,AW42)*AW41</f>
        <v>0</v>
      </c>
      <c r="AX43" s="12">
        <f>SUM(AX15,AX42)*AX41</f>
        <v>0</v>
      </c>
      <c r="AY43" s="12">
        <f>SUM(AY15,AY42)*AY41</f>
        <v>0</v>
      </c>
      <c r="AZ43" s="1"/>
      <c r="BA43" s="34" t="str">
        <f t="shared" ca="1" si="3"/>
        <v>Tax</v>
      </c>
      <c r="BB43" s="1" t="str">
        <f>$A$40</f>
        <v>Tax trigger calculations</v>
      </c>
    </row>
    <row r="44" spans="1:54" x14ac:dyDescent="0.35">
      <c r="BA44" s="34"/>
    </row>
    <row r="45" spans="1:54" x14ac:dyDescent="0.35">
      <c r="E45" t="s">
        <v>359</v>
      </c>
      <c r="G45" t="str">
        <f t="shared" ref="G45:G46" si="6">nominal</f>
        <v>£m nominal</v>
      </c>
      <c r="AU45" s="152">
        <f>AU43*PCf*((1-AU$7)/AU$7)</f>
        <v>0</v>
      </c>
      <c r="AV45" s="12">
        <f>AV43*PCf*((1-AV7)/AV7)</f>
        <v>0</v>
      </c>
      <c r="AW45" s="12">
        <f>AW43*PCf*((1-AW7)/AW7)</f>
        <v>0</v>
      </c>
      <c r="AX45" s="12">
        <f>AX43*PCf*((1-AX7)/AX7)</f>
        <v>0</v>
      </c>
      <c r="AY45" s="12">
        <f>AY43*PCf*((1-AY7)/AY7)</f>
        <v>0</v>
      </c>
      <c r="BA45" s="34" t="str">
        <f t="shared" ca="1" si="3"/>
        <v>Tax</v>
      </c>
      <c r="BB45" s="1" t="str">
        <f t="shared" ref="BB45:BB49" si="7">$A$40</f>
        <v>Tax trigger calculations</v>
      </c>
    </row>
    <row r="46" spans="1:54" x14ac:dyDescent="0.35">
      <c r="E46" t="s">
        <v>611</v>
      </c>
      <c r="G46" t="str">
        <f t="shared" si="6"/>
        <v>£m nominal</v>
      </c>
      <c r="AU46" s="152">
        <f>AU15*PCf*((1-AU$7)/AU$7)</f>
        <v>0</v>
      </c>
      <c r="AV46" s="12">
        <f>AV15*PCf*((1-AV$7)/AV$7)</f>
        <v>0</v>
      </c>
      <c r="AW46" s="12">
        <f>AW15*PCf*((1-AW$7)/AW$7)</f>
        <v>0</v>
      </c>
      <c r="AX46" s="12">
        <f>AX15*PCf*((1-AX$7)/AX$7)</f>
        <v>0</v>
      </c>
      <c r="AY46" s="12">
        <f>AY15*PCf*((1-AY$7)/AY$7)</f>
        <v>0</v>
      </c>
      <c r="BA46" s="34" t="str">
        <f t="shared" ca="1" si="3"/>
        <v>Tax</v>
      </c>
      <c r="BB46" s="1" t="str">
        <f t="shared" si="7"/>
        <v>Tax trigger calculations</v>
      </c>
    </row>
    <row r="47" spans="1:54" x14ac:dyDescent="0.35">
      <c r="BA47" s="34"/>
    </row>
    <row r="48" spans="1:54" x14ac:dyDescent="0.35">
      <c r="E48" t="s">
        <v>612</v>
      </c>
      <c r="G48" t="str">
        <f t="shared" ref="G48:G49" si="8">nominal</f>
        <v>£m nominal</v>
      </c>
      <c r="AU48" s="152">
        <f t="shared" ref="AU48:AY49" ca="1" si="9">SUM(AU$38,AU45)</f>
        <v>110.75283604968213</v>
      </c>
      <c r="AV48" s="12">
        <f t="shared" ca="1" si="9"/>
        <v>121.85820860254252</v>
      </c>
      <c r="AW48" s="12">
        <f t="shared" ca="1" si="9"/>
        <v>134.61961678949575</v>
      </c>
      <c r="AX48" s="12">
        <f t="shared" ca="1" si="9"/>
        <v>139.45503664723969</v>
      </c>
      <c r="AY48" s="12">
        <f t="shared" ca="1" si="9"/>
        <v>147.76182701410727</v>
      </c>
      <c r="BA48" s="34" t="str">
        <f t="shared" ca="1" si="3"/>
        <v>Tax</v>
      </c>
      <c r="BB48" s="1" t="str">
        <f t="shared" si="7"/>
        <v>Tax trigger calculations</v>
      </c>
    </row>
    <row r="49" spans="1:55" x14ac:dyDescent="0.35">
      <c r="E49" t="s">
        <v>613</v>
      </c>
      <c r="G49" t="str">
        <f t="shared" si="8"/>
        <v>£m nominal</v>
      </c>
      <c r="AU49" s="152">
        <f t="shared" ca="1" si="9"/>
        <v>110.75283604968213</v>
      </c>
      <c r="AV49" s="12">
        <f t="shared" ca="1" si="9"/>
        <v>121.85820860254252</v>
      </c>
      <c r="AW49" s="12">
        <f t="shared" ca="1" si="9"/>
        <v>134.61961678949575</v>
      </c>
      <c r="AX49" s="12">
        <f t="shared" ca="1" si="9"/>
        <v>139.45503664723969</v>
      </c>
      <c r="AY49" s="12">
        <f t="shared" ca="1" si="9"/>
        <v>147.76182701410727</v>
      </c>
      <c r="BA49" s="34" t="str">
        <f t="shared" ca="1" si="3"/>
        <v>Tax</v>
      </c>
      <c r="BB49" s="1" t="str">
        <f t="shared" si="7"/>
        <v>Tax trigger calculations</v>
      </c>
    </row>
    <row r="50" spans="1:55" x14ac:dyDescent="0.35">
      <c r="BA50" s="34"/>
    </row>
    <row r="51" spans="1:55" ht="20" thickBot="1" x14ac:dyDescent="0.5">
      <c r="A51" s="13" t="s">
        <v>360</v>
      </c>
      <c r="BA51" s="34"/>
    </row>
    <row r="52" spans="1:55" ht="16.5" thickTop="1" x14ac:dyDescent="0.35">
      <c r="E52" t="s">
        <v>458</v>
      </c>
      <c r="G52" t="str">
        <f>nominal</f>
        <v>£m nominal</v>
      </c>
      <c r="H52" s="98"/>
      <c r="AU52" s="152">
        <f>AU18*AU17</f>
        <v>2570.456102124364</v>
      </c>
      <c r="AV52" s="12">
        <f>AV18*AV17</f>
        <v>2615.0638814395934</v>
      </c>
      <c r="AW52" s="12">
        <f>AW18*AW17</f>
        <v>2649.2637407261805</v>
      </c>
      <c r="AX52" s="12">
        <f>AX18*AX17</f>
        <v>2670.6322278627308</v>
      </c>
      <c r="AY52" s="12">
        <f>AY18*AY17</f>
        <v>2675.1704223351699</v>
      </c>
      <c r="BA52" s="34" t="str">
        <f t="shared" ca="1" si="3"/>
        <v>Tax</v>
      </c>
      <c r="BB52" s="1" t="str">
        <f>$A$51</f>
        <v>Tax clawback calculations</v>
      </c>
    </row>
    <row r="53" spans="1:55" x14ac:dyDescent="0.35">
      <c r="E53" t="s">
        <v>361</v>
      </c>
      <c r="G53" t="s">
        <v>109</v>
      </c>
      <c r="H53" s="99"/>
      <c r="AU53" s="153">
        <f>AU19/AU52</f>
        <v>0</v>
      </c>
      <c r="AV53" s="46">
        <f>AV19/AV52</f>
        <v>0</v>
      </c>
      <c r="AW53" s="46">
        <f>AW19/AW52</f>
        <v>0</v>
      </c>
      <c r="AX53" s="46">
        <f>AX19/AX52</f>
        <v>0</v>
      </c>
      <c r="AY53" s="46">
        <f>AY19/AY52</f>
        <v>0</v>
      </c>
      <c r="BA53" s="34" t="str">
        <f t="shared" ca="1" si="3"/>
        <v>Tax</v>
      </c>
      <c r="BB53" s="1" t="str">
        <f>$A$51</f>
        <v>Tax clawback calculations</v>
      </c>
    </row>
    <row r="54" spans="1:55" x14ac:dyDescent="0.35">
      <c r="E54" t="s">
        <v>362</v>
      </c>
      <c r="G54" t="s">
        <v>283</v>
      </c>
      <c r="AU54" s="152" t="b">
        <f>AU53&gt;AU20</f>
        <v>0</v>
      </c>
      <c r="AV54" s="12" t="b">
        <f>AV53&gt;AV20</f>
        <v>0</v>
      </c>
      <c r="AW54" s="12" t="b">
        <f>AW53&gt;AW20</f>
        <v>0</v>
      </c>
      <c r="AX54" s="12" t="b">
        <f>AX53&gt;AX20</f>
        <v>0</v>
      </c>
      <c r="AY54" s="12" t="b">
        <f>AY53&gt;AY20</f>
        <v>0</v>
      </c>
      <c r="BA54" s="34" t="str">
        <f t="shared" ca="1" si="3"/>
        <v>Tax</v>
      </c>
      <c r="BB54" s="1" t="str">
        <f>$A$51</f>
        <v>Tax clawback calculations</v>
      </c>
    </row>
    <row r="55" spans="1:55" x14ac:dyDescent="0.35">
      <c r="BA55" s="34"/>
    </row>
    <row r="56" spans="1:55" x14ac:dyDescent="0.35">
      <c r="E56" t="s">
        <v>447</v>
      </c>
      <c r="G56" t="s">
        <v>283</v>
      </c>
      <c r="AU56" s="152" t="b">
        <f>AU21&gt;-SUM(AU11:AU12)</f>
        <v>0</v>
      </c>
      <c r="AV56" s="12" t="b">
        <f t="shared" ref="AV56:AY56" ca="1" si="10">AV21&gt;-SUM(AV11:AV12)</f>
        <v>0</v>
      </c>
      <c r="AW56" s="12" t="b">
        <f t="shared" ca="1" si="10"/>
        <v>0</v>
      </c>
      <c r="AX56" s="12" t="b">
        <f t="shared" ca="1" si="10"/>
        <v>0</v>
      </c>
      <c r="AY56" s="12" t="b">
        <f t="shared" ca="1" si="10"/>
        <v>0</v>
      </c>
      <c r="BA56" s="34" t="str">
        <f t="shared" ca="1" si="3"/>
        <v>Tax</v>
      </c>
      <c r="BB56" s="1" t="str">
        <f>$A$51</f>
        <v>Tax clawback calculations</v>
      </c>
    </row>
    <row r="57" spans="1:55" x14ac:dyDescent="0.35">
      <c r="BA57" s="34"/>
    </row>
    <row r="58" spans="1:55" x14ac:dyDescent="0.35">
      <c r="A58" s="1"/>
      <c r="E58" t="s">
        <v>363</v>
      </c>
      <c r="G58" t="s">
        <v>283</v>
      </c>
      <c r="AU58" s="152" t="b">
        <f>AND(AU54,AU56)</f>
        <v>0</v>
      </c>
      <c r="AV58" s="12" t="b">
        <f t="shared" ref="AV58:AY58" ca="1" si="11">AND(AV54,AV56)</f>
        <v>0</v>
      </c>
      <c r="AW58" s="12" t="b">
        <f t="shared" ca="1" si="11"/>
        <v>0</v>
      </c>
      <c r="AX58" s="12" t="b">
        <f t="shared" ca="1" si="11"/>
        <v>0</v>
      </c>
      <c r="AY58" s="12" t="b">
        <f t="shared" ca="1" si="11"/>
        <v>0</v>
      </c>
      <c r="BA58" s="34" t="str">
        <f t="shared" ca="1" si="3"/>
        <v>Tax</v>
      </c>
      <c r="BB58" s="1" t="str">
        <f>$A$51</f>
        <v>Tax clawback calculations</v>
      </c>
    </row>
    <row r="59" spans="1:55" x14ac:dyDescent="0.35">
      <c r="E59" t="s">
        <v>448</v>
      </c>
      <c r="G59" t="str">
        <f t="shared" ref="G59" si="12">nominal</f>
        <v>£m nominal</v>
      </c>
      <c r="AU59" s="152">
        <f>(AU21+SUM(AU11:AU12))*AU58</f>
        <v>0</v>
      </c>
      <c r="AV59" s="12">
        <f t="shared" ref="AV59:AY59" ca="1" si="13">(AV21+SUM(AV11:AV12))*AV58</f>
        <v>0</v>
      </c>
      <c r="AW59" s="12">
        <f t="shared" ca="1" si="13"/>
        <v>0</v>
      </c>
      <c r="AX59" s="12">
        <f t="shared" ca="1" si="13"/>
        <v>0</v>
      </c>
      <c r="AY59" s="12">
        <f t="shared" ca="1" si="13"/>
        <v>0</v>
      </c>
      <c r="BA59" s="34" t="str">
        <f t="shared" ca="1" si="3"/>
        <v>Tax</v>
      </c>
      <c r="BB59" s="1" t="str">
        <f>$A$51</f>
        <v>Tax clawback calculations</v>
      </c>
    </row>
    <row r="60" spans="1:55" x14ac:dyDescent="0.35">
      <c r="BA60" s="34"/>
    </row>
    <row r="61" spans="1:55" ht="17.5" thickBot="1" x14ac:dyDescent="0.45">
      <c r="B61" s="15" t="s">
        <v>619</v>
      </c>
      <c r="BA61" s="34"/>
    </row>
    <row r="62" spans="1:55" ht="16.5" thickTop="1" x14ac:dyDescent="0.35">
      <c r="E62" t="s">
        <v>614</v>
      </c>
      <c r="G62" t="str">
        <f>nominal</f>
        <v>£m nominal</v>
      </c>
      <c r="AU62" s="154">
        <f>AT65</f>
        <v>0</v>
      </c>
      <c r="AV62" s="27">
        <f t="shared" ref="AV62:AY62" ca="1" si="14">AU65</f>
        <v>0</v>
      </c>
      <c r="AW62" s="27">
        <f t="shared" ca="1" si="14"/>
        <v>0</v>
      </c>
      <c r="AX62" s="27">
        <f t="shared" ca="1" si="14"/>
        <v>0</v>
      </c>
      <c r="AY62" s="27">
        <f t="shared" ca="1" si="14"/>
        <v>0</v>
      </c>
      <c r="BA62" s="34" t="str">
        <f t="shared" ca="1" si="3"/>
        <v>Tax</v>
      </c>
      <c r="BB62" s="1" t="str">
        <f>$A$51</f>
        <v>Tax clawback calculations</v>
      </c>
      <c r="BC62" s="1" t="str">
        <f>$B$61</f>
        <v>Tax clawback pool (not restricted)</v>
      </c>
    </row>
    <row r="63" spans="1:55" x14ac:dyDescent="0.35">
      <c r="E63" t="s">
        <v>615</v>
      </c>
      <c r="G63" t="str">
        <f>nominal</f>
        <v>£m nominal</v>
      </c>
      <c r="AU63" s="154">
        <f>AU59</f>
        <v>0</v>
      </c>
      <c r="AV63" s="27">
        <f t="shared" ref="AV63:AY63" ca="1" si="15">AV59</f>
        <v>0</v>
      </c>
      <c r="AW63" s="27">
        <f t="shared" ca="1" si="15"/>
        <v>0</v>
      </c>
      <c r="AX63" s="27">
        <f t="shared" ca="1" si="15"/>
        <v>0</v>
      </c>
      <c r="AY63" s="27">
        <f t="shared" ca="1" si="15"/>
        <v>0</v>
      </c>
      <c r="BA63" s="34" t="str">
        <f t="shared" ca="1" si="3"/>
        <v>Tax</v>
      </c>
      <c r="BB63" s="1" t="str">
        <f t="shared" ref="BB63:BB65" si="16">$A$51</f>
        <v>Tax clawback calculations</v>
      </c>
      <c r="BC63" s="1" t="str">
        <f t="shared" ref="BC63:BC65" si="17">$B$61</f>
        <v>Tax clawback pool (not restricted)</v>
      </c>
    </row>
    <row r="64" spans="1:55" x14ac:dyDescent="0.35">
      <c r="E64" t="s">
        <v>616</v>
      </c>
      <c r="G64" t="str">
        <f>nominal</f>
        <v>£m nominal</v>
      </c>
      <c r="AU64" s="152">
        <f ca="1">IF(AU48&gt;0,-MIN(AU62+AU63,AU48),0)</f>
        <v>0</v>
      </c>
      <c r="AV64" s="12">
        <f t="shared" ref="AV64:AY64" ca="1" si="18">IF(AV48&gt;0,-MIN(AV62+AV63,AV48),0)</f>
        <v>0</v>
      </c>
      <c r="AW64" s="12">
        <f t="shared" ca="1" si="18"/>
        <v>0</v>
      </c>
      <c r="AX64" s="12">
        <f t="shared" ca="1" si="18"/>
        <v>0</v>
      </c>
      <c r="AY64" s="12">
        <f t="shared" ca="1" si="18"/>
        <v>0</v>
      </c>
      <c r="BA64" s="34" t="str">
        <f t="shared" ca="1" si="3"/>
        <v>Tax</v>
      </c>
      <c r="BB64" s="1" t="str">
        <f t="shared" si="16"/>
        <v>Tax clawback calculations</v>
      </c>
      <c r="BC64" s="1" t="str">
        <f t="shared" si="17"/>
        <v>Tax clawback pool (not restricted)</v>
      </c>
    </row>
    <row r="65" spans="1:55" x14ac:dyDescent="0.35">
      <c r="E65" t="s">
        <v>617</v>
      </c>
      <c r="G65" t="str">
        <f>nominal</f>
        <v>£m nominal</v>
      </c>
      <c r="AU65" s="152">
        <f ca="1">SUM(AU62:AU64)</f>
        <v>0</v>
      </c>
      <c r="AV65" s="12">
        <f t="shared" ref="AV65:AY65" ca="1" si="19">SUM(AV62:AV64)</f>
        <v>0</v>
      </c>
      <c r="AW65" s="12">
        <f t="shared" ca="1" si="19"/>
        <v>0</v>
      </c>
      <c r="AX65" s="12">
        <f t="shared" ca="1" si="19"/>
        <v>0</v>
      </c>
      <c r="AY65" s="12">
        <f t="shared" ca="1" si="19"/>
        <v>0</v>
      </c>
      <c r="BA65" s="34" t="str">
        <f t="shared" ca="1" si="3"/>
        <v>Tax</v>
      </c>
      <c r="BB65" s="1" t="str">
        <f t="shared" si="16"/>
        <v>Tax clawback calculations</v>
      </c>
      <c r="BC65" s="1" t="str">
        <f t="shared" si="17"/>
        <v>Tax clawback pool (not restricted)</v>
      </c>
    </row>
    <row r="66" spans="1:55" x14ac:dyDescent="0.35">
      <c r="BA66" s="34"/>
    </row>
    <row r="67" spans="1:55" x14ac:dyDescent="0.35">
      <c r="E67" t="s">
        <v>618</v>
      </c>
      <c r="G67" t="str">
        <f>nominal</f>
        <v>£m nominal</v>
      </c>
      <c r="AU67" s="152">
        <f ca="1">SUM(AU48,AU64)</f>
        <v>110.75283604968213</v>
      </c>
      <c r="AV67" s="12">
        <f t="shared" ref="AV67:AY67" ca="1" si="20">SUM(AV48,AV64)</f>
        <v>121.85820860254252</v>
      </c>
      <c r="AW67" s="12">
        <f t="shared" ca="1" si="20"/>
        <v>134.61961678949575</v>
      </c>
      <c r="AX67" s="12">
        <f t="shared" ca="1" si="20"/>
        <v>139.45503664723969</v>
      </c>
      <c r="AY67" s="12">
        <f t="shared" ca="1" si="20"/>
        <v>147.76182701410727</v>
      </c>
      <c r="BA67" s="34" t="str">
        <f t="shared" ca="1" si="3"/>
        <v>Tax</v>
      </c>
      <c r="BB67" s="1" t="str">
        <f>$A$51</f>
        <v>Tax clawback calculations</v>
      </c>
      <c r="BC67" s="1" t="str">
        <f>$B$61</f>
        <v>Tax clawback pool (not restricted)</v>
      </c>
    </row>
    <row r="68" spans="1:55" x14ac:dyDescent="0.35">
      <c r="BA68" s="34"/>
    </row>
    <row r="69" spans="1:55" ht="20" thickBot="1" x14ac:dyDescent="0.5">
      <c r="A69" s="13" t="s">
        <v>262</v>
      </c>
      <c r="BA69" s="34"/>
    </row>
    <row r="70" spans="1:55" ht="18" thickTop="1" thickBot="1" x14ac:dyDescent="0.45">
      <c r="B70" s="15" t="s">
        <v>397</v>
      </c>
      <c r="BA70" s="34"/>
    </row>
    <row r="71" spans="1:55" ht="16.5" thickTop="1" x14ac:dyDescent="0.35">
      <c r="E71" t="s">
        <v>620</v>
      </c>
      <c r="G71" t="s">
        <v>236</v>
      </c>
      <c r="AU71" s="152" t="b">
        <f ca="1">AU48&gt;$I$22</f>
        <v>1</v>
      </c>
      <c r="AV71" s="12" t="b">
        <f ca="1">AV48&gt;$I$22</f>
        <v>1</v>
      </c>
      <c r="AW71" s="12" t="b">
        <f ca="1">AW48&gt;$I$22</f>
        <v>1</v>
      </c>
      <c r="AX71" s="12" t="b">
        <f ca="1">AX48&gt;$I$22</f>
        <v>1</v>
      </c>
      <c r="AY71" s="12" t="b">
        <f ca="1">AY48&gt;$I$22</f>
        <v>1</v>
      </c>
      <c r="BA71" s="34" t="str">
        <f t="shared" ca="1" si="3"/>
        <v>Tax</v>
      </c>
      <c r="BB71" s="1" t="str">
        <f>$A$69</f>
        <v>Tax allowance</v>
      </c>
      <c r="BC71" s="1" t="str">
        <f>$B$70</f>
        <v>Restriction on relief for carried forward losses</v>
      </c>
    </row>
    <row r="72" spans="1:55" x14ac:dyDescent="0.35">
      <c r="E72" t="s">
        <v>621</v>
      </c>
      <c r="G72" t="str">
        <f t="shared" ref="G72:G73" si="21">nominal</f>
        <v>£m nominal</v>
      </c>
      <c r="AU72" s="152">
        <f ca="1">AU71*($I$22+(AU48-$I$22)*$I$23)</f>
        <v>57.876418024841065</v>
      </c>
      <c r="AV72" s="12">
        <f ca="1">AV71*($I$22+(AV48-$I$22)*$I$23)</f>
        <v>63.429104301271259</v>
      </c>
      <c r="AW72" s="12">
        <f ca="1">AW71*($I$22+(AW48-$I$22)*$I$23)</f>
        <v>69.809808394747876</v>
      </c>
      <c r="AX72" s="12">
        <f ca="1">AX71*($I$22+(AX48-$I$22)*$I$23)</f>
        <v>72.227518323619847</v>
      </c>
      <c r="AY72" s="12">
        <f ca="1">AY71*($I$22+(AY48-$I$22)*$I$23)</f>
        <v>76.380913507053634</v>
      </c>
      <c r="BA72" s="34" t="str">
        <f t="shared" ca="1" si="3"/>
        <v>Tax</v>
      </c>
      <c r="BB72" s="1" t="str">
        <f>$A$69</f>
        <v>Tax allowance</v>
      </c>
      <c r="BC72" s="1" t="str">
        <f>$B$70</f>
        <v>Restriction on relief for carried forward losses</v>
      </c>
    </row>
    <row r="73" spans="1:55" x14ac:dyDescent="0.35">
      <c r="E73" t="s">
        <v>622</v>
      </c>
      <c r="G73" t="str">
        <f t="shared" si="21"/>
        <v>£m nominal</v>
      </c>
      <c r="AU73" s="152">
        <f ca="1">(1-AU71)*AU48</f>
        <v>0</v>
      </c>
      <c r="AV73" s="12">
        <f t="shared" ref="AV73:AY73" ca="1" si="22">(1-AV71)*AV48</f>
        <v>0</v>
      </c>
      <c r="AW73" s="12">
        <f t="shared" ca="1" si="22"/>
        <v>0</v>
      </c>
      <c r="AX73" s="12">
        <f t="shared" ca="1" si="22"/>
        <v>0</v>
      </c>
      <c r="AY73" s="12">
        <f t="shared" ca="1" si="22"/>
        <v>0</v>
      </c>
      <c r="BA73" s="34" t="str">
        <f t="shared" ca="1" si="3"/>
        <v>Tax</v>
      </c>
      <c r="BB73" s="1" t="str">
        <f>$A$69</f>
        <v>Tax allowance</v>
      </c>
      <c r="BC73" s="1" t="str">
        <f>$B$70</f>
        <v>Restriction on relief for carried forward losses</v>
      </c>
    </row>
    <row r="74" spans="1:55" x14ac:dyDescent="0.35">
      <c r="BA74" s="34"/>
    </row>
    <row r="75" spans="1:55" ht="17.5" thickBot="1" x14ac:dyDescent="0.45">
      <c r="B75" s="15" t="s">
        <v>364</v>
      </c>
      <c r="BA75" s="34"/>
    </row>
    <row r="76" spans="1:55" ht="16.5" thickTop="1" x14ac:dyDescent="0.35">
      <c r="E76" t="s">
        <v>365</v>
      </c>
      <c r="G76" t="str">
        <f t="shared" ref="G76:G79" si="23">nominal</f>
        <v>£m nominal</v>
      </c>
      <c r="AU76" s="152">
        <f>AU$24*StartingBalance+AT79</f>
        <v>0</v>
      </c>
      <c r="AV76" s="12">
        <f ca="1">AV$24*StartingBalance+AU79</f>
        <v>0</v>
      </c>
      <c r="AW76" s="12">
        <f ca="1">AW$24*StartingBalance+AV79</f>
        <v>0</v>
      </c>
      <c r="AX76" s="12">
        <f ca="1">AX$24*StartingBalance+AW79</f>
        <v>0</v>
      </c>
      <c r="AY76" s="12">
        <f ca="1">AY$24*StartingBalance+AX79</f>
        <v>0</v>
      </c>
      <c r="BA76" s="34" t="str">
        <f t="shared" ca="1" si="3"/>
        <v>Tax</v>
      </c>
      <c r="BB76" s="1" t="str">
        <f>$A$69</f>
        <v>Tax allowance</v>
      </c>
      <c r="BC76" s="1" t="str">
        <f>$B$75</f>
        <v>Regulatory tax losses</v>
      </c>
    </row>
    <row r="77" spans="1:55" x14ac:dyDescent="0.35">
      <c r="E77" t="s">
        <v>366</v>
      </c>
      <c r="G77" t="str">
        <f t="shared" si="23"/>
        <v>£m nominal</v>
      </c>
      <c r="AU77" s="152">
        <f ca="1">MIN(AU48,0)</f>
        <v>0</v>
      </c>
      <c r="AV77" s="12">
        <f t="shared" ref="AV77:AY77" ca="1" si="24">MIN(AV48,0)</f>
        <v>0</v>
      </c>
      <c r="AW77" s="12">
        <f t="shared" ca="1" si="24"/>
        <v>0</v>
      </c>
      <c r="AX77" s="12">
        <f t="shared" ca="1" si="24"/>
        <v>0</v>
      </c>
      <c r="AY77" s="12">
        <f t="shared" ca="1" si="24"/>
        <v>0</v>
      </c>
      <c r="BA77" s="34" t="str">
        <f t="shared" ca="1" si="3"/>
        <v>Tax</v>
      </c>
      <c r="BB77" s="1" t="str">
        <f>$A$69</f>
        <v>Tax allowance</v>
      </c>
      <c r="BC77" s="1" t="str">
        <f>$B$75</f>
        <v>Regulatory tax losses</v>
      </c>
    </row>
    <row r="78" spans="1:55" x14ac:dyDescent="0.35">
      <c r="E78" t="s">
        <v>367</v>
      </c>
      <c r="G78" t="str">
        <f t="shared" si="23"/>
        <v>£m nominal</v>
      </c>
      <c r="AU78" s="152">
        <f ca="1">((AU48&gt;=0)*(MIN(AU72+AU73,-AU76,AU67)))</f>
        <v>0</v>
      </c>
      <c r="AV78" s="12">
        <f ca="1">((AV48&gt;=0)*(MIN(AV72+AV73,-AV76,AV67)))</f>
        <v>0</v>
      </c>
      <c r="AW78" s="12">
        <f ca="1">((AW48&gt;=0)*(MIN(AW72+AW73,-AW76,AW67)))</f>
        <v>0</v>
      </c>
      <c r="AX78" s="12">
        <f ca="1">((AX48&gt;=0)*(MIN(AX72+AX73,-AX76,AX67)))</f>
        <v>0</v>
      </c>
      <c r="AY78" s="12">
        <f ca="1">((AY48&gt;=0)*(MIN(AY72+AY73,-AY76,AY67)))</f>
        <v>0</v>
      </c>
      <c r="BA78" s="34" t="str">
        <f t="shared" ca="1" si="3"/>
        <v>Tax</v>
      </c>
      <c r="BB78" s="1" t="str">
        <f>$A$69</f>
        <v>Tax allowance</v>
      </c>
      <c r="BC78" s="1" t="str">
        <f>$B$75</f>
        <v>Regulatory tax losses</v>
      </c>
    </row>
    <row r="79" spans="1:55" x14ac:dyDescent="0.35">
      <c r="E79" t="s">
        <v>292</v>
      </c>
      <c r="G79" t="str">
        <f t="shared" si="23"/>
        <v>£m nominal</v>
      </c>
      <c r="AU79" s="152">
        <f ca="1">SUM(AU76:AU78)</f>
        <v>0</v>
      </c>
      <c r="AV79" s="12">
        <f ca="1">SUM(AV76:AV78)</f>
        <v>0</v>
      </c>
      <c r="AW79" s="12">
        <f ca="1">SUM(AW76:AW78)</f>
        <v>0</v>
      </c>
      <c r="AX79" s="12">
        <f ca="1">SUM(AX76:AX78)</f>
        <v>0</v>
      </c>
      <c r="AY79" s="12">
        <f ca="1">SUM(AY76:AY78)</f>
        <v>0</v>
      </c>
      <c r="BA79" s="34" t="str">
        <f t="shared" ca="1" si="3"/>
        <v>Tax</v>
      </c>
      <c r="BB79" s="1" t="str">
        <f>$A$69</f>
        <v>Tax allowance</v>
      </c>
      <c r="BC79" s="1" t="str">
        <f>$B$75</f>
        <v>Regulatory tax losses</v>
      </c>
    </row>
    <row r="80" spans="1:55" x14ac:dyDescent="0.35">
      <c r="BA80" s="34"/>
    </row>
    <row r="81" spans="1:55" ht="17.5" thickBot="1" x14ac:dyDescent="0.45">
      <c r="B81" s="15" t="s">
        <v>262</v>
      </c>
      <c r="BA81" s="34"/>
    </row>
    <row r="82" spans="1:55" ht="16.5" thickTop="1" x14ac:dyDescent="0.35">
      <c r="E82" t="s">
        <v>368</v>
      </c>
      <c r="G82" t="str">
        <f t="shared" ref="G82:G84" si="25">nominal</f>
        <v>£m nominal</v>
      </c>
      <c r="AU82" s="152">
        <f ca="1">MAX(AU67-AU78,0)</f>
        <v>110.75283604968213</v>
      </c>
      <c r="AV82" s="12">
        <f ca="1">MAX(AV67-AV78,0)</f>
        <v>121.85820860254252</v>
      </c>
      <c r="AW82" s="12">
        <f ca="1">MAX(AW67-AW78,0)</f>
        <v>134.61961678949575</v>
      </c>
      <c r="AX82" s="12">
        <f ca="1">MAX(AX67-AX78,0)</f>
        <v>139.45503664723969</v>
      </c>
      <c r="AY82" s="12">
        <f ca="1">MAX(AY67-AY78,0)</f>
        <v>147.76182701410727</v>
      </c>
      <c r="BA82" s="34" t="str">
        <f t="shared" ca="1" si="3"/>
        <v>Tax</v>
      </c>
      <c r="BB82" s="1" t="str">
        <f t="shared" ref="BB82:BB84" si="26">$A$69</f>
        <v>Tax allowance</v>
      </c>
      <c r="BC82" s="1" t="str">
        <f>$B$81</f>
        <v>Tax allowance</v>
      </c>
    </row>
    <row r="83" spans="1:55" x14ac:dyDescent="0.35">
      <c r="E83" t="s">
        <v>335</v>
      </c>
      <c r="G83" t="str">
        <f t="shared" si="25"/>
        <v>£m nominal</v>
      </c>
      <c r="AU83" s="152">
        <f ca="1">AU82*AU7</f>
        <v>27.688209012420533</v>
      </c>
      <c r="AV83" s="12">
        <f ca="1">AV82*AV7</f>
        <v>30.46455215063563</v>
      </c>
      <c r="AW83" s="12">
        <f ca="1">AW82*AW7</f>
        <v>33.654904197373938</v>
      </c>
      <c r="AX83" s="12">
        <f ca="1">AX82*AX7</f>
        <v>34.863759161809924</v>
      </c>
      <c r="AY83" s="12">
        <f ca="1">AY82*AY7</f>
        <v>36.940456753526817</v>
      </c>
      <c r="BA83" s="34" t="str">
        <f t="shared" ca="1" si="3"/>
        <v>Tax</v>
      </c>
      <c r="BB83" s="1" t="str">
        <f t="shared" si="26"/>
        <v>Tax allowance</v>
      </c>
      <c r="BC83" s="1" t="str">
        <f t="shared" ref="BC83:BC84" si="27">$B$81</f>
        <v>Tax allowance</v>
      </c>
    </row>
    <row r="84" spans="1:55" x14ac:dyDescent="0.35">
      <c r="E84" t="s">
        <v>262</v>
      </c>
      <c r="G84" t="str">
        <f t="shared" si="25"/>
        <v>£m nominal</v>
      </c>
      <c r="AU84" s="152">
        <f ca="1">AU83*AU28</f>
        <v>36.91761201656071</v>
      </c>
      <c r="AV84" s="12">
        <f ca="1">AV83*AV28</f>
        <v>40.619402867514168</v>
      </c>
      <c r="AW84" s="12">
        <f ca="1">AW83*AW28</f>
        <v>44.873205596498579</v>
      </c>
      <c r="AX84" s="12">
        <f ca="1">AX83*AX28</f>
        <v>46.485012215746565</v>
      </c>
      <c r="AY84" s="12">
        <f ca="1">AY83*AY28</f>
        <v>49.253942338035756</v>
      </c>
      <c r="BA84" s="34" t="str">
        <f t="shared" ca="1" si="3"/>
        <v>Tax</v>
      </c>
      <c r="BB84" s="1" t="str">
        <f t="shared" si="26"/>
        <v>Tax allowance</v>
      </c>
      <c r="BC84" s="1" t="str">
        <f t="shared" si="27"/>
        <v>Tax allowance</v>
      </c>
    </row>
    <row r="85" spans="1:55" x14ac:dyDescent="0.35">
      <c r="BA85" s="34"/>
    </row>
    <row r="86" spans="1:55" x14ac:dyDescent="0.35">
      <c r="E86" t="s">
        <v>92</v>
      </c>
      <c r="G86" t="str">
        <f t="shared" ref="G86:G87" si="28">nominal</f>
        <v>£m nominal</v>
      </c>
      <c r="AU86" s="154">
        <f>AU25</f>
        <v>0</v>
      </c>
      <c r="AV86" s="27">
        <f>AV25</f>
        <v>0</v>
      </c>
      <c r="AW86" s="27">
        <f>AW25</f>
        <v>0</v>
      </c>
      <c r="AX86" s="27">
        <f>AX25</f>
        <v>0</v>
      </c>
      <c r="AY86" s="27">
        <f>AY25</f>
        <v>0</v>
      </c>
      <c r="BA86" s="34" t="str">
        <f t="shared" ca="1" si="3"/>
        <v>Tax</v>
      </c>
      <c r="BB86" s="1" t="str">
        <f>$A$69</f>
        <v>Tax allowance</v>
      </c>
      <c r="BC86" s="1" t="str">
        <f>$B$81</f>
        <v>Tax allowance</v>
      </c>
    </row>
    <row r="87" spans="1:55" x14ac:dyDescent="0.35">
      <c r="E87" t="s">
        <v>334</v>
      </c>
      <c r="G87" t="str">
        <f t="shared" si="28"/>
        <v>£m nominal</v>
      </c>
      <c r="AU87" s="152">
        <f ca="1">SUM(AU84,AU86)</f>
        <v>36.91761201656071</v>
      </c>
      <c r="AV87" s="12">
        <f ca="1">SUM(AV84,AV86)</f>
        <v>40.619402867514168</v>
      </c>
      <c r="AW87" s="12">
        <f ca="1">SUM(AW84,AW86)</f>
        <v>44.873205596498579</v>
      </c>
      <c r="AX87" s="12">
        <f ca="1">SUM(AX84,AX86)</f>
        <v>46.485012215746565</v>
      </c>
      <c r="AY87" s="12">
        <f ca="1">SUM(AY84,AY86)</f>
        <v>49.253942338035756</v>
      </c>
      <c r="BA87" s="34" t="str">
        <f t="shared" ca="1" si="3"/>
        <v>Tax</v>
      </c>
      <c r="BB87" s="1" t="str">
        <f>$A$69</f>
        <v>Tax allowance</v>
      </c>
      <c r="BC87" s="1" t="str">
        <f>$B$81</f>
        <v>Tax allowance</v>
      </c>
    </row>
    <row r="88" spans="1:55" x14ac:dyDescent="0.35">
      <c r="BA88" s="34"/>
    </row>
    <row r="89" spans="1:55" ht="20" thickBot="1" x14ac:dyDescent="0.5">
      <c r="A89" s="13" t="s">
        <v>369</v>
      </c>
      <c r="BA89" s="34"/>
    </row>
    <row r="90" spans="1:55" ht="18" thickTop="1" thickBot="1" x14ac:dyDescent="0.45">
      <c r="B90" s="15" t="s">
        <v>370</v>
      </c>
      <c r="BA90" s="34"/>
    </row>
    <row r="91" spans="1:55" ht="16.5" thickTop="1" x14ac:dyDescent="0.35">
      <c r="E91" t="s">
        <v>371</v>
      </c>
      <c r="G91" t="str">
        <f t="shared" ref="G91:G92" si="29">nominal</f>
        <v>£m nominal</v>
      </c>
      <c r="AU91" s="152">
        <f ca="1">SUM(AU49,AU87)</f>
        <v>147.67044806624284</v>
      </c>
      <c r="AV91" s="12">
        <f t="shared" ref="AV91:AY91" ca="1" si="30">SUM(AV49,AV87)</f>
        <v>162.47761147005667</v>
      </c>
      <c r="AW91" s="12">
        <f t="shared" ca="1" si="30"/>
        <v>179.49282238599432</v>
      </c>
      <c r="AX91" s="12">
        <f t="shared" ca="1" si="30"/>
        <v>185.94004886298626</v>
      </c>
      <c r="AY91" s="12">
        <f t="shared" ca="1" si="30"/>
        <v>197.01576935214302</v>
      </c>
      <c r="BA91" s="34" t="str">
        <f t="shared" ca="1" si="3"/>
        <v>Tax</v>
      </c>
      <c r="BB91" s="1" t="str">
        <f>$A$89</f>
        <v>Tax paid</v>
      </c>
      <c r="BC91" s="1" t="str">
        <f>$B$90</f>
        <v>Tax base</v>
      </c>
    </row>
    <row r="92" spans="1:55" x14ac:dyDescent="0.35">
      <c r="E92" t="s">
        <v>623</v>
      </c>
      <c r="G92" t="str">
        <f t="shared" si="29"/>
        <v>£m nominal</v>
      </c>
      <c r="AU92" s="152">
        <f ca="1">SUM(AU64,AU91)</f>
        <v>147.67044806624284</v>
      </c>
      <c r="AV92" s="12">
        <f ca="1">SUM(AV64,AV91)</f>
        <v>162.47761147005667</v>
      </c>
      <c r="AW92" s="12">
        <f ca="1">SUM(AW64,AW91)</f>
        <v>179.49282238599432</v>
      </c>
      <c r="AX92" s="12">
        <f ca="1">SUM(AX64,AX91)</f>
        <v>185.94004886298626</v>
      </c>
      <c r="AY92" s="12">
        <f ca="1">SUM(AY64,AY91)</f>
        <v>197.01576935214302</v>
      </c>
      <c r="BA92" s="34" t="str">
        <f t="shared" ca="1" si="3"/>
        <v>Tax</v>
      </c>
      <c r="BB92" s="1" t="str">
        <f>$A$89</f>
        <v>Tax paid</v>
      </c>
      <c r="BC92" s="1" t="str">
        <f>$B$90</f>
        <v>Tax base</v>
      </c>
    </row>
    <row r="93" spans="1:55" x14ac:dyDescent="0.35">
      <c r="AU93" s="157"/>
      <c r="BA93" s="34"/>
    </row>
    <row r="94" spans="1:55" ht="17.5" thickBot="1" x14ac:dyDescent="0.45">
      <c r="B94" s="15" t="s">
        <v>397</v>
      </c>
      <c r="AU94" s="157"/>
      <c r="BA94" s="34"/>
    </row>
    <row r="95" spans="1:55" ht="16.5" thickTop="1" x14ac:dyDescent="0.35">
      <c r="E95" t="s">
        <v>620</v>
      </c>
      <c r="G95" t="s">
        <v>236</v>
      </c>
      <c r="AU95" s="152" t="b">
        <f ca="1">AU91&gt;$I$22</f>
        <v>1</v>
      </c>
      <c r="AV95" s="12" t="b">
        <f ca="1">AV91&gt;$I$22</f>
        <v>1</v>
      </c>
      <c r="AW95" s="12" t="b">
        <f ca="1">AW91&gt;$I$22</f>
        <v>1</v>
      </c>
      <c r="AX95" s="12" t="b">
        <f ca="1">AX91&gt;$I$22</f>
        <v>1</v>
      </c>
      <c r="AY95" s="12" t="b">
        <f ca="1">AY91&gt;$I$22</f>
        <v>1</v>
      </c>
      <c r="BA95" s="34" t="str">
        <f t="shared" ca="1" si="3"/>
        <v>Tax</v>
      </c>
      <c r="BB95" s="1" t="str">
        <f t="shared" ref="BB95:BB97" si="31">$A$89</f>
        <v>Tax paid</v>
      </c>
      <c r="BC95" s="1" t="str">
        <f>$B$94</f>
        <v>Restriction on relief for carried forward losses</v>
      </c>
    </row>
    <row r="96" spans="1:55" x14ac:dyDescent="0.35">
      <c r="E96" t="s">
        <v>621</v>
      </c>
      <c r="G96" t="str">
        <f t="shared" ref="G96:G97" si="32">nominal</f>
        <v>£m nominal</v>
      </c>
      <c r="AU96" s="152">
        <f ca="1">AU95*($I$22+(AU91-$I$22)*$I$23)</f>
        <v>76.33522403312142</v>
      </c>
      <c r="AV96" s="12">
        <f ca="1">AV95*($I$22+(AV91-$I$22)*$I$23)</f>
        <v>83.738805735028336</v>
      </c>
      <c r="AW96" s="12">
        <f ca="1">AW95*($I$22+(AW91-$I$22)*$I$23)</f>
        <v>92.246411192997158</v>
      </c>
      <c r="AX96" s="12">
        <f ca="1">AX95*($I$22+(AX91-$I$22)*$I$23)</f>
        <v>95.47002443149313</v>
      </c>
      <c r="AY96" s="12">
        <f ca="1">AY95*($I$22+(AY91-$I$22)*$I$23)</f>
        <v>101.00788467607151</v>
      </c>
      <c r="BA96" s="34" t="str">
        <f t="shared" ca="1" si="3"/>
        <v>Tax</v>
      </c>
      <c r="BB96" s="1" t="str">
        <f t="shared" si="31"/>
        <v>Tax paid</v>
      </c>
      <c r="BC96" s="1" t="str">
        <f>$B$94</f>
        <v>Restriction on relief for carried forward losses</v>
      </c>
    </row>
    <row r="97" spans="1:55" x14ac:dyDescent="0.35">
      <c r="E97" t="s">
        <v>622</v>
      </c>
      <c r="G97" t="str">
        <f t="shared" si="32"/>
        <v>£m nominal</v>
      </c>
      <c r="AU97" s="152">
        <f ca="1">(1-AU95)*AU91</f>
        <v>0</v>
      </c>
      <c r="AV97" s="12">
        <f t="shared" ref="AV97:AY97" ca="1" si="33">(1-AV95)*AV91</f>
        <v>0</v>
      </c>
      <c r="AW97" s="12">
        <f t="shared" ca="1" si="33"/>
        <v>0</v>
      </c>
      <c r="AX97" s="12">
        <f t="shared" ca="1" si="33"/>
        <v>0</v>
      </c>
      <c r="AY97" s="12">
        <f t="shared" ca="1" si="33"/>
        <v>0</v>
      </c>
      <c r="BA97" s="34" t="str">
        <f t="shared" ca="1" si="3"/>
        <v>Tax</v>
      </c>
      <c r="BB97" s="1" t="str">
        <f t="shared" si="31"/>
        <v>Tax paid</v>
      </c>
      <c r="BC97" s="1" t="str">
        <f>$B$94</f>
        <v>Restriction on relief for carried forward losses</v>
      </c>
    </row>
    <row r="98" spans="1:55" x14ac:dyDescent="0.35">
      <c r="BA98" s="34"/>
    </row>
    <row r="99" spans="1:55" ht="17.5" thickBot="1" x14ac:dyDescent="0.45">
      <c r="B99" s="15" t="s">
        <v>372</v>
      </c>
      <c r="BA99" s="34"/>
    </row>
    <row r="100" spans="1:55" ht="16.5" thickTop="1" x14ac:dyDescent="0.35">
      <c r="E100" t="s">
        <v>365</v>
      </c>
      <c r="G100" t="str">
        <f t="shared" ref="G100:G103" si="34">nominal</f>
        <v>£m nominal</v>
      </c>
      <c r="AU100" s="152">
        <f>AU$24*StartingBalance+AT103</f>
        <v>0</v>
      </c>
      <c r="AV100" s="12">
        <f ca="1">AV$24*StartingBalance+AU103</f>
        <v>0</v>
      </c>
      <c r="AW100" s="12">
        <f ca="1">AW$24*StartingBalance+AV103</f>
        <v>0</v>
      </c>
      <c r="AX100" s="12">
        <f ca="1">AX$24*StartingBalance+AW103</f>
        <v>0</v>
      </c>
      <c r="AY100" s="12">
        <f ca="1">AY$24*StartingBalance+AX103</f>
        <v>0</v>
      </c>
      <c r="BA100" s="34" t="str">
        <f t="shared" ref="BA100:BA107" ca="1" si="35">$A$1</f>
        <v>Tax</v>
      </c>
      <c r="BB100" s="1" t="str">
        <f>$A$89</f>
        <v>Tax paid</v>
      </c>
      <c r="BC100" s="1" t="str">
        <f>$B$99</f>
        <v>Tax losses</v>
      </c>
    </row>
    <row r="101" spans="1:55" x14ac:dyDescent="0.35">
      <c r="E101" t="s">
        <v>366</v>
      </c>
      <c r="G101" t="str">
        <f t="shared" si="34"/>
        <v>£m nominal</v>
      </c>
      <c r="AU101" s="152">
        <f ca="1">MIN(AU91,0)</f>
        <v>0</v>
      </c>
      <c r="AV101" s="12">
        <f t="shared" ref="AV101:AY101" ca="1" si="36">MIN(AV91,0)</f>
        <v>0</v>
      </c>
      <c r="AW101" s="12">
        <f t="shared" ca="1" si="36"/>
        <v>0</v>
      </c>
      <c r="AX101" s="12">
        <f t="shared" ca="1" si="36"/>
        <v>0</v>
      </c>
      <c r="AY101" s="12">
        <f t="shared" ca="1" si="36"/>
        <v>0</v>
      </c>
      <c r="BA101" s="34" t="str">
        <f t="shared" ca="1" si="35"/>
        <v>Tax</v>
      </c>
      <c r="BB101" s="1" t="str">
        <f>$A$89</f>
        <v>Tax paid</v>
      </c>
      <c r="BC101" s="1" t="str">
        <f>$B$99</f>
        <v>Tax losses</v>
      </c>
    </row>
    <row r="102" spans="1:55" x14ac:dyDescent="0.35">
      <c r="E102" t="s">
        <v>367</v>
      </c>
      <c r="G102" t="str">
        <f t="shared" si="34"/>
        <v>£m nominal</v>
      </c>
      <c r="AU102" s="152">
        <f ca="1">((AU91&gt;=0)*(MIN(AU96+AU97,-AU100,AU92)))</f>
        <v>0</v>
      </c>
      <c r="AV102" s="12">
        <f ca="1">((AV91&gt;=0)*(MIN(AV96+AV97,-AV100,AV92)))</f>
        <v>0</v>
      </c>
      <c r="AW102" s="12">
        <f ca="1">((AW91&gt;=0)*(MIN(AW96+AW97,-AW100,AW92)))</f>
        <v>0</v>
      </c>
      <c r="AX102" s="12">
        <f ca="1">((AX91&gt;=0)*(MIN(AX96+AX97,-AX100,AX92)))</f>
        <v>0</v>
      </c>
      <c r="AY102" s="12">
        <f ca="1">((AY91&gt;=0)*(MIN(AY96+AY97,-AY100,AY92)))</f>
        <v>0</v>
      </c>
      <c r="BA102" s="34" t="str">
        <f t="shared" ca="1" si="35"/>
        <v>Tax</v>
      </c>
      <c r="BB102" s="1" t="str">
        <f>$A$89</f>
        <v>Tax paid</v>
      </c>
      <c r="BC102" s="1" t="str">
        <f>$B$99</f>
        <v>Tax losses</v>
      </c>
    </row>
    <row r="103" spans="1:55" x14ac:dyDescent="0.35">
      <c r="E103" t="s">
        <v>292</v>
      </c>
      <c r="G103" t="str">
        <f t="shared" si="34"/>
        <v>£m nominal</v>
      </c>
      <c r="AU103" s="152">
        <f ca="1">SUM(AU100:AU102)</f>
        <v>0</v>
      </c>
      <c r="AV103" s="12">
        <f ca="1">SUM(AV100:AV102)</f>
        <v>0</v>
      </c>
      <c r="AW103" s="12">
        <f ca="1">SUM(AW100:AW102)</f>
        <v>0</v>
      </c>
      <c r="AX103" s="12">
        <f ca="1">SUM(AX100:AX102)</f>
        <v>0</v>
      </c>
      <c r="AY103" s="12">
        <f ca="1">SUM(AY100:AY102)</f>
        <v>0</v>
      </c>
      <c r="BA103" s="34" t="str">
        <f t="shared" ca="1" si="35"/>
        <v>Tax</v>
      </c>
      <c r="BB103" s="1" t="str">
        <f>$A$89</f>
        <v>Tax paid</v>
      </c>
      <c r="BC103" s="1" t="str">
        <f>$B$99</f>
        <v>Tax losses</v>
      </c>
    </row>
    <row r="104" spans="1:55" x14ac:dyDescent="0.35">
      <c r="BA104" s="34"/>
    </row>
    <row r="105" spans="1:55" ht="17.5" thickBot="1" x14ac:dyDescent="0.45">
      <c r="B105" s="15" t="s">
        <v>369</v>
      </c>
      <c r="BA105" s="34"/>
    </row>
    <row r="106" spans="1:55" ht="16.5" thickTop="1" x14ac:dyDescent="0.35">
      <c r="E106" t="s">
        <v>368</v>
      </c>
      <c r="G106" t="str">
        <f t="shared" ref="G106:G107" si="37">nominal</f>
        <v>£m nominal</v>
      </c>
      <c r="AU106" s="152">
        <f ca="1">MAX(AU92-AU102,0)</f>
        <v>147.67044806624284</v>
      </c>
      <c r="AV106" s="12">
        <f ca="1">MAX(AV92-AV102,0)</f>
        <v>162.47761147005667</v>
      </c>
      <c r="AW106" s="12">
        <f ca="1">MAX(AW92-AW102,0)</f>
        <v>179.49282238599432</v>
      </c>
      <c r="AX106" s="12">
        <f ca="1">MAX(AX92-AX102,0)</f>
        <v>185.94004886298626</v>
      </c>
      <c r="AY106" s="12">
        <f ca="1">MAX(AY92-AY102,0)</f>
        <v>197.01576935214302</v>
      </c>
      <c r="BA106" s="34" t="str">
        <f t="shared" ca="1" si="35"/>
        <v>Tax</v>
      </c>
      <c r="BB106" s="1" t="str">
        <f t="shared" ref="BB106:BB107" si="38">$A$89</f>
        <v>Tax paid</v>
      </c>
      <c r="BC106" s="1" t="str">
        <f>$B$105</f>
        <v>Tax paid</v>
      </c>
    </row>
    <row r="107" spans="1:55" x14ac:dyDescent="0.35">
      <c r="E107" t="s">
        <v>335</v>
      </c>
      <c r="G107" t="str">
        <f t="shared" si="37"/>
        <v>£m nominal</v>
      </c>
      <c r="AU107" s="152">
        <f ca="1">AU106*AU7</f>
        <v>36.91761201656071</v>
      </c>
      <c r="AV107" s="12">
        <f ca="1">AV106*AV7</f>
        <v>40.619402867514168</v>
      </c>
      <c r="AW107" s="12">
        <f ca="1">AW106*AW7</f>
        <v>44.873205596498579</v>
      </c>
      <c r="AX107" s="12">
        <f ca="1">AX106*AX7</f>
        <v>46.485012215746565</v>
      </c>
      <c r="AY107" s="12">
        <f ca="1">AY106*AY7</f>
        <v>49.253942338035756</v>
      </c>
      <c r="BA107" s="34" t="str">
        <f t="shared" ca="1" si="35"/>
        <v>Tax</v>
      </c>
      <c r="BB107" s="1" t="str">
        <f t="shared" si="38"/>
        <v>Tax paid</v>
      </c>
      <c r="BC107" s="1" t="str">
        <f>$B$105</f>
        <v>Tax paid</v>
      </c>
    </row>
    <row r="108" spans="1:55" x14ac:dyDescent="0.35"/>
    <row r="109" spans="1:55" ht="20" thickBot="1" x14ac:dyDescent="0.5">
      <c r="A109" s="13" t="s">
        <v>386</v>
      </c>
    </row>
    <row r="110" spans="1:55" ht="16.5" thickTop="1" x14ac:dyDescent="0.35"/>
    <row r="111" spans="1:55" x14ac:dyDescent="0.35"/>
  </sheetData>
  <conditionalFormatting sqref="H1">
    <cfRule type="cellIs" dxfId="5" priority="1" operator="equal">
      <formula>"ERROR"</formula>
    </cfRule>
  </conditionalFormatting>
  <pageMargins left="0.7" right="0.7" top="0.75" bottom="0.75" header="0.3" footer="0.3"/>
  <pageSetup paperSize="9" orientation="portrait" r:id="rId1"/>
  <headerFooter>
    <oddHeader>&amp;L&amp;"Aptos"&amp;10&amp;K000000 Classified as Internal&amp;1#_x000D_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2289" r:id="rId4" name="Drop Down 1">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D8D28-4116-4FA4-B6A4-34F4A2E2861C}">
  <sheetPr>
    <tabColor rgb="FFBAA0CC"/>
    <pageSetUpPr autoPageBreaks="0"/>
  </sheetPr>
  <dimension ref="A1:BF101"/>
  <sheetViews>
    <sheetView zoomScaleNormal="100" workbookViewId="0">
      <pane xSplit="46" ySplit="4" topLeftCell="AU5" activePane="bottomRight" state="frozen"/>
      <selection pane="topRight" activeCell="AU1" sqref="AU1"/>
      <selection pane="bottomLeft" activeCell="A5" sqref="A5"/>
      <selection pane="bottomRight"/>
    </sheetView>
  </sheetViews>
  <sheetFormatPr defaultColWidth="0" defaultRowHeight="16" zeroHeight="1" outlineLevelRow="1" outlineLevelCol="1" x14ac:dyDescent="0.35"/>
  <cols>
    <col min="1" max="3" width="1.90625" customWidth="1"/>
    <col min="4" max="4" width="15.6328125" customWidth="1"/>
    <col min="5" max="5" width="65.6328125" customWidth="1"/>
    <col min="6" max="6" width="8.6328125" customWidth="1"/>
    <col min="7" max="7" width="17.6328125" customWidth="1"/>
    <col min="8" max="8" width="9.6328125" customWidth="1"/>
    <col min="9" max="9" width="11.6328125" customWidth="1"/>
    <col min="10" max="10" width="2.08984375" customWidth="1"/>
    <col min="11" max="45" width="11.6328125" hidden="1" customWidth="1" outlineLevel="1"/>
    <col min="46" max="46" width="11.6328125" style="61" hidden="1" customWidth="1" outlineLevel="1"/>
    <col min="47" max="47" width="11.6328125" customWidth="1" collapsed="1"/>
    <col min="48" max="51" width="11.6328125" customWidth="1"/>
    <col min="52" max="52" width="18.6328125" customWidth="1"/>
    <col min="53" max="55" width="10.6328125" style="1" customWidth="1"/>
    <col min="56" max="57" width="10.6328125" customWidth="1"/>
    <col min="58" max="58" width="1.6328125" style="6" customWidth="1"/>
    <col min="59" max="16384" width="9.08984375" hidden="1"/>
  </cols>
  <sheetData>
    <row r="1" spans="1:56" s="90" customFormat="1" ht="14.5" x14ac:dyDescent="0.35">
      <c r="A1" s="89" t="str" cm="1">
        <f t="array" aca="1" ref="A1" ca="1">MID(CELL("filename",$A$1),FIND("]",CELL("filename",$A$1))+1,255)</f>
        <v>ReturnAdj</v>
      </c>
      <c r="G1" s="90" t="s">
        <v>572</v>
      </c>
      <c r="H1" s="27" t="e">
        <f>Checks!I7</f>
        <v>#REF!</v>
      </c>
      <c r="AT1" s="96"/>
    </row>
    <row r="2" spans="1:56" s="90" customFormat="1" ht="15" customHeight="1" x14ac:dyDescent="0.35">
      <c r="AT2" s="96"/>
    </row>
    <row r="3" spans="1:56" s="90" customFormat="1" ht="15" customHeight="1" x14ac:dyDescent="0.35">
      <c r="E3" s="90" t="s">
        <v>1</v>
      </c>
      <c r="F3" s="90" t="s">
        <v>2</v>
      </c>
      <c r="G3" s="90" t="s">
        <v>3</v>
      </c>
      <c r="H3" s="90" t="s">
        <v>4</v>
      </c>
      <c r="I3" s="90" t="s">
        <v>5</v>
      </c>
      <c r="AT3" s="96"/>
      <c r="AU3" s="93" t="s">
        <v>6</v>
      </c>
    </row>
    <row r="4" spans="1:56" s="90" customFormat="1" ht="15" customHeight="1" x14ac:dyDescent="0.35">
      <c r="D4" s="92" t="s">
        <v>459</v>
      </c>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113" t="s">
        <v>591</v>
      </c>
      <c r="BB4" s="113" t="s">
        <v>592</v>
      </c>
      <c r="BC4" s="113" t="s">
        <v>593</v>
      </c>
      <c r="BD4" s="113" t="s">
        <v>594</v>
      </c>
    </row>
    <row r="5" spans="1:56" x14ac:dyDescent="0.35">
      <c r="AP5" s="1"/>
      <c r="AQ5" s="1"/>
      <c r="AR5" s="1"/>
      <c r="AS5" s="1"/>
      <c r="AT5" s="71"/>
    </row>
    <row r="6" spans="1:56" ht="20" thickBot="1" x14ac:dyDescent="0.5">
      <c r="A6" s="13" t="s">
        <v>484</v>
      </c>
      <c r="AP6" s="1"/>
      <c r="AQ6" s="1"/>
      <c r="AR6" s="1"/>
      <c r="AS6" s="1"/>
      <c r="AT6" s="71"/>
      <c r="AU6" s="1"/>
      <c r="AV6" s="1"/>
      <c r="AW6" s="1"/>
      <c r="AX6" s="1"/>
      <c r="AY6" s="1"/>
    </row>
    <row r="7" spans="1:56" ht="16.5" outlineLevel="1" thickTop="1" x14ac:dyDescent="0.35">
      <c r="D7" s="1" t="str" cm="1">
        <f t="array" aca="1" ref="D7" ca="1">IFERROR(MID(_xlfn.FORMULATEXT(I7),FIND("=",_xlfn.FORMULATEXT(I7))+1,FIND("!",_xlfn.FORMULATEXT(I7))-2),MID(_xlfn.FORMULATEXT(INDEX(L7:AV7,MATCH(FALSE,ISBLANK(L7:AV7),0))),FIND("=",_xlfn.FORMULATEXT(INDEX(L7:AV7,MATCH(FALSE,ISBLANK(L7:AV7),0))))+1,FIND("!",_xlfn.FORMULATEXT(INDEX(L7:AV7,MATCH(FALSE,ISBLANK(L7:AV7),0))))-2))</f>
        <v>Transform</v>
      </c>
      <c r="E7" t="s">
        <v>656</v>
      </c>
      <c r="G7" t="s">
        <v>109</v>
      </c>
      <c r="AU7" s="149">
        <f>Transform!AU170</f>
        <v>0.6</v>
      </c>
      <c r="AV7" s="53">
        <f>Transform!AV170</f>
        <v>0.6</v>
      </c>
      <c r="AW7" s="53">
        <f>Transform!AW170</f>
        <v>0.6</v>
      </c>
      <c r="AX7" s="53">
        <f>Transform!AX170</f>
        <v>0.6</v>
      </c>
      <c r="AY7" s="53">
        <f>Transform!AY170</f>
        <v>0.6</v>
      </c>
    </row>
    <row r="8" spans="1:56" outlineLevel="1" x14ac:dyDescent="0.35">
      <c r="D8" s="1" t="str" cm="1">
        <f t="array" aca="1" ref="D8" ca="1">IFERROR(MID(_xlfn.FORMULATEXT(I8),FIND("=",_xlfn.FORMULATEXT(I8))+1,FIND("!",_xlfn.FORMULATEXT(I8))-2),MID(_xlfn.FORMULATEXT(INDEX(L8:AV8,MATCH(FALSE,ISBLANK(L8:AV8),0))),FIND("=",_xlfn.FORMULATEXT(INDEX(L8:AV8,MATCH(FALSE,ISBLANK(L8:AV8),0))))+1,FIND("!",_xlfn.FORMULATEXT(INDEX(L8:AV8,MATCH(FALSE,ISBLANK(L8:AV8),0))))-2))</f>
        <v>'Return&amp;RAV'</v>
      </c>
      <c r="E8" t="s">
        <v>310</v>
      </c>
      <c r="G8" t="str">
        <f t="shared" ref="G8:G13" si="0">price_label</f>
        <v>£m 23/24 prices</v>
      </c>
      <c r="AU8" s="148">
        <f>'Return&amp;RAV'!AU49</f>
        <v>2258.5807061402111</v>
      </c>
      <c r="AV8" s="50">
        <f>'Return&amp;RAV'!AV49</f>
        <v>2249.0759305030433</v>
      </c>
      <c r="AW8" s="50">
        <f>'Return&amp;RAV'!AW49</f>
        <v>2235.6738574731344</v>
      </c>
      <c r="AX8" s="50">
        <f>'Return&amp;RAV'!AX49</f>
        <v>2212.0334254993099</v>
      </c>
      <c r="AY8" s="50">
        <f>'Return&amp;RAV'!AY49</f>
        <v>2176.8244562549889</v>
      </c>
    </row>
    <row r="9" spans="1:56" outlineLevel="1" x14ac:dyDescent="0.35">
      <c r="A9" s="1"/>
      <c r="D9" s="1" t="str" cm="1">
        <f t="array" aca="1" ref="D9" ca="1">IFERROR(MID(_xlfn.FORMULATEXT(I9),FIND("=",_xlfn.FORMULATEXT(I9))+1,FIND("!",_xlfn.FORMULATEXT(I9))-2),MID(_xlfn.FORMULATEXT(INDEX(L9:AV9,MATCH(FALSE,ISBLANK(L9:AV9),0))),FIND("=",_xlfn.FORMULATEXT(INDEX(L9:AV9,MATCH(FALSE,ISBLANK(L9:AV9),0))))+1,FIND("!",_xlfn.FORMULATEXT(INDEX(L9:AV9,MATCH(FALSE,ISBLANK(L9:AV9),0))))-2))</f>
        <v>TIM</v>
      </c>
      <c r="E9" t="s">
        <v>735</v>
      </c>
      <c r="G9" t="str">
        <f t="shared" si="0"/>
        <v>£m 23/24 prices</v>
      </c>
      <c r="AU9" s="148">
        <f>TIM!AU37</f>
        <v>-0.59012268374038968</v>
      </c>
      <c r="AV9" s="50">
        <f>TIM!AV37</f>
        <v>-0.59012268374038968</v>
      </c>
      <c r="AW9" s="50">
        <f>TIM!AW37</f>
        <v>-0.59012268374036125</v>
      </c>
      <c r="AX9" s="50">
        <f>TIM!AX37</f>
        <v>-0.59012268374038968</v>
      </c>
      <c r="AY9" s="50">
        <f>TIM!AY37</f>
        <v>-0.59012268374038968</v>
      </c>
    </row>
    <row r="10" spans="1:56" outlineLevel="1" x14ac:dyDescent="0.35">
      <c r="D10" s="1" t="str" cm="1">
        <f t="array" aca="1" ref="D10" ca="1">IFERROR(MID(_xlfn.FORMULATEXT(I10),FIND("=",_xlfn.FORMULATEXT(I10))+1,FIND("!",_xlfn.FORMULATEXT(I10))-2),MID(_xlfn.FORMULATEXT(INDEX(L10:AV10,MATCH(FALSE,ISBLANK(L10:AV10),0))),FIND("=",_xlfn.FORMULATEXT(INDEX(L10:AV10,MATCH(FALSE,ISBLANK(L10:AV10),0))))+1,FIND("!",_xlfn.FORMULATEXT(INDEX(L10:AV10,MATCH(FALSE,ISBLANK(L10:AV10),0))))-2))</f>
        <v>TIM</v>
      </c>
      <c r="E10" t="s">
        <v>736</v>
      </c>
      <c r="G10" t="str">
        <f t="shared" si="0"/>
        <v>£m 23/24 prices</v>
      </c>
      <c r="AU10" s="148">
        <f>TIM!AU38</f>
        <v>0</v>
      </c>
      <c r="AV10" s="50">
        <f>TIM!AV38</f>
        <v>0</v>
      </c>
      <c r="AW10" s="50">
        <f>TIM!AW38</f>
        <v>0</v>
      </c>
      <c r="AX10" s="50">
        <f>TIM!AX38</f>
        <v>0</v>
      </c>
      <c r="AY10" s="50">
        <f>TIM!AY38</f>
        <v>0</v>
      </c>
    </row>
    <row r="11" spans="1:56" outlineLevel="1" x14ac:dyDescent="0.35">
      <c r="D11" s="1" t="str" cm="1">
        <f t="array" aca="1" ref="D11" ca="1">IFERROR(MID(_xlfn.FORMULATEXT(I11),FIND("=",_xlfn.FORMULATEXT(I11))+1,FIND("!",_xlfn.FORMULATEXT(I11))-2),MID(_xlfn.FORMULATEXT(INDEX(L11:AV11,MATCH(FALSE,ISBLANK(L11:AV11),0))),FIND("=",_xlfn.FORMULATEXT(INDEX(L11:AV11,MATCH(FALSE,ISBLANK(L11:AV11),0))))+1,FIND("!",_xlfn.FORMULATEXT(INDEX(L11:AV11,MATCH(FALSE,ISBLANK(L11:AV11),0))))-2))</f>
        <v>TIM</v>
      </c>
      <c r="E11" t="s">
        <v>737</v>
      </c>
      <c r="G11" t="str">
        <f t="shared" si="0"/>
        <v>£m 23/24 prices</v>
      </c>
      <c r="AU11" s="148">
        <f>TIM!AU39</f>
        <v>0</v>
      </c>
      <c r="AV11" s="50">
        <f>TIM!AV39</f>
        <v>0</v>
      </c>
      <c r="AW11" s="50">
        <f>TIM!AW39</f>
        <v>0</v>
      </c>
      <c r="AX11" s="50">
        <f>TIM!AX39</f>
        <v>0</v>
      </c>
      <c r="AY11" s="50">
        <f>TIM!AY39</f>
        <v>0</v>
      </c>
    </row>
    <row r="12" spans="1:56" outlineLevel="1" x14ac:dyDescent="0.35">
      <c r="D12" s="1" t="str" cm="1">
        <f t="array" aca="1" ref="D12" ca="1">IFERROR(MID(_xlfn.FORMULATEXT(I12),FIND("=",_xlfn.FORMULATEXT(I12))+1,FIND("!",_xlfn.FORMULATEXT(I12))-2),MID(_xlfn.FORMULATEXT(INDEX(L12:AV12,MATCH(FALSE,ISBLANK(L12:AV12),0))),FIND("=",_xlfn.FORMULATEXT(INDEX(L12:AV12,MATCH(FALSE,ISBLANK(L12:AV12),0))))+1,FIND("!",_xlfn.FORMULATEXT(INDEX(L12:AV12,MATCH(FALSE,ISBLANK(L12:AV12),0))))-2))</f>
        <v>Transform</v>
      </c>
      <c r="E12" t="s">
        <v>194</v>
      </c>
      <c r="G12" t="str">
        <f t="shared" si="0"/>
        <v>£m 23/24 prices</v>
      </c>
      <c r="I12" s="53">
        <f>Transform!I39</f>
        <v>0.5</v>
      </c>
    </row>
    <row r="13" spans="1:56" outlineLevel="1" x14ac:dyDescent="0.35">
      <c r="A13" s="1"/>
      <c r="D13" s="1" t="str" cm="1">
        <f t="array" aca="1" ref="D13" ca="1">IFERROR(MID(_xlfn.FORMULATEXT(I13),FIND("=",_xlfn.FORMULATEXT(I13))+1,FIND("!",_xlfn.FORMULATEXT(I13))-2),MID(_xlfn.FORMULATEXT(INDEX(L13:AV13,MATCH(FALSE,ISBLANK(L13:AV13),0))),FIND("=",_xlfn.FORMULATEXT(INDEX(L13:AV13,MATCH(FALSE,ISBLANK(L13:AV13),0))))+1,FIND("!",_xlfn.FORMULATEXT(INDEX(L13:AV13,MATCH(FALSE,ISBLANK(L13:AV13),0))))-2))</f>
        <v>Transform</v>
      </c>
      <c r="E13" t="s">
        <v>245</v>
      </c>
      <c r="G13" t="str">
        <f t="shared" si="0"/>
        <v>£m 23/24 prices</v>
      </c>
      <c r="AU13" s="148">
        <f>Transform!AU220</f>
        <v>0</v>
      </c>
      <c r="AV13" s="50">
        <f>Transform!AV220</f>
        <v>0</v>
      </c>
      <c r="AW13" s="50">
        <f>Transform!AW220</f>
        <v>0</v>
      </c>
      <c r="AX13" s="50">
        <f>Transform!AX220</f>
        <v>0</v>
      </c>
      <c r="AY13" s="50">
        <f>Transform!AY220</f>
        <v>0</v>
      </c>
    </row>
    <row r="14" spans="1:56" outlineLevel="1" x14ac:dyDescent="0.35">
      <c r="A14" s="1"/>
      <c r="D14" s="1" t="str" cm="1">
        <f t="array" aca="1" ref="D14" ca="1">IFERROR(MID(_xlfn.FORMULATEXT(I14),FIND("=",_xlfn.FORMULATEXT(I14))+1,FIND("!",_xlfn.FORMULATEXT(I14))-2),MID(_xlfn.FORMULATEXT(INDEX(L14:AV14,MATCH(FALSE,ISBLANK(L14:AV14),0))),FIND("=",_xlfn.FORMULATEXT(INDEX(L14:AV14,MATCH(FALSE,ISBLANK(L14:AV14),0))))+1,FIND("!",_xlfn.FORMULATEXT(INDEX(L14:AV14,MATCH(FALSE,ISBLANK(L14:AV14),0))))-2))</f>
        <v>Transform</v>
      </c>
      <c r="E14" t="s">
        <v>652</v>
      </c>
      <c r="G14" t="s">
        <v>109</v>
      </c>
      <c r="I14" s="53">
        <f>Transform!I226</f>
        <v>0.03</v>
      </c>
    </row>
    <row r="15" spans="1:56" outlineLevel="1" x14ac:dyDescent="0.35">
      <c r="D15" s="1" t="str" cm="1">
        <f t="array" aca="1" ref="D15" ca="1">IFERROR(MID(_xlfn.FORMULATEXT(I15),FIND("=",_xlfn.FORMULATEXT(I15))+1,FIND("!",_xlfn.FORMULATEXT(I15))-2),MID(_xlfn.FORMULATEXT(INDEX(L15:AV15,MATCH(FALSE,ISBLANK(L15:AV15),0))),FIND("=",_xlfn.FORMULATEXT(INDEX(L15:AV15,MATCH(FALSE,ISBLANK(L15:AV15),0))))+1,FIND("!",_xlfn.FORMULATEXT(INDEX(L15:AV15,MATCH(FALSE,ISBLANK(L15:AV15),0))))-2))</f>
        <v>Transform</v>
      </c>
      <c r="E15" t="s">
        <v>653</v>
      </c>
      <c r="G15" t="s">
        <v>109</v>
      </c>
      <c r="I15" s="53">
        <f>Transform!I227</f>
        <v>0.04</v>
      </c>
    </row>
    <row r="16" spans="1:56" outlineLevel="1" x14ac:dyDescent="0.35">
      <c r="D16" s="1" t="str" cm="1">
        <f t="array" aca="1" ref="D16" ca="1">IFERROR(MID(_xlfn.FORMULATEXT(I16),FIND("=",_xlfn.FORMULATEXT(I16))+1,FIND("!",_xlfn.FORMULATEXT(I16))-2),MID(_xlfn.FORMULATEXT(INDEX(L16:AV16,MATCH(FALSE,ISBLANK(L16:AV16),0))),FIND("=",_xlfn.FORMULATEXT(INDEX(L16:AV16,MATCH(FALSE,ISBLANK(L16:AV16),0))))+1,FIND("!",_xlfn.FORMULATEXT(INDEX(L16:AV16,MATCH(FALSE,ISBLANK(L16:AV16),0))))-2))</f>
        <v>Transform</v>
      </c>
      <c r="E16" t="s">
        <v>654</v>
      </c>
      <c r="G16" t="s">
        <v>109</v>
      </c>
      <c r="I16" s="53">
        <f>Transform!I228</f>
        <v>0.5</v>
      </c>
    </row>
    <row r="17" spans="1:58" s="1" customFormat="1" outlineLevel="1" x14ac:dyDescent="0.35">
      <c r="A17"/>
      <c r="B17"/>
      <c r="C17"/>
      <c r="D17" s="1" t="str" cm="1">
        <f t="array" aca="1" ref="D17" ca="1">IFERROR(MID(_xlfn.FORMULATEXT(I17),FIND("=",_xlfn.FORMULATEXT(I17))+1,FIND("!",_xlfn.FORMULATEXT(I17))-2),MID(_xlfn.FORMULATEXT(INDEX(L17:AV17,MATCH(FALSE,ISBLANK(L17:AV17),0))),FIND("=",_xlfn.FORMULATEXT(INDEX(L17:AV17,MATCH(FALSE,ISBLANK(L17:AV17),0))))+1,FIND("!",_xlfn.FORMULATEXT(INDEX(L17:AV17,MATCH(FALSE,ISBLANK(L17:AV17),0))))-2))</f>
        <v>Transform</v>
      </c>
      <c r="E17" t="s">
        <v>655</v>
      </c>
      <c r="F17"/>
      <c r="G17" t="s">
        <v>109</v>
      </c>
      <c r="H17"/>
      <c r="I17" s="53">
        <f>Transform!I229</f>
        <v>0.9</v>
      </c>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s="61"/>
      <c r="AU17"/>
      <c r="AV17"/>
      <c r="AW17"/>
      <c r="AX17"/>
      <c r="AY17"/>
      <c r="AZ17"/>
      <c r="BA17" s="34"/>
      <c r="BD17"/>
      <c r="BE17"/>
      <c r="BF17" s="6"/>
    </row>
    <row r="18" spans="1:58" s="1" customFormat="1" x14ac:dyDescent="0.35">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s="61"/>
      <c r="AU18"/>
      <c r="AV18"/>
      <c r="AW18"/>
      <c r="AX18"/>
      <c r="AY18"/>
      <c r="AZ18"/>
      <c r="BA18" s="34"/>
      <c r="BD18"/>
      <c r="BE18"/>
      <c r="BF18" s="6"/>
    </row>
    <row r="19" spans="1:58" s="1" customFormat="1" ht="20" thickBot="1" x14ac:dyDescent="0.5">
      <c r="A19" s="13" t="s">
        <v>657</v>
      </c>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s="61"/>
      <c r="AU19"/>
      <c r="AV19"/>
      <c r="AW19"/>
      <c r="AX19"/>
      <c r="AY19"/>
      <c r="AZ19"/>
      <c r="BD19"/>
      <c r="BE19"/>
      <c r="BF19" s="6"/>
    </row>
    <row r="20" spans="1:58" s="1" customFormat="1" ht="16.5" thickTop="1" x14ac:dyDescent="0.35">
      <c r="A20"/>
      <c r="B20"/>
      <c r="C20"/>
      <c r="D20"/>
      <c r="E20" t="s">
        <v>658</v>
      </c>
      <c r="F20"/>
      <c r="G20" t="str">
        <f>price_label</f>
        <v>£m 23/24 prices</v>
      </c>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s="61"/>
      <c r="AU20" s="152">
        <f>(1-AU7)*AU8</f>
        <v>903.43228245608452</v>
      </c>
      <c r="AV20" s="12">
        <f>(1-AV7)*AV8</f>
        <v>899.63037220121737</v>
      </c>
      <c r="AW20" s="12">
        <f>(1-AW7)*AW8</f>
        <v>894.26954298925375</v>
      </c>
      <c r="AX20" s="12">
        <f>(1-AX7)*AX8</f>
        <v>884.81337019972398</v>
      </c>
      <c r="AY20" s="12">
        <f>(1-AY7)*AY8</f>
        <v>870.7297825019956</v>
      </c>
      <c r="AZ20"/>
      <c r="BA20" s="34" t="str">
        <f ca="1">$A$1</f>
        <v>ReturnAdj</v>
      </c>
      <c r="BB20" s="1" t="str">
        <f>$A$19</f>
        <v>RAV base</v>
      </c>
      <c r="BD20"/>
      <c r="BE20"/>
      <c r="BF20" s="6"/>
    </row>
    <row r="21" spans="1:58" x14ac:dyDescent="0.35">
      <c r="E21" t="s">
        <v>659</v>
      </c>
      <c r="G21" t="str">
        <f>price_label</f>
        <v>£m 23/24 prices</v>
      </c>
      <c r="I21" s="12">
        <f>SUM(AU20:AY20)</f>
        <v>4452.8753503482758</v>
      </c>
      <c r="BA21" s="34" t="str">
        <f t="shared" ref="BA21" ca="1" si="1">$A$1</f>
        <v>ReturnAdj</v>
      </c>
      <c r="BB21" s="1" t="str">
        <f t="shared" ref="BB21" si="2">$A$19</f>
        <v>RAV base</v>
      </c>
    </row>
    <row r="22" spans="1:58" x14ac:dyDescent="0.35">
      <c r="BA22" s="34"/>
    </row>
    <row r="23" spans="1:58" ht="20" thickBot="1" x14ac:dyDescent="0.5">
      <c r="A23" s="13" t="s">
        <v>660</v>
      </c>
      <c r="BA23" s="34"/>
    </row>
    <row r="24" spans="1:58" ht="16.5" thickTop="1" x14ac:dyDescent="0.35">
      <c r="E24" t="s">
        <v>661</v>
      </c>
      <c r="G24" t="str">
        <f>price_label</f>
        <v>£m 23/24 prices</v>
      </c>
      <c r="AU24" s="152">
        <f>-SUM(AU9,AU10,AU11)*$I$12</f>
        <v>0.29506134187019484</v>
      </c>
      <c r="AV24" s="12">
        <f>-SUM(AV9,AV10,AV11)*$I$12</f>
        <v>0.29506134187019484</v>
      </c>
      <c r="AW24" s="12">
        <f>-SUM(AW9,AW10,AW11)*$I$12</f>
        <v>0.29506134187018063</v>
      </c>
      <c r="AX24" s="12">
        <f>-SUM(AX9,AX10,AX11)*$I$12</f>
        <v>0.29506134187019484</v>
      </c>
      <c r="AY24" s="12">
        <f>-SUM(AY9,AY10,AY11)*$I$12</f>
        <v>0.29506134187019484</v>
      </c>
      <c r="BA24" s="34" t="str">
        <f ca="1">$A$1</f>
        <v>ReturnAdj</v>
      </c>
      <c r="BB24" s="1" t="str">
        <f>$A$23</f>
        <v>Operational performance</v>
      </c>
    </row>
    <row r="25" spans="1:58" x14ac:dyDescent="0.35">
      <c r="E25" t="s">
        <v>245</v>
      </c>
      <c r="G25" t="str">
        <f>price_label</f>
        <v>£m 23/24 prices</v>
      </c>
      <c r="AU25" s="154">
        <f>AU13</f>
        <v>0</v>
      </c>
      <c r="AV25" s="27">
        <f>AV13</f>
        <v>0</v>
      </c>
      <c r="AW25" s="27">
        <f>AW13</f>
        <v>0</v>
      </c>
      <c r="AX25" s="27">
        <f>AX13</f>
        <v>0</v>
      </c>
      <c r="AY25" s="27">
        <f>AY13</f>
        <v>0</v>
      </c>
      <c r="BA25" s="34" t="str">
        <f ca="1">$A$1</f>
        <v>ReturnAdj</v>
      </c>
      <c r="BB25" s="1" t="str">
        <f>$A$23</f>
        <v>Operational performance</v>
      </c>
    </row>
    <row r="26" spans="1:58" x14ac:dyDescent="0.35">
      <c r="E26" t="s">
        <v>660</v>
      </c>
      <c r="G26" t="str">
        <f>price_label</f>
        <v>£m 23/24 prices</v>
      </c>
      <c r="AU26" s="155">
        <f>SUM(AU24:AU25)</f>
        <v>0.29506134187019484</v>
      </c>
      <c r="AV26" s="52">
        <f t="shared" ref="AV26:AY26" si="3">SUM(AV24:AV25)</f>
        <v>0.29506134187019484</v>
      </c>
      <c r="AW26" s="52">
        <f t="shared" si="3"/>
        <v>0.29506134187018063</v>
      </c>
      <c r="AX26" s="52">
        <f t="shared" si="3"/>
        <v>0.29506134187019484</v>
      </c>
      <c r="AY26" s="52">
        <f t="shared" si="3"/>
        <v>0.29506134187019484</v>
      </c>
      <c r="BA26" s="34" t="str">
        <f ca="1">$A$1</f>
        <v>ReturnAdj</v>
      </c>
      <c r="BB26" s="1" t="str">
        <f>$A$23</f>
        <v>Operational performance</v>
      </c>
    </row>
    <row r="27" spans="1:58" x14ac:dyDescent="0.35">
      <c r="BA27" s="34"/>
    </row>
    <row r="28" spans="1:58" x14ac:dyDescent="0.35">
      <c r="E28" t="s">
        <v>662</v>
      </c>
      <c r="G28" t="str">
        <f>price_label</f>
        <v>£m 23/24 prices</v>
      </c>
      <c r="I28" s="46">
        <f>SUM(AU26:AY26)/SUM(AU20:AY20)</f>
        <v>3.3131551936111818E-4</v>
      </c>
      <c r="BA28" s="34" t="str">
        <f ca="1">$A$1</f>
        <v>ReturnAdj</v>
      </c>
      <c r="BB28" s="1" t="str">
        <f>$A$23</f>
        <v>Operational performance</v>
      </c>
    </row>
    <row r="29" spans="1:58" x14ac:dyDescent="0.35">
      <c r="BA29" s="34"/>
    </row>
    <row r="30" spans="1:58" ht="20" thickBot="1" x14ac:dyDescent="0.5">
      <c r="A30" s="13" t="s">
        <v>663</v>
      </c>
      <c r="BA30" s="34"/>
    </row>
    <row r="31" spans="1:58" ht="18" thickTop="1" thickBot="1" x14ac:dyDescent="0.45">
      <c r="B31" s="15" t="s">
        <v>664</v>
      </c>
      <c r="BA31" s="34"/>
    </row>
    <row r="32" spans="1:58" ht="16.5" thickTop="1" x14ac:dyDescent="0.35">
      <c r="E32" t="s">
        <v>665</v>
      </c>
      <c r="G32" t="s">
        <v>236</v>
      </c>
      <c r="I32" s="12" t="b">
        <f>$I$28&gt;=0</f>
        <v>1</v>
      </c>
      <c r="BA32" s="34" t="str">
        <f ca="1">$A$1</f>
        <v>ReturnAdj</v>
      </c>
      <c r="BB32" s="1" t="str">
        <f>$A$30</f>
        <v>Return adjustment calculation</v>
      </c>
      <c r="BC32" s="1" t="str">
        <f>$B$31</f>
        <v>Postive operational performance</v>
      </c>
    </row>
    <row r="33" spans="2:58" x14ac:dyDescent="0.35">
      <c r="BA33" s="34"/>
    </row>
    <row r="34" spans="2:58" x14ac:dyDescent="0.35">
      <c r="E34" t="s">
        <v>666</v>
      </c>
      <c r="G34" t="str">
        <f>price_label</f>
        <v>£m 23/24 prices</v>
      </c>
      <c r="I34" s="46">
        <f>I32*MAX(MIN(I28,I15)-I14,0)*I16</f>
        <v>0</v>
      </c>
      <c r="BA34" s="34" t="str">
        <f ca="1">$A$1</f>
        <v>ReturnAdj</v>
      </c>
      <c r="BB34" s="1" t="str">
        <f>$A$30</f>
        <v>Return adjustment calculation</v>
      </c>
      <c r="BC34" s="1" t="str">
        <f>$B$31</f>
        <v>Postive operational performance</v>
      </c>
    </row>
    <row r="35" spans="2:58" x14ac:dyDescent="0.35">
      <c r="E35" t="s">
        <v>667</v>
      </c>
      <c r="G35" t="str">
        <f>price_label</f>
        <v>£m 23/24 prices</v>
      </c>
      <c r="I35" s="46">
        <f>I32*MAX(I28-I15,0)*I17</f>
        <v>0</v>
      </c>
      <c r="BA35" s="34" t="str">
        <f ca="1">$A$1</f>
        <v>ReturnAdj</v>
      </c>
      <c r="BB35" s="1" t="str">
        <f>$A$30</f>
        <v>Return adjustment calculation</v>
      </c>
      <c r="BC35" s="1" t="str">
        <f>$B$31</f>
        <v>Postive operational performance</v>
      </c>
    </row>
    <row r="36" spans="2:58" x14ac:dyDescent="0.35">
      <c r="BA36" s="34"/>
    </row>
    <row r="37" spans="2:58" ht="14.5" x14ac:dyDescent="0.35">
      <c r="E37" t="s">
        <v>668</v>
      </c>
      <c r="G37" t="str">
        <f>price_label</f>
        <v>£m 23/24 prices</v>
      </c>
      <c r="I37" s="12">
        <f>$I$21*-SUM(I34:I35)</f>
        <v>0</v>
      </c>
      <c r="BA37" s="34" t="str">
        <f ca="1">$A$1</f>
        <v>ReturnAdj</v>
      </c>
      <c r="BB37" s="1" t="str">
        <f>$A$30</f>
        <v>Return adjustment calculation</v>
      </c>
      <c r="BC37" s="1" t="str">
        <f>$B$31</f>
        <v>Postive operational performance</v>
      </c>
      <c r="BF37"/>
    </row>
    <row r="38" spans="2:58" x14ac:dyDescent="0.35">
      <c r="BA38" s="34"/>
    </row>
    <row r="39" spans="2:58" ht="17.5" thickBot="1" x14ac:dyDescent="0.45">
      <c r="B39" s="15" t="s">
        <v>669</v>
      </c>
      <c r="BA39" s="34"/>
    </row>
    <row r="40" spans="2:58" ht="16.5" thickTop="1" x14ac:dyDescent="0.35">
      <c r="E40" t="s">
        <v>670</v>
      </c>
      <c r="G40" t="s">
        <v>236</v>
      </c>
      <c r="I40" s="12" t="b">
        <f>$I$28&lt;0</f>
        <v>0</v>
      </c>
      <c r="BA40" s="34" t="str">
        <f ca="1">$A$1</f>
        <v>ReturnAdj</v>
      </c>
      <c r="BB40" s="1" t="str">
        <f>$A$30</f>
        <v>Return adjustment calculation</v>
      </c>
      <c r="BC40" s="1" t="str">
        <f>$B$39</f>
        <v>Negative operational performance</v>
      </c>
    </row>
    <row r="41" spans="2:58" x14ac:dyDescent="0.35">
      <c r="BA41" s="34"/>
    </row>
    <row r="42" spans="2:58" x14ac:dyDescent="0.35">
      <c r="E42" t="s">
        <v>666</v>
      </c>
      <c r="G42" t="str">
        <f>price_label</f>
        <v>£m 23/24 prices</v>
      </c>
      <c r="I42" s="46">
        <f>I40*MAX(MIN(-I28,I15)-I14,0)*I16</f>
        <v>0</v>
      </c>
      <c r="BA42" s="34" t="str">
        <f t="shared" ref="BA42:BA43" ca="1" si="4">$A$1</f>
        <v>ReturnAdj</v>
      </c>
      <c r="BB42" s="1" t="str">
        <f t="shared" ref="BB42:BB43" si="5">$A$30</f>
        <v>Return adjustment calculation</v>
      </c>
      <c r="BC42" s="1" t="str">
        <f t="shared" ref="BC42:BC43" si="6">$B$39</f>
        <v>Negative operational performance</v>
      </c>
    </row>
    <row r="43" spans="2:58" x14ac:dyDescent="0.35">
      <c r="E43" t="s">
        <v>667</v>
      </c>
      <c r="G43" t="str">
        <f>price_label</f>
        <v>£m 23/24 prices</v>
      </c>
      <c r="I43" s="46">
        <f>I40*MAX(-I28-I15,0)*I17</f>
        <v>0</v>
      </c>
      <c r="BA43" s="34" t="str">
        <f t="shared" ca="1" si="4"/>
        <v>ReturnAdj</v>
      </c>
      <c r="BB43" s="1" t="str">
        <f t="shared" si="5"/>
        <v>Return adjustment calculation</v>
      </c>
      <c r="BC43" s="1" t="str">
        <f t="shared" si="6"/>
        <v>Negative operational performance</v>
      </c>
    </row>
    <row r="44" spans="2:58" x14ac:dyDescent="0.35">
      <c r="BA44" s="34"/>
    </row>
    <row r="45" spans="2:58" x14ac:dyDescent="0.35">
      <c r="E45" t="s">
        <v>671</v>
      </c>
      <c r="G45" t="str">
        <f>price_label</f>
        <v>£m 23/24 prices</v>
      </c>
      <c r="I45" s="12">
        <f>$I$21*SUM(I42:I43)</f>
        <v>0</v>
      </c>
      <c r="BA45" s="34" t="str">
        <f ca="1">$A$1</f>
        <v>ReturnAdj</v>
      </c>
      <c r="BB45" s="1" t="str">
        <f>$A$30</f>
        <v>Return adjustment calculation</v>
      </c>
      <c r="BC45" s="1" t="str">
        <f>$B$39</f>
        <v>Negative operational performance</v>
      </c>
    </row>
    <row r="46" spans="2:58" x14ac:dyDescent="0.35">
      <c r="BA46" s="34"/>
    </row>
    <row r="47" spans="2:58" ht="17.5" thickBot="1" x14ac:dyDescent="0.45">
      <c r="B47" s="15" t="s">
        <v>672</v>
      </c>
      <c r="BA47" s="34"/>
    </row>
    <row r="48" spans="2:58" ht="16.5" thickTop="1" x14ac:dyDescent="0.35">
      <c r="E48" t="s">
        <v>673</v>
      </c>
      <c r="G48" t="str">
        <f>price_label</f>
        <v>£m 23/24 prices</v>
      </c>
      <c r="I48" s="12">
        <f>SUM(I37,I45)</f>
        <v>0</v>
      </c>
      <c r="BA48" s="34" t="str">
        <f ca="1">$A$1</f>
        <v>ReturnAdj</v>
      </c>
      <c r="BB48" s="1" t="str">
        <f>$A$30</f>
        <v>Return adjustment calculation</v>
      </c>
      <c r="BC48" s="1" t="str">
        <f>$B$47</f>
        <v>Annual return adjustment calculation</v>
      </c>
    </row>
    <row r="49" spans="1:58" x14ac:dyDescent="0.35">
      <c r="BA49" s="34"/>
    </row>
    <row r="50" spans="1:58" x14ac:dyDescent="0.35">
      <c r="E50" t="s">
        <v>674</v>
      </c>
      <c r="G50" t="str">
        <f>price_label</f>
        <v>£m 23/24 prices</v>
      </c>
      <c r="AU50" s="153">
        <f>AU20/$I$21</f>
        <v>0.20288739553094021</v>
      </c>
      <c r="AV50" s="46">
        <f>AV20/$I$21</f>
        <v>0.20203358536206362</v>
      </c>
      <c r="AW50" s="46">
        <f>AW20/$I$21</f>
        <v>0.20082968253744396</v>
      </c>
      <c r="AX50" s="46">
        <f>AX20/$I$21</f>
        <v>0.19870607205084226</v>
      </c>
      <c r="AY50" s="46">
        <f>AY20/$I$21</f>
        <v>0.19554326451870982</v>
      </c>
      <c r="BA50" s="34" t="str">
        <f ca="1">$A$1</f>
        <v>ReturnAdj</v>
      </c>
      <c r="BB50" s="1" t="str">
        <f>$A$30</f>
        <v>Return adjustment calculation</v>
      </c>
      <c r="BC50" s="1" t="str">
        <f>$B$47</f>
        <v>Annual return adjustment calculation</v>
      </c>
    </row>
    <row r="51" spans="1:58" x14ac:dyDescent="0.35">
      <c r="BA51" s="34"/>
    </row>
    <row r="52" spans="1:58" x14ac:dyDescent="0.35">
      <c r="E52" t="s">
        <v>375</v>
      </c>
      <c r="G52" t="str">
        <f>price_label</f>
        <v>£m 23/24 prices</v>
      </c>
      <c r="AU52" s="152">
        <f>$I$48*AU50</f>
        <v>0</v>
      </c>
      <c r="AV52" s="12">
        <f t="shared" ref="AV52:AY52" si="7">$I$48*AV50</f>
        <v>0</v>
      </c>
      <c r="AW52" s="12">
        <f t="shared" si="7"/>
        <v>0</v>
      </c>
      <c r="AX52" s="12">
        <f t="shared" si="7"/>
        <v>0</v>
      </c>
      <c r="AY52" s="12">
        <f t="shared" si="7"/>
        <v>0</v>
      </c>
      <c r="BA52" s="34" t="str">
        <f ca="1">$A$1</f>
        <v>ReturnAdj</v>
      </c>
      <c r="BB52" s="1" t="str">
        <f>$A$30</f>
        <v>Return adjustment calculation</v>
      </c>
      <c r="BC52" s="1" t="str">
        <f>$B$47</f>
        <v>Annual return adjustment calculation</v>
      </c>
    </row>
    <row r="53" spans="1:58" x14ac:dyDescent="0.35">
      <c r="BA53" s="34"/>
    </row>
    <row r="54" spans="1:58" ht="20" thickBot="1" x14ac:dyDescent="0.5">
      <c r="A54" s="13" t="s">
        <v>675</v>
      </c>
      <c r="BA54" s="34"/>
    </row>
    <row r="55" spans="1:58" ht="16.5" thickTop="1" x14ac:dyDescent="0.35">
      <c r="BA55" s="34"/>
    </row>
    <row r="56" spans="1:58" x14ac:dyDescent="0.35">
      <c r="E56" t="s">
        <v>660</v>
      </c>
      <c r="G56" t="str">
        <f>price_label</f>
        <v>£m 23/24 prices</v>
      </c>
      <c r="AU56" s="154">
        <f>AU26</f>
        <v>0.29506134187019484</v>
      </c>
      <c r="AV56" s="27">
        <f>AV26</f>
        <v>0.29506134187019484</v>
      </c>
      <c r="AW56" s="27">
        <f>AW26</f>
        <v>0.29506134187018063</v>
      </c>
      <c r="AX56" s="27">
        <f>AX26</f>
        <v>0.29506134187019484</v>
      </c>
      <c r="AY56" s="27">
        <f>AY26</f>
        <v>0.29506134187019484</v>
      </c>
      <c r="BA56" s="34" t="str">
        <f ca="1">$A$1</f>
        <v>ReturnAdj</v>
      </c>
      <c r="BB56" s="1" t="str">
        <f>$A$54</f>
        <v>Outperformance after return adjustment (FYI only)</v>
      </c>
    </row>
    <row r="57" spans="1:58" x14ac:dyDescent="0.35">
      <c r="E57" t="s">
        <v>375</v>
      </c>
      <c r="G57" t="str">
        <f>price_label</f>
        <v>£m 23/24 prices</v>
      </c>
      <c r="AU57" s="154">
        <f>AU52</f>
        <v>0</v>
      </c>
      <c r="AV57" s="27">
        <f t="shared" ref="AV57:AY57" si="8">AV52</f>
        <v>0</v>
      </c>
      <c r="AW57" s="27">
        <f t="shared" si="8"/>
        <v>0</v>
      </c>
      <c r="AX57" s="27">
        <f t="shared" si="8"/>
        <v>0</v>
      </c>
      <c r="AY57" s="27">
        <f t="shared" si="8"/>
        <v>0</v>
      </c>
      <c r="BA57" s="34" t="str">
        <f ca="1">$A$1</f>
        <v>ReturnAdj</v>
      </c>
      <c r="BB57" s="1" t="str">
        <f>$A$54</f>
        <v>Outperformance after return adjustment (FYI only)</v>
      </c>
    </row>
    <row r="58" spans="1:58" x14ac:dyDescent="0.35">
      <c r="E58" t="s">
        <v>676</v>
      </c>
      <c r="G58" t="str">
        <f>price_label</f>
        <v>£m 23/24 prices</v>
      </c>
      <c r="AU58" s="155">
        <f>SUM(AU56:AU57)</f>
        <v>0.29506134187019484</v>
      </c>
      <c r="AV58" s="52">
        <f t="shared" ref="AV58:AY58" si="9">SUM(AV56:AV57)</f>
        <v>0.29506134187019484</v>
      </c>
      <c r="AW58" s="52">
        <f t="shared" si="9"/>
        <v>0.29506134187018063</v>
      </c>
      <c r="AX58" s="52">
        <f t="shared" si="9"/>
        <v>0.29506134187019484</v>
      </c>
      <c r="AY58" s="52">
        <f t="shared" si="9"/>
        <v>0.29506134187019484</v>
      </c>
      <c r="BA58" s="34" t="str">
        <f ca="1">$A$1</f>
        <v>ReturnAdj</v>
      </c>
      <c r="BB58" s="1" t="str">
        <f>$A$54</f>
        <v>Outperformance after return adjustment (FYI only)</v>
      </c>
    </row>
    <row r="59" spans="1:58" x14ac:dyDescent="0.35">
      <c r="BA59" s="34"/>
    </row>
    <row r="60" spans="1:58" x14ac:dyDescent="0.35">
      <c r="E60" t="s">
        <v>662</v>
      </c>
      <c r="G60" t="str">
        <f>price_label</f>
        <v>£m 23/24 prices</v>
      </c>
      <c r="I60" s="46">
        <f>SUM(AU56:AY56)/$I$21</f>
        <v>3.3131551936111818E-4</v>
      </c>
      <c r="BA60" s="34" t="str">
        <f t="shared" ref="BA60:BA62" ca="1" si="10">$A$1</f>
        <v>ReturnAdj</v>
      </c>
      <c r="BB60" s="1" t="str">
        <f t="shared" ref="BB60:BB62" si="11">$A$54</f>
        <v>Outperformance after return adjustment (FYI only)</v>
      </c>
    </row>
    <row r="61" spans="1:58" x14ac:dyDescent="0.35">
      <c r="E61" t="s">
        <v>673</v>
      </c>
      <c r="G61" t="str">
        <f>price_label</f>
        <v>£m 23/24 prices</v>
      </c>
      <c r="I61" s="46">
        <f>SUM(AU57:AY57)/$I$21</f>
        <v>0</v>
      </c>
      <c r="BA61" s="34" t="str">
        <f t="shared" ca="1" si="10"/>
        <v>ReturnAdj</v>
      </c>
      <c r="BB61" s="1" t="str">
        <f t="shared" si="11"/>
        <v>Outperformance after return adjustment (FYI only)</v>
      </c>
    </row>
    <row r="62" spans="1:58" x14ac:dyDescent="0.35">
      <c r="E62" t="s">
        <v>677</v>
      </c>
      <c r="G62" t="str">
        <f>price_label</f>
        <v>£m 23/24 prices</v>
      </c>
      <c r="I62" s="46">
        <f>SUM(I60:I61)</f>
        <v>3.3131551936111818E-4</v>
      </c>
      <c r="BA62" s="34" t="str">
        <f t="shared" ca="1" si="10"/>
        <v>ReturnAdj</v>
      </c>
      <c r="BB62" s="1" t="str">
        <f t="shared" si="11"/>
        <v>Outperformance after return adjustment (FYI only)</v>
      </c>
    </row>
    <row r="63" spans="1:58" x14ac:dyDescent="0.35">
      <c r="BA63" s="34"/>
    </row>
    <row r="64" spans="1:58" s="1" customFormat="1" ht="20" thickBot="1" x14ac:dyDescent="0.5">
      <c r="A64" s="13" t="s">
        <v>386</v>
      </c>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s="61"/>
      <c r="AU64"/>
      <c r="AV64"/>
      <c r="AW64"/>
      <c r="AX64"/>
      <c r="AY64"/>
      <c r="AZ64"/>
      <c r="BD64"/>
      <c r="BE64"/>
      <c r="BF64" s="6"/>
    </row>
    <row r="65" spans="1:58" s="1" customFormat="1" ht="16.5" thickTop="1" x14ac:dyDescent="0.3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s="61"/>
      <c r="AU65"/>
      <c r="AV65"/>
      <c r="AW65"/>
      <c r="AX65"/>
      <c r="AY65"/>
      <c r="AZ65"/>
      <c r="BA65" s="34"/>
      <c r="BD65"/>
      <c r="BE65"/>
      <c r="BF65" s="6"/>
    </row>
    <row r="66" spans="1:58" s="1" customFormat="1" x14ac:dyDescent="0.35">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s="61"/>
      <c r="AU66"/>
      <c r="AV66"/>
      <c r="AW66"/>
      <c r="AX66"/>
      <c r="AY66"/>
      <c r="AZ66"/>
      <c r="BA66" s="34"/>
      <c r="BD66"/>
      <c r="BE66"/>
      <c r="BF66" s="6"/>
    </row>
    <row r="67" spans="1:58" s="1" customFormat="1" hidden="1" x14ac:dyDescent="0.3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s="61"/>
      <c r="AU67"/>
      <c r="AV67"/>
      <c r="AW67"/>
      <c r="AX67"/>
      <c r="AY67"/>
      <c r="AZ67"/>
      <c r="BA67" s="34"/>
      <c r="BD67"/>
      <c r="BE67"/>
      <c r="BF67" s="6"/>
    </row>
    <row r="68" spans="1:58" s="1" customFormat="1" hidden="1" x14ac:dyDescent="0.35">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s="61"/>
      <c r="AU68"/>
      <c r="AV68"/>
      <c r="AW68"/>
      <c r="AX68"/>
      <c r="AY68"/>
      <c r="AZ68"/>
      <c r="BA68" s="34"/>
      <c r="BD68"/>
      <c r="BE68"/>
      <c r="BF68" s="6"/>
    </row>
    <row r="69" spans="1:58" s="1" customFormat="1" hidden="1" x14ac:dyDescent="0.35">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s="61"/>
      <c r="AU69"/>
      <c r="AV69"/>
      <c r="AW69"/>
      <c r="AX69"/>
      <c r="AY69"/>
      <c r="AZ69"/>
      <c r="BA69" s="34"/>
      <c r="BD69"/>
      <c r="BE69"/>
      <c r="BF69" s="6"/>
    </row>
    <row r="70" spans="1:58" s="1" customFormat="1" hidden="1" x14ac:dyDescent="0.35">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s="61"/>
      <c r="AU70"/>
      <c r="AV70"/>
      <c r="AW70"/>
      <c r="AX70"/>
      <c r="AY70"/>
      <c r="AZ70"/>
      <c r="BA70" s="34"/>
      <c r="BD70"/>
      <c r="BE70"/>
      <c r="BF70" s="6"/>
    </row>
    <row r="71" spans="1:58" s="1" customFormat="1" hidden="1" x14ac:dyDescent="0.35">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s="61"/>
      <c r="AU71"/>
      <c r="AV71"/>
      <c r="AW71"/>
      <c r="AX71"/>
      <c r="AY71"/>
      <c r="AZ71"/>
      <c r="BA71" s="34"/>
      <c r="BD71"/>
      <c r="BE71"/>
      <c r="BF71" s="6"/>
    </row>
    <row r="72" spans="1:58" s="1" customFormat="1" hidden="1" x14ac:dyDescent="0.35">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s="61"/>
      <c r="AU72"/>
      <c r="AV72"/>
      <c r="AW72"/>
      <c r="AX72"/>
      <c r="AY72"/>
      <c r="AZ72"/>
      <c r="BA72" s="34"/>
      <c r="BD72"/>
      <c r="BE72"/>
      <c r="BF72" s="6"/>
    </row>
    <row r="73" spans="1:58" s="1" customFormat="1" hidden="1" x14ac:dyDescent="0.35">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s="61"/>
      <c r="AU73"/>
      <c r="AV73"/>
      <c r="AW73"/>
      <c r="AX73"/>
      <c r="AY73"/>
      <c r="AZ73"/>
      <c r="BA73" s="34"/>
      <c r="BD73"/>
      <c r="BE73"/>
      <c r="BF73" s="6"/>
    </row>
    <row r="74" spans="1:58" s="1" customFormat="1" hidden="1" x14ac:dyDescent="0.35">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s="61"/>
      <c r="AU74"/>
      <c r="AV74"/>
      <c r="AW74"/>
      <c r="AX74"/>
      <c r="AY74"/>
      <c r="AZ74"/>
      <c r="BA74" s="34"/>
      <c r="BD74"/>
      <c r="BE74"/>
      <c r="BF74" s="6"/>
    </row>
    <row r="75" spans="1:58" s="1" customFormat="1" hidden="1" x14ac:dyDescent="0.35">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s="61"/>
      <c r="AU75"/>
      <c r="AV75"/>
      <c r="AW75"/>
      <c r="AX75"/>
      <c r="AY75"/>
      <c r="AZ75"/>
      <c r="BD75"/>
      <c r="BE75"/>
      <c r="BF75" s="6"/>
    </row>
    <row r="76" spans="1:58" s="1" customFormat="1" hidden="1" x14ac:dyDescent="0.35">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s="61"/>
      <c r="AU76"/>
      <c r="AV76"/>
      <c r="AW76"/>
      <c r="AX76"/>
      <c r="AY76"/>
      <c r="AZ76"/>
      <c r="BA76" s="34"/>
      <c r="BD76"/>
      <c r="BE76"/>
      <c r="BF76" s="6"/>
    </row>
    <row r="77" spans="1:58" s="1" customFormat="1" hidden="1" x14ac:dyDescent="0.35">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s="61"/>
      <c r="AU77"/>
      <c r="AV77"/>
      <c r="AW77"/>
      <c r="AX77"/>
      <c r="AY77"/>
      <c r="AZ77"/>
      <c r="BA77" s="34"/>
      <c r="BD77"/>
      <c r="BE77"/>
      <c r="BF77" s="6"/>
    </row>
    <row r="78" spans="1:58" s="1" customFormat="1" hidden="1" x14ac:dyDescent="0.35">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s="61"/>
      <c r="AU78"/>
      <c r="AV78"/>
      <c r="AW78"/>
      <c r="AX78"/>
      <c r="AY78"/>
      <c r="AZ78"/>
      <c r="BA78" s="34"/>
      <c r="BD78"/>
      <c r="BE78"/>
      <c r="BF78" s="6"/>
    </row>
    <row r="79" spans="1:58" s="1" customFormat="1" hidden="1" x14ac:dyDescent="0.35">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s="61"/>
      <c r="AU79"/>
      <c r="AV79"/>
      <c r="AW79"/>
      <c r="AX79"/>
      <c r="AY79"/>
      <c r="AZ79"/>
      <c r="BA79" s="34"/>
      <c r="BD79"/>
      <c r="BE79"/>
      <c r="BF79" s="6"/>
    </row>
    <row r="80" spans="1:58" s="1" customFormat="1" hidden="1" x14ac:dyDescent="0.35">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s="61"/>
      <c r="AU80"/>
      <c r="AV80"/>
      <c r="AW80"/>
      <c r="AX80"/>
      <c r="AY80"/>
      <c r="AZ80"/>
      <c r="BA80" s="34"/>
      <c r="BD80"/>
      <c r="BE80"/>
      <c r="BF80" s="6"/>
    </row>
    <row r="81" spans="1:58" s="1" customFormat="1" hidden="1" x14ac:dyDescent="0.35">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s="61"/>
      <c r="AU81"/>
      <c r="AV81"/>
      <c r="AW81"/>
      <c r="AX81"/>
      <c r="AY81"/>
      <c r="AZ81"/>
      <c r="BA81" s="34"/>
      <c r="BD81"/>
      <c r="BE81"/>
      <c r="BF81" s="6"/>
    </row>
    <row r="82" spans="1:58" s="1" customFormat="1" hidden="1" x14ac:dyDescent="0.35">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s="61"/>
      <c r="AU82"/>
      <c r="AV82"/>
      <c r="AW82"/>
      <c r="AX82"/>
      <c r="AY82"/>
      <c r="AZ82"/>
      <c r="BA82" s="34"/>
      <c r="BD82"/>
      <c r="BE82"/>
      <c r="BF82" s="6"/>
    </row>
    <row r="83" spans="1:58" s="1" customFormat="1" hidden="1" x14ac:dyDescent="0.35">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s="61"/>
      <c r="AU83"/>
      <c r="AV83"/>
      <c r="AW83"/>
      <c r="AX83"/>
      <c r="AY83"/>
      <c r="AZ83"/>
      <c r="BA83" s="34"/>
      <c r="BD83"/>
      <c r="BE83"/>
      <c r="BF83" s="6"/>
    </row>
    <row r="84" spans="1:58" s="1" customFormat="1" hidden="1" x14ac:dyDescent="0.35">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s="61"/>
      <c r="AU84"/>
      <c r="AV84"/>
      <c r="AW84"/>
      <c r="AX84"/>
      <c r="AY84"/>
      <c r="AZ84"/>
      <c r="BA84" s="34"/>
      <c r="BD84"/>
      <c r="BE84"/>
      <c r="BF84" s="6"/>
    </row>
    <row r="85" spans="1:58" s="1" customFormat="1" hidden="1" x14ac:dyDescent="0.35">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s="61"/>
      <c r="AU85"/>
      <c r="AV85"/>
      <c r="AW85"/>
      <c r="AX85"/>
      <c r="AY85"/>
      <c r="AZ85"/>
      <c r="BA85" s="34"/>
      <c r="BD85"/>
      <c r="BE85"/>
      <c r="BF85" s="6"/>
    </row>
    <row r="86" spans="1:58" s="1" customFormat="1" hidden="1" x14ac:dyDescent="0.3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s="61"/>
      <c r="AU86"/>
      <c r="AV86"/>
      <c r="AW86"/>
      <c r="AX86"/>
      <c r="AY86"/>
      <c r="AZ86"/>
      <c r="BA86" s="34"/>
      <c r="BD86"/>
      <c r="BE86"/>
      <c r="BF86" s="6"/>
    </row>
    <row r="87" spans="1:58" s="1" customFormat="1" hidden="1" x14ac:dyDescent="0.3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s="61"/>
      <c r="AU87"/>
      <c r="AV87"/>
      <c r="AW87"/>
      <c r="AX87"/>
      <c r="AY87"/>
      <c r="AZ87"/>
      <c r="BA87" s="34"/>
      <c r="BD87"/>
      <c r="BE87"/>
      <c r="BF87" s="6"/>
    </row>
    <row r="88" spans="1:58" s="1" customFormat="1" hidden="1" x14ac:dyDescent="0.3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s="61"/>
      <c r="AU88"/>
      <c r="AV88"/>
      <c r="AW88"/>
      <c r="AX88"/>
      <c r="AY88"/>
      <c r="AZ88"/>
      <c r="BA88" s="34"/>
      <c r="BD88"/>
      <c r="BE88"/>
      <c r="BF88" s="6"/>
    </row>
    <row r="89" spans="1:58" s="1" customFormat="1" hidden="1" x14ac:dyDescent="0.35">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s="61"/>
      <c r="AU89"/>
      <c r="AV89"/>
      <c r="AW89"/>
      <c r="AX89"/>
      <c r="AY89"/>
      <c r="AZ89"/>
      <c r="BA89" s="34"/>
      <c r="BD89"/>
      <c r="BE89"/>
      <c r="BF89" s="6"/>
    </row>
    <row r="90" spans="1:58" s="1" customFormat="1" hidden="1" x14ac:dyDescent="0.35">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s="61"/>
      <c r="AU90"/>
      <c r="AV90"/>
      <c r="AW90"/>
      <c r="AX90"/>
      <c r="AY90"/>
      <c r="AZ90"/>
      <c r="BA90" s="34"/>
      <c r="BD90"/>
      <c r="BE90"/>
      <c r="BF90" s="6"/>
    </row>
    <row r="91" spans="1:58" s="1" customFormat="1" hidden="1" x14ac:dyDescent="0.35">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s="61"/>
      <c r="AU91"/>
      <c r="AV91"/>
      <c r="AW91"/>
      <c r="AX91"/>
      <c r="AY91"/>
      <c r="AZ91"/>
      <c r="BA91" s="34"/>
      <c r="BD91"/>
      <c r="BE91"/>
      <c r="BF91" s="6"/>
    </row>
    <row r="92" spans="1:58" s="1" customFormat="1" hidden="1" x14ac:dyDescent="0.35">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s="61"/>
      <c r="AU92"/>
      <c r="AV92"/>
      <c r="AW92"/>
      <c r="AX92"/>
      <c r="AY92"/>
      <c r="AZ92"/>
      <c r="BA92" s="34"/>
      <c r="BD92"/>
      <c r="BE92"/>
      <c r="BF92" s="6"/>
    </row>
    <row r="93" spans="1:58" s="1" customFormat="1" hidden="1" x14ac:dyDescent="0.35">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s="61"/>
      <c r="AU93"/>
      <c r="AV93"/>
      <c r="AW93"/>
      <c r="AX93"/>
      <c r="AY93"/>
      <c r="AZ93"/>
      <c r="BA93" s="34"/>
      <c r="BD93"/>
      <c r="BE93"/>
      <c r="BF93" s="6"/>
    </row>
    <row r="94" spans="1:58" s="1" customFormat="1" hidden="1" x14ac:dyDescent="0.35">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s="61"/>
      <c r="AU94"/>
      <c r="AV94"/>
      <c r="AW94"/>
      <c r="AX94"/>
      <c r="AY94"/>
      <c r="AZ94"/>
      <c r="BA94" s="34"/>
      <c r="BD94"/>
      <c r="BE94"/>
      <c r="BF94" s="6"/>
    </row>
    <row r="95" spans="1:58" s="1" customFormat="1" hidden="1" x14ac:dyDescent="0.35">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s="61"/>
      <c r="AU95"/>
      <c r="AV95"/>
      <c r="AW95"/>
      <c r="AX95"/>
      <c r="AY95"/>
      <c r="AZ95"/>
      <c r="BA95" s="34"/>
      <c r="BD95"/>
      <c r="BE95"/>
      <c r="BF95" s="6"/>
    </row>
    <row r="96" spans="1:58" s="1" customFormat="1" hidden="1" x14ac:dyDescent="0.35">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s="61"/>
      <c r="AU96"/>
      <c r="AV96"/>
      <c r="AW96"/>
      <c r="AX96"/>
      <c r="AY96"/>
      <c r="AZ96"/>
      <c r="BA96" s="34"/>
      <c r="BD96"/>
      <c r="BE96"/>
      <c r="BF96" s="6"/>
    </row>
    <row r="97" spans="1:58" s="1" customFormat="1" hidden="1" x14ac:dyDescent="0.35">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s="61"/>
      <c r="AU97"/>
      <c r="AV97"/>
      <c r="AW97"/>
      <c r="AX97"/>
      <c r="AY97"/>
      <c r="AZ97"/>
      <c r="BA97" s="34"/>
      <c r="BD97"/>
      <c r="BE97"/>
      <c r="BF97" s="6"/>
    </row>
    <row r="98" spans="1:58" s="1" customFormat="1" hidden="1" x14ac:dyDescent="0.35">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s="61"/>
      <c r="AU98"/>
      <c r="AV98"/>
      <c r="AW98"/>
      <c r="AX98"/>
      <c r="AY98"/>
      <c r="AZ98"/>
      <c r="BD98"/>
      <c r="BE98"/>
      <c r="BF98" s="6"/>
    </row>
    <row r="99" spans="1:58" s="1" customFormat="1" hidden="1" x14ac:dyDescent="0.35">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s="61"/>
      <c r="AU99"/>
      <c r="AV99"/>
      <c r="AW99"/>
      <c r="AX99"/>
      <c r="AY99"/>
      <c r="AZ99"/>
      <c r="BD99"/>
      <c r="BE99"/>
      <c r="BF99" s="6"/>
    </row>
    <row r="100" spans="1:58" s="1" customFormat="1" hidden="1" x14ac:dyDescent="0.35">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s="61"/>
      <c r="AU100"/>
      <c r="AV100"/>
      <c r="AW100"/>
      <c r="AX100"/>
      <c r="AY100"/>
      <c r="AZ100"/>
      <c r="BD100"/>
      <c r="BE100"/>
      <c r="BF100" s="6"/>
    </row>
    <row r="101" spans="1:58" s="1" customFormat="1" hidden="1" x14ac:dyDescent="0.35">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s="61"/>
      <c r="AU101"/>
      <c r="AV101"/>
      <c r="AW101"/>
      <c r="AX101"/>
      <c r="AY101"/>
      <c r="AZ101"/>
      <c r="BD101"/>
      <c r="BE101"/>
      <c r="BF101" s="6"/>
    </row>
  </sheetData>
  <conditionalFormatting sqref="H1">
    <cfRule type="cellIs" dxfId="4" priority="1" operator="equal">
      <formula>"ERROR"</formula>
    </cfRule>
  </conditionalFormatting>
  <pageMargins left="0.7" right="0.7" top="0.75" bottom="0.75" header="0.3" footer="0.3"/>
  <pageSetup paperSize="9" orientation="portrait" r:id="rId1"/>
  <headerFooter>
    <oddHeader>&amp;L&amp;"Aptos"&amp;10&amp;K000000 Classified as Internal&amp;1#_x000D_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BF412-EC37-493C-87C2-19E13781437C}">
  <sheetPr codeName="Sheet11">
    <tabColor rgb="FFBAA0CC"/>
    <pageSetUpPr autoPageBreaks="0"/>
  </sheetPr>
  <dimension ref="A1:BN31"/>
  <sheetViews>
    <sheetView zoomScaleNormal="100" workbookViewId="0">
      <pane xSplit="46" ySplit="4" topLeftCell="AU5" activePane="bottomRight" state="frozen"/>
      <selection pane="topRight" activeCell="AU1" sqref="AU1"/>
      <selection pane="bottomLeft" activeCell="A5" sqref="A5"/>
      <selection pane="bottomRight" activeCell="AU10" sqref="AU10"/>
    </sheetView>
  </sheetViews>
  <sheetFormatPr defaultColWidth="0" defaultRowHeight="16" zeroHeight="1" outlineLevelCol="1" x14ac:dyDescent="0.35"/>
  <cols>
    <col min="1" max="3" width="1.90625" customWidth="1"/>
    <col min="4" max="4" width="15.6328125" customWidth="1"/>
    <col min="5" max="5" width="65.6328125" customWidth="1"/>
    <col min="6" max="6" width="8.6328125" customWidth="1"/>
    <col min="7" max="7" width="17.6328125" customWidth="1"/>
    <col min="8" max="8" width="9.6328125" customWidth="1"/>
    <col min="9" max="9" width="11.6328125" customWidth="1"/>
    <col min="10" max="10" width="2.08984375" customWidth="1"/>
    <col min="11" max="45" width="11.6328125" hidden="1" customWidth="1" outlineLevel="1"/>
    <col min="46" max="46" width="11.6328125" style="61" hidden="1" customWidth="1" outlineLevel="1"/>
    <col min="47" max="47" width="11.6328125" customWidth="1" collapsed="1"/>
    <col min="48" max="51" width="11.6328125" customWidth="1"/>
    <col min="52" max="52" width="18.6328125" customWidth="1"/>
    <col min="53" max="54" width="10.6328125" style="1" customWidth="1"/>
    <col min="55" max="57" width="10.6328125" customWidth="1"/>
    <col min="58" max="58" width="1.6328125" customWidth="1"/>
    <col min="59" max="65" width="10.6328125" customWidth="1"/>
    <col min="66" max="66" width="1.6328125" style="6" customWidth="1"/>
    <col min="67" max="16384" width="9.08984375" hidden="1"/>
  </cols>
  <sheetData>
    <row r="1" spans="1:66" s="90" customFormat="1" x14ac:dyDescent="0.35">
      <c r="A1" s="95" t="str" cm="1">
        <f t="array" aca="1" ref="A1" ca="1">MID(CELL("filename",$A$1),FIND("]",CELL("filename",$A$1))+1,255)</f>
        <v>Revenue</v>
      </c>
      <c r="E1" s="107"/>
      <c r="G1" s="90" t="s">
        <v>572</v>
      </c>
      <c r="H1" s="27" t="e">
        <f>Checks!I7</f>
        <v>#REF!</v>
      </c>
      <c r="AT1" s="96"/>
      <c r="BA1" s="92"/>
      <c r="BB1" s="92"/>
    </row>
    <row r="2" spans="1:66" s="90" customFormat="1" ht="15" customHeight="1" x14ac:dyDescent="0.35">
      <c r="AT2" s="96"/>
      <c r="BA2" s="92"/>
      <c r="BB2" s="92"/>
    </row>
    <row r="3" spans="1:66" s="90" customFormat="1" ht="15" customHeight="1" x14ac:dyDescent="0.35">
      <c r="E3" s="90" t="s">
        <v>1</v>
      </c>
      <c r="F3" s="90" t="s">
        <v>2</v>
      </c>
      <c r="G3" s="90" t="s">
        <v>3</v>
      </c>
      <c r="H3" s="90" t="s">
        <v>4</v>
      </c>
      <c r="I3" s="90" t="s">
        <v>5</v>
      </c>
      <c r="AT3" s="96"/>
      <c r="AU3" s="90" t="s">
        <v>6</v>
      </c>
      <c r="BA3" s="92"/>
      <c r="BB3" s="92"/>
    </row>
    <row r="4" spans="1:66" s="90" customFormat="1" ht="15" customHeight="1" x14ac:dyDescent="0.35">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92" t="s">
        <v>591</v>
      </c>
      <c r="BB4" s="92" t="s">
        <v>592</v>
      </c>
    </row>
    <row r="5" spans="1:66" x14ac:dyDescent="0.35">
      <c r="AP5" s="1"/>
      <c r="AQ5" s="1"/>
      <c r="AR5" s="1"/>
      <c r="AS5" s="1"/>
      <c r="AT5" s="71"/>
    </row>
    <row r="6" spans="1:66" ht="20" thickBot="1" x14ac:dyDescent="0.5">
      <c r="A6" s="13" t="s">
        <v>373</v>
      </c>
    </row>
    <row r="7" spans="1:66" ht="16.5" thickTop="1" x14ac:dyDescent="0.35">
      <c r="BI7" s="102"/>
      <c r="BJ7" s="102"/>
    </row>
    <row r="8" spans="1:66" ht="14.5" x14ac:dyDescent="0.35">
      <c r="E8" t="s">
        <v>429</v>
      </c>
      <c r="G8" t="str">
        <f t="shared" ref="G8:G27" si="0">price_label</f>
        <v>£m 23/24 prices</v>
      </c>
      <c r="AU8" s="329">
        <f>TIM!AU65</f>
        <v>119.59425111938977</v>
      </c>
      <c r="AV8" s="27">
        <f>TIM!AV65</f>
        <v>124.08625823998067</v>
      </c>
      <c r="AW8" s="27">
        <f>TIM!AW65</f>
        <v>125.8112265340044</v>
      </c>
      <c r="AX8" s="27">
        <f>TIM!AX65</f>
        <v>116.32835165024716</v>
      </c>
      <c r="AY8" s="27">
        <f>TIM!AY65</f>
        <v>109.25807502964504</v>
      </c>
      <c r="BA8" s="34" t="str">
        <f ca="1">$A$1</f>
        <v>Revenue</v>
      </c>
      <c r="BB8" s="34" t="str">
        <f>$A$6</f>
        <v>Revenue</v>
      </c>
      <c r="BD8" s="80"/>
      <c r="BE8" s="112"/>
      <c r="BF8" s="80"/>
      <c r="BG8" s="80"/>
      <c r="BH8" s="80"/>
      <c r="BI8" s="101"/>
      <c r="BJ8" s="101"/>
      <c r="BK8" s="101"/>
      <c r="BL8" s="101"/>
      <c r="BM8" s="101"/>
      <c r="BN8" s="100"/>
    </row>
    <row r="9" spans="1:66" ht="14.5" x14ac:dyDescent="0.35">
      <c r="E9" t="s">
        <v>293</v>
      </c>
      <c r="G9" t="str">
        <f t="shared" si="0"/>
        <v>£m 23/24 prices</v>
      </c>
      <c r="AU9" s="329">
        <f>-'Return&amp;RAV'!AU36</f>
        <v>129.64007538013354</v>
      </c>
      <c r="AV9" s="27">
        <f>-'Return&amp;RAV'!AV36</f>
        <v>136.31432983439529</v>
      </c>
      <c r="AW9" s="27">
        <f>-'Return&amp;RAV'!AW36</f>
        <v>143.62895686890025</v>
      </c>
      <c r="AX9" s="27">
        <f>-'Return&amp;RAV'!AX36</f>
        <v>150.71327870817478</v>
      </c>
      <c r="AY9" s="27">
        <f>-'Return&amp;RAV'!AY36</f>
        <v>157.34535037461066</v>
      </c>
      <c r="BA9" s="34" t="str">
        <f t="shared" ref="BA9:BA27" ca="1" si="1">$A$1</f>
        <v>Revenue</v>
      </c>
      <c r="BB9" s="34" t="str">
        <f t="shared" ref="BB9:BB27" si="2">$A$6</f>
        <v>Revenue</v>
      </c>
      <c r="BD9" s="80"/>
      <c r="BE9" s="112"/>
      <c r="BF9" s="80"/>
      <c r="BG9" s="80"/>
      <c r="BH9" s="80"/>
      <c r="BI9" s="101"/>
      <c r="BJ9" s="101"/>
      <c r="BK9" s="101"/>
      <c r="BL9" s="101"/>
      <c r="BM9" s="101"/>
      <c r="BN9" s="100"/>
    </row>
    <row r="10" spans="1:66" ht="14.5" x14ac:dyDescent="0.35">
      <c r="E10" t="s">
        <v>431</v>
      </c>
      <c r="G10" t="str">
        <f t="shared" si="0"/>
        <v>£m 23/24 prices</v>
      </c>
      <c r="AU10" s="329">
        <f>'Return&amp;RAV'!AU52</f>
        <v>117.39482078396843</v>
      </c>
      <c r="AV10" s="27">
        <f>'Return&amp;RAV'!AV52</f>
        <v>118.13339786838579</v>
      </c>
      <c r="AW10" s="27">
        <f>'Return&amp;RAV'!AW52</f>
        <v>118.51857362514889</v>
      </c>
      <c r="AX10" s="27">
        <f>'Return&amp;RAV'!AX52</f>
        <v>118.74704593934203</v>
      </c>
      <c r="AY10" s="27">
        <f>'Return&amp;RAV'!AY52</f>
        <v>118.44762968070761</v>
      </c>
      <c r="BA10" s="34" t="str">
        <f t="shared" ca="1" si="1"/>
        <v>Revenue</v>
      </c>
      <c r="BB10" s="34" t="str">
        <f t="shared" si="2"/>
        <v>Revenue</v>
      </c>
      <c r="BD10" s="80"/>
      <c r="BE10" s="112"/>
      <c r="BF10" s="80"/>
      <c r="BG10" s="80"/>
      <c r="BH10" s="80"/>
      <c r="BI10" s="105"/>
      <c r="BJ10" s="101"/>
      <c r="BK10" s="101"/>
      <c r="BL10" s="101"/>
      <c r="BM10" s="101"/>
      <c r="BN10" s="100"/>
    </row>
    <row r="11" spans="1:66" ht="14.5" x14ac:dyDescent="0.35">
      <c r="E11" t="s">
        <v>244</v>
      </c>
      <c r="G11" t="str">
        <f t="shared" si="0"/>
        <v>£m 23/24 prices</v>
      </c>
      <c r="AU11" s="329">
        <f>Transform!AU81</f>
        <v>88.217121756009078</v>
      </c>
      <c r="AV11" s="27">
        <f>Transform!AV81</f>
        <v>93.899136140797623</v>
      </c>
      <c r="AW11" s="27">
        <f>Transform!AW81</f>
        <v>94.420567416011451</v>
      </c>
      <c r="AX11" s="27">
        <f>Transform!AX81</f>
        <v>95.604557557967112</v>
      </c>
      <c r="AY11" s="27">
        <f>Transform!AY81</f>
        <v>95.366089830296715</v>
      </c>
      <c r="BA11" s="34" t="str">
        <f t="shared" ca="1" si="1"/>
        <v>Revenue</v>
      </c>
      <c r="BB11" s="34" t="str">
        <f t="shared" si="2"/>
        <v>Revenue</v>
      </c>
      <c r="BD11" s="80"/>
      <c r="BE11" s="112"/>
      <c r="BF11" s="80"/>
      <c r="BG11" s="80"/>
      <c r="BH11" s="80"/>
      <c r="BI11" s="101"/>
      <c r="BJ11" s="101"/>
      <c r="BK11" s="101"/>
      <c r="BL11" s="101"/>
      <c r="BM11" s="101"/>
      <c r="BN11" s="100"/>
    </row>
    <row r="12" spans="1:66" ht="14.5" x14ac:dyDescent="0.35">
      <c r="A12" t="s">
        <v>452</v>
      </c>
      <c r="E12" t="s">
        <v>374</v>
      </c>
      <c r="G12" t="str">
        <f t="shared" si="0"/>
        <v>£m 23/24 prices</v>
      </c>
      <c r="AU12" s="328">
        <f>SUM(AU8:AU11)</f>
        <v>454.84626903950084</v>
      </c>
      <c r="AV12" s="52">
        <f>SUM(AV8:AV11)</f>
        <v>472.43312208355934</v>
      </c>
      <c r="AW12" s="52">
        <f>SUM(AW8:AW11)</f>
        <v>482.37932444406505</v>
      </c>
      <c r="AX12" s="52">
        <f>SUM(AX8:AX11)</f>
        <v>481.39323385573101</v>
      </c>
      <c r="AY12" s="52">
        <f>SUM(AY8:AY11)</f>
        <v>480.41714491526</v>
      </c>
      <c r="BA12" s="34" t="str">
        <f t="shared" ca="1" si="1"/>
        <v>Revenue</v>
      </c>
      <c r="BB12" s="34" t="str">
        <f t="shared" si="2"/>
        <v>Revenue</v>
      </c>
      <c r="BD12" s="80"/>
      <c r="BE12" s="112"/>
      <c r="BF12" s="80"/>
      <c r="BG12" s="80"/>
      <c r="BH12" s="80"/>
      <c r="BI12" s="101"/>
      <c r="BJ12" s="101"/>
      <c r="BK12" s="101"/>
      <c r="BL12" s="101"/>
      <c r="BM12" s="101"/>
      <c r="BN12" s="100"/>
    </row>
    <row r="13" spans="1:66" ht="14.5" x14ac:dyDescent="0.35">
      <c r="E13" t="s">
        <v>733</v>
      </c>
      <c r="G13" t="str">
        <f t="shared" si="0"/>
        <v>£m 23/24 prices</v>
      </c>
      <c r="AU13" s="329"/>
      <c r="AV13" s="27"/>
      <c r="AW13" s="27"/>
      <c r="AX13" s="27"/>
      <c r="AY13" s="27"/>
      <c r="BA13" s="34" t="str">
        <f t="shared" ca="1" si="1"/>
        <v>Revenue</v>
      </c>
      <c r="BB13" s="34" t="str">
        <f t="shared" si="2"/>
        <v>Revenue</v>
      </c>
      <c r="BD13" s="80"/>
      <c r="BE13" s="112"/>
      <c r="BF13" s="80"/>
      <c r="BG13" s="80"/>
      <c r="BH13" s="80"/>
      <c r="BI13" s="101"/>
      <c r="BJ13" s="101"/>
      <c r="BK13" s="101"/>
      <c r="BL13" s="101"/>
      <c r="BM13" s="101"/>
      <c r="BN13" s="100"/>
    </row>
    <row r="14" spans="1:66" ht="14.5" x14ac:dyDescent="0.35">
      <c r="E14" t="s">
        <v>228</v>
      </c>
      <c r="G14" t="str">
        <f t="shared" si="0"/>
        <v>£m 23/24 prices</v>
      </c>
      <c r="AU14" s="329">
        <f>SUM(Finance!AU64,Finance!AU86)/PCf</f>
        <v>0</v>
      </c>
      <c r="AV14" s="27">
        <f ca="1">SUM(Finance!AV64,Finance!AV86)/PCf</f>
        <v>0</v>
      </c>
      <c r="AW14" s="27">
        <f ca="1">SUM(Finance!AW64,Finance!AW86)/PCf</f>
        <v>0</v>
      </c>
      <c r="AX14" s="27">
        <f ca="1">SUM(Finance!AX64,Finance!AX86)/PCf</f>
        <v>0</v>
      </c>
      <c r="AY14" s="27">
        <f ca="1">SUM(Finance!AY64,Finance!AY86)/PCf</f>
        <v>0</v>
      </c>
      <c r="BA14" s="34" t="str">
        <f t="shared" ca="1" si="1"/>
        <v>Revenue</v>
      </c>
      <c r="BB14" s="34" t="str">
        <f t="shared" si="2"/>
        <v>Revenue</v>
      </c>
      <c r="BD14" s="80"/>
      <c r="BE14" s="112"/>
      <c r="BF14" s="80"/>
      <c r="BG14" s="80"/>
      <c r="BH14" s="80"/>
      <c r="BI14" s="101"/>
      <c r="BJ14" s="101"/>
      <c r="BK14" s="101"/>
      <c r="BL14" s="101"/>
      <c r="BM14" s="101"/>
      <c r="BN14" s="100"/>
    </row>
    <row r="15" spans="1:66" ht="14.5" x14ac:dyDescent="0.35">
      <c r="E15" t="s">
        <v>449</v>
      </c>
      <c r="G15" t="str">
        <f t="shared" si="0"/>
        <v>£m 23/24 prices</v>
      </c>
      <c r="AU15" s="329">
        <f>Transform!AU134</f>
        <v>0</v>
      </c>
      <c r="AV15" s="27">
        <f>Transform!AV134</f>
        <v>0</v>
      </c>
      <c r="AW15" s="27">
        <f>Transform!AW134</f>
        <v>0</v>
      </c>
      <c r="AX15" s="27">
        <f>Transform!AX134</f>
        <v>0</v>
      </c>
      <c r="AY15" s="27">
        <f>Transform!AY134</f>
        <v>0</v>
      </c>
      <c r="BA15" s="34" t="str">
        <f t="shared" ca="1" si="1"/>
        <v>Revenue</v>
      </c>
      <c r="BB15" s="34" t="str">
        <f t="shared" si="2"/>
        <v>Revenue</v>
      </c>
      <c r="BD15" s="80"/>
      <c r="BE15" s="112"/>
      <c r="BF15" s="80"/>
      <c r="BG15" s="80"/>
      <c r="BH15" s="80"/>
      <c r="BI15" s="101"/>
      <c r="BJ15" s="101"/>
      <c r="BK15" s="101"/>
      <c r="BL15" s="101"/>
      <c r="BM15" s="101"/>
      <c r="BN15" s="100"/>
    </row>
    <row r="16" spans="1:66" ht="14.5" x14ac:dyDescent="0.35">
      <c r="E16" t="s">
        <v>202</v>
      </c>
      <c r="G16" t="str">
        <f t="shared" si="0"/>
        <v>£m 23/24 prices</v>
      </c>
      <c r="AU16" s="329">
        <f>Transform!AU223</f>
        <v>-8.183739375</v>
      </c>
      <c r="AV16" s="27">
        <f>Transform!AV223</f>
        <v>-8.5845247937500009</v>
      </c>
      <c r="AW16" s="27">
        <f>Transform!AW223</f>
        <v>-9.0437251534374994</v>
      </c>
      <c r="AX16" s="27">
        <f>Transform!AX223</f>
        <v>-9.5108419273093805</v>
      </c>
      <c r="AY16" s="27">
        <f>Transform!AY223</f>
        <v>-10.0058532618868</v>
      </c>
      <c r="BA16" s="34" t="str">
        <f t="shared" ca="1" si="1"/>
        <v>Revenue</v>
      </c>
      <c r="BB16" s="34" t="str">
        <f t="shared" si="2"/>
        <v>Revenue</v>
      </c>
      <c r="BD16" s="80"/>
      <c r="BE16" s="112"/>
      <c r="BF16" s="80"/>
      <c r="BG16" s="80"/>
      <c r="BH16" s="80"/>
      <c r="BI16" s="101"/>
      <c r="BJ16" s="101"/>
      <c r="BK16" s="101"/>
      <c r="BL16" s="101"/>
      <c r="BM16" s="101"/>
      <c r="BN16" s="100"/>
    </row>
    <row r="17" spans="1:66" ht="14.5" x14ac:dyDescent="0.35">
      <c r="E17" t="s">
        <v>409</v>
      </c>
      <c r="G17" t="str">
        <f t="shared" si="0"/>
        <v>£m 23/24 prices</v>
      </c>
      <c r="AU17" s="329">
        <f>Transform!AU212</f>
        <v>-0.8</v>
      </c>
      <c r="AV17" s="27">
        <f>Transform!AV212</f>
        <v>-0.80500000000000005</v>
      </c>
      <c r="AW17" s="27">
        <f>Transform!AW212</f>
        <v>-0.80700000000000005</v>
      </c>
      <c r="AX17" s="27">
        <f>Transform!AX212</f>
        <v>-0.80400000000000005</v>
      </c>
      <c r="AY17" s="27">
        <f>Transform!AY212</f>
        <v>-0.79700000000000004</v>
      </c>
      <c r="BA17" s="34" t="str">
        <f t="shared" ca="1" si="1"/>
        <v>Revenue</v>
      </c>
      <c r="BB17" s="34" t="str">
        <f t="shared" si="2"/>
        <v>Revenue</v>
      </c>
      <c r="BD17" s="80"/>
      <c r="BE17" s="112"/>
      <c r="BF17" s="80"/>
      <c r="BG17" s="80"/>
      <c r="BH17" s="80"/>
      <c r="BI17" s="101"/>
      <c r="BJ17" s="101"/>
      <c r="BK17" s="101"/>
      <c r="BL17" s="101"/>
      <c r="BM17" s="101"/>
      <c r="BN17" s="100"/>
    </row>
    <row r="18" spans="1:66" ht="14.5" x14ac:dyDescent="0.35">
      <c r="E18" t="s">
        <v>245</v>
      </c>
      <c r="G18" t="str">
        <f t="shared" si="0"/>
        <v>£m 23/24 prices</v>
      </c>
      <c r="AU18" s="329">
        <f>Transform!AU220</f>
        <v>0</v>
      </c>
      <c r="AV18" s="27">
        <f>Transform!AV220</f>
        <v>0</v>
      </c>
      <c r="AW18" s="27">
        <f>Transform!AW220</f>
        <v>0</v>
      </c>
      <c r="AX18" s="27">
        <f>Transform!AX220</f>
        <v>0</v>
      </c>
      <c r="AY18" s="27">
        <f>Transform!AY220</f>
        <v>0</v>
      </c>
      <c r="BA18" s="34" t="str">
        <f t="shared" ca="1" si="1"/>
        <v>Revenue</v>
      </c>
      <c r="BB18" s="34" t="str">
        <f t="shared" si="2"/>
        <v>Revenue</v>
      </c>
      <c r="BD18" s="80"/>
      <c r="BE18" s="112"/>
      <c r="BF18" s="80"/>
      <c r="BG18" s="80"/>
      <c r="BH18" s="80"/>
      <c r="BI18" s="101"/>
      <c r="BJ18" s="101"/>
      <c r="BK18" s="101"/>
      <c r="BL18" s="101"/>
      <c r="BM18" s="101"/>
      <c r="BN18" s="100"/>
    </row>
    <row r="19" spans="1:66" ht="14.5" x14ac:dyDescent="0.35">
      <c r="E19" t="s">
        <v>246</v>
      </c>
      <c r="G19" t="str">
        <f t="shared" si="0"/>
        <v>£m 23/24 prices</v>
      </c>
      <c r="AU19" s="329">
        <f>Transform!AU90</f>
        <v>6.9060000000000006</v>
      </c>
      <c r="AV19" s="27">
        <f>Transform!AV90</f>
        <v>6.9060000000000006</v>
      </c>
      <c r="AW19" s="27">
        <f>Transform!AW90</f>
        <v>6.9060000000000006</v>
      </c>
      <c r="AX19" s="27">
        <f>Transform!AX90</f>
        <v>6.9060000000000006</v>
      </c>
      <c r="AY19" s="27">
        <f>Transform!AY90</f>
        <v>6.9060000000000006</v>
      </c>
      <c r="BA19" s="34" t="str">
        <f t="shared" ca="1" si="1"/>
        <v>Revenue</v>
      </c>
      <c r="BB19" s="34" t="str">
        <f t="shared" si="2"/>
        <v>Revenue</v>
      </c>
      <c r="BD19" s="80"/>
      <c r="BE19" s="112"/>
      <c r="BF19" s="80"/>
      <c r="BG19" s="80"/>
      <c r="BH19" s="80"/>
      <c r="BI19" s="101"/>
      <c r="BJ19" s="101"/>
      <c r="BK19" s="101"/>
      <c r="BL19" s="101"/>
      <c r="BM19" s="101"/>
      <c r="BN19" s="100"/>
    </row>
    <row r="20" spans="1:66" ht="14.5" x14ac:dyDescent="0.35">
      <c r="E20" t="s">
        <v>333</v>
      </c>
      <c r="G20" t="str">
        <f t="shared" si="0"/>
        <v>£m 23/24 prices</v>
      </c>
      <c r="AU20" s="328">
        <f>SUM(AU12:AU19)</f>
        <v>452.76852966450082</v>
      </c>
      <c r="AV20" s="52">
        <f t="shared" ref="AV20:AY20" ca="1" si="3">SUM(AV12:AV19)</f>
        <v>469.94959728980933</v>
      </c>
      <c r="AW20" s="52">
        <f t="shared" ca="1" si="3"/>
        <v>479.43459929062755</v>
      </c>
      <c r="AX20" s="52">
        <f t="shared" ca="1" si="3"/>
        <v>477.98439192842164</v>
      </c>
      <c r="AY20" s="52">
        <f t="shared" ca="1" si="3"/>
        <v>476.52029165337319</v>
      </c>
      <c r="BA20" s="34" t="str">
        <f t="shared" ca="1" si="1"/>
        <v>Revenue</v>
      </c>
      <c r="BB20" s="34" t="str">
        <f t="shared" si="2"/>
        <v>Revenue</v>
      </c>
      <c r="BD20" s="80"/>
      <c r="BE20" s="112"/>
      <c r="BF20" s="80"/>
      <c r="BG20" s="80"/>
      <c r="BH20" s="80"/>
      <c r="BI20" s="101"/>
      <c r="BJ20" s="101"/>
      <c r="BK20" s="101"/>
      <c r="BL20" s="101"/>
      <c r="BM20" s="101"/>
      <c r="BN20" s="100"/>
    </row>
    <row r="21" spans="1:66" ht="14.5" x14ac:dyDescent="0.35">
      <c r="E21" t="s">
        <v>262</v>
      </c>
      <c r="G21" t="str">
        <f t="shared" si="0"/>
        <v>£m 23/24 prices</v>
      </c>
      <c r="AU21" s="329">
        <f ca="1">Tax!AU84/PCf</f>
        <v>33.697038039040059</v>
      </c>
      <c r="AV21" s="27">
        <f ca="1">Tax!AV84/PCf</f>
        <v>36.300497109849388</v>
      </c>
      <c r="AW21" s="27">
        <f ca="1">Tax!AW84/PCf</f>
        <v>39.268824182095322</v>
      </c>
      <c r="AX21" s="27">
        <f ca="1">Tax!AX84/PCf</f>
        <v>39.839931565411526</v>
      </c>
      <c r="AY21" s="27">
        <f ca="1">Tax!AY84/PCf</f>
        <v>41.331982267774634</v>
      </c>
      <c r="BA21" s="34" t="str">
        <f t="shared" ca="1" si="1"/>
        <v>Revenue</v>
      </c>
      <c r="BB21" s="34" t="str">
        <f t="shared" si="2"/>
        <v>Revenue</v>
      </c>
      <c r="BD21" s="80"/>
      <c r="BE21" s="112"/>
      <c r="BF21" s="80"/>
      <c r="BG21" s="80"/>
      <c r="BH21" s="80"/>
      <c r="BI21" s="101"/>
      <c r="BJ21" s="101"/>
      <c r="BK21" s="105"/>
      <c r="BL21" s="101"/>
      <c r="BM21" s="105"/>
      <c r="BN21" s="100"/>
    </row>
    <row r="22" spans="1:66" ht="14.5" x14ac:dyDescent="0.35">
      <c r="E22" t="s">
        <v>92</v>
      </c>
      <c r="G22" t="str">
        <f t="shared" si="0"/>
        <v>£m 23/24 prices</v>
      </c>
      <c r="AU22" s="329">
        <f>Transform!AU200</f>
        <v>0</v>
      </c>
      <c r="AV22" s="27">
        <f>Transform!AV200</f>
        <v>0</v>
      </c>
      <c r="AW22" s="27">
        <f>Transform!AW200</f>
        <v>0</v>
      </c>
      <c r="AX22" s="27">
        <f>Transform!AX200</f>
        <v>0</v>
      </c>
      <c r="AY22" s="27">
        <f>Transform!AY200</f>
        <v>0</v>
      </c>
      <c r="BA22" s="34" t="str">
        <f t="shared" ca="1" si="1"/>
        <v>Revenue</v>
      </c>
      <c r="BB22" s="34" t="str">
        <f t="shared" si="2"/>
        <v>Revenue</v>
      </c>
      <c r="BD22" s="80"/>
      <c r="BE22" s="112"/>
      <c r="BF22" s="80"/>
      <c r="BG22" s="80"/>
      <c r="BH22" s="80"/>
      <c r="BI22" s="101"/>
      <c r="BJ22" s="101"/>
      <c r="BK22" s="101"/>
      <c r="BL22" s="101"/>
      <c r="BM22" s="101"/>
      <c r="BN22" s="100"/>
    </row>
    <row r="23" spans="1:66" ht="14.5" x14ac:dyDescent="0.35">
      <c r="E23" t="s">
        <v>832</v>
      </c>
      <c r="G23" t="str">
        <f t="shared" si="0"/>
        <v>£m 23/24 prices</v>
      </c>
      <c r="AU23" s="329">
        <f>Transform!AU243</f>
        <v>-23.616291412904136</v>
      </c>
      <c r="AV23" s="27">
        <f>Transform!AV243</f>
        <v>-6</v>
      </c>
      <c r="AW23" s="27">
        <f>Transform!AW243</f>
        <v>11.1</v>
      </c>
      <c r="AX23" s="27">
        <f>Transform!AX243</f>
        <v>11.1</v>
      </c>
      <c r="AY23" s="27">
        <f>Transform!AY243</f>
        <v>11.138956845730817</v>
      </c>
      <c r="BA23" s="34"/>
      <c r="BB23" s="34"/>
      <c r="BD23" s="80"/>
      <c r="BE23" s="112"/>
      <c r="BF23" s="80"/>
      <c r="BG23" s="80"/>
      <c r="BH23" s="80"/>
      <c r="BI23" s="101"/>
      <c r="BJ23" s="101"/>
      <c r="BK23" s="101"/>
      <c r="BL23" s="101"/>
      <c r="BM23" s="101"/>
      <c r="BN23" s="100"/>
    </row>
    <row r="24" spans="1:66" ht="14.5" x14ac:dyDescent="0.35">
      <c r="E24" t="s">
        <v>376</v>
      </c>
      <c r="G24" t="str">
        <f t="shared" si="0"/>
        <v>£m 23/24 prices</v>
      </c>
      <c r="AU24" s="328">
        <f ca="1">SUM(AU20:AU23)</f>
        <v>462.84927629063674</v>
      </c>
      <c r="AV24" s="52">
        <f t="shared" ref="AV24:AY24" ca="1" si="4">SUM(AV20:AV23)</f>
        <v>500.25009439965874</v>
      </c>
      <c r="AW24" s="52">
        <f t="shared" ca="1" si="4"/>
        <v>529.8034234727229</v>
      </c>
      <c r="AX24" s="52">
        <f t="shared" ca="1" si="4"/>
        <v>528.92432349383319</v>
      </c>
      <c r="AY24" s="52">
        <f t="shared" ca="1" si="4"/>
        <v>528.99123076687863</v>
      </c>
      <c r="BA24" s="34" t="str">
        <f t="shared" ca="1" si="1"/>
        <v>Revenue</v>
      </c>
      <c r="BB24" s="34" t="str">
        <f t="shared" si="2"/>
        <v>Revenue</v>
      </c>
      <c r="BD24" s="80"/>
      <c r="BE24" s="112"/>
      <c r="BF24" s="80"/>
      <c r="BG24" s="80"/>
      <c r="BH24" s="80"/>
      <c r="BI24" s="101"/>
      <c r="BJ24" s="101"/>
      <c r="BK24" s="101"/>
      <c r="BL24" s="101"/>
      <c r="BM24" s="101"/>
      <c r="BN24" s="100"/>
    </row>
    <row r="25" spans="1:66" ht="14.5" x14ac:dyDescent="0.35">
      <c r="E25" t="s">
        <v>339</v>
      </c>
      <c r="G25" t="str">
        <f t="shared" si="0"/>
        <v>£m 23/24 prices</v>
      </c>
      <c r="AU25" s="329">
        <f>-Transform!AU134</f>
        <v>0</v>
      </c>
      <c r="AV25" s="27">
        <f>-Transform!AV134</f>
        <v>0</v>
      </c>
      <c r="AW25" s="27">
        <f>-Transform!AW134</f>
        <v>0</v>
      </c>
      <c r="AX25" s="27">
        <f>-Transform!AX134</f>
        <v>0</v>
      </c>
      <c r="AY25" s="27">
        <f>-Transform!AY134</f>
        <v>0</v>
      </c>
      <c r="BA25" s="34" t="str">
        <f t="shared" ca="1" si="1"/>
        <v>Revenue</v>
      </c>
      <c r="BB25" s="34" t="str">
        <f t="shared" si="2"/>
        <v>Revenue</v>
      </c>
      <c r="BD25" s="80"/>
      <c r="BE25" s="112"/>
      <c r="BF25" s="80"/>
      <c r="BG25" s="80"/>
      <c r="BH25" s="80"/>
      <c r="BI25" s="101"/>
      <c r="BJ25" s="101"/>
      <c r="BK25" s="101"/>
      <c r="BL25" s="101"/>
      <c r="BM25" s="101"/>
      <c r="BN25" s="100"/>
    </row>
    <row r="26" spans="1:66" ht="14.5" x14ac:dyDescent="0.35">
      <c r="E26" t="s">
        <v>340</v>
      </c>
      <c r="G26" t="str">
        <f t="shared" si="0"/>
        <v>£m 23/24 prices</v>
      </c>
      <c r="AU26" s="329">
        <f>-AU16</f>
        <v>8.183739375</v>
      </c>
      <c r="AV26" s="27">
        <f t="shared" ref="AV26:AY26" si="5">-AV16</f>
        <v>8.5845247937500009</v>
      </c>
      <c r="AW26" s="27">
        <f t="shared" si="5"/>
        <v>9.0437251534374994</v>
      </c>
      <c r="AX26" s="27">
        <f t="shared" si="5"/>
        <v>9.5108419273093805</v>
      </c>
      <c r="AY26" s="27">
        <f t="shared" si="5"/>
        <v>10.0058532618868</v>
      </c>
      <c r="BA26" s="34" t="str">
        <f t="shared" ca="1" si="1"/>
        <v>Revenue</v>
      </c>
      <c r="BB26" s="34" t="str">
        <f t="shared" si="2"/>
        <v>Revenue</v>
      </c>
      <c r="BD26" s="80"/>
      <c r="BE26" s="112"/>
      <c r="BF26" s="80"/>
      <c r="BG26" s="80"/>
      <c r="BH26" s="80"/>
      <c r="BI26" s="101"/>
      <c r="BJ26" s="101"/>
      <c r="BK26" s="101"/>
      <c r="BL26" s="101"/>
      <c r="BM26" s="101"/>
      <c r="BN26" s="100"/>
    </row>
    <row r="27" spans="1:66" ht="14.5" x14ac:dyDescent="0.35">
      <c r="E27" t="s">
        <v>377</v>
      </c>
      <c r="G27" t="str">
        <f t="shared" si="0"/>
        <v>£m 23/24 prices</v>
      </c>
      <c r="AU27" s="328">
        <f ca="1">SUM(AU24:AU26)</f>
        <v>471.03301566563675</v>
      </c>
      <c r="AV27" s="52">
        <f t="shared" ref="AV27:AY27" ca="1" si="6">SUM(AV24:AV26)</f>
        <v>508.83461919340874</v>
      </c>
      <c r="AW27" s="52">
        <f t="shared" ca="1" si="6"/>
        <v>538.84714862616045</v>
      </c>
      <c r="AX27" s="52">
        <f t="shared" ca="1" si="6"/>
        <v>538.43516542114253</v>
      </c>
      <c r="AY27" s="52">
        <f t="shared" ca="1" si="6"/>
        <v>538.99708402876547</v>
      </c>
      <c r="BA27" s="34" t="str">
        <f t="shared" ca="1" si="1"/>
        <v>Revenue</v>
      </c>
      <c r="BB27" s="34" t="str">
        <f t="shared" si="2"/>
        <v>Revenue</v>
      </c>
      <c r="BD27" s="80"/>
      <c r="BE27" s="112"/>
      <c r="BF27" s="80"/>
      <c r="BG27" s="80"/>
      <c r="BH27" s="80"/>
      <c r="BI27" s="101"/>
      <c r="BJ27" s="101"/>
      <c r="BK27" s="101"/>
      <c r="BL27" s="101"/>
      <c r="BM27" s="101"/>
      <c r="BN27" s="100"/>
    </row>
    <row r="28" spans="1:66" x14ac:dyDescent="0.35"/>
    <row r="29" spans="1:66" ht="20" thickBot="1" x14ac:dyDescent="0.5">
      <c r="A29" s="13" t="s">
        <v>386</v>
      </c>
    </row>
    <row r="30" spans="1:66" ht="16.5" thickTop="1" x14ac:dyDescent="0.35"/>
    <row r="31" spans="1:66" x14ac:dyDescent="0.35"/>
  </sheetData>
  <conditionalFormatting sqref="H1">
    <cfRule type="cellIs" dxfId="3" priority="1" operator="equal">
      <formula>"ERROR"</formula>
    </cfRule>
  </conditionalFormatting>
  <pageMargins left="0.7" right="0.7" top="0.75" bottom="0.75" header="0.3" footer="0.3"/>
  <pageSetup paperSize="9" orientation="portrait" r:id="rId1"/>
  <headerFooter>
    <oddHeader>&amp;L&amp;"Aptos"&amp;10&amp;K000000 Classified as Internal&amp;1#_x000D_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Drop Down 1">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62729-9DA0-485A-BA7F-F9E07307E95F}">
  <sheetPr codeName="Sheet16">
    <tabColor rgb="FFBAA0CC"/>
    <pageSetUpPr autoPageBreaks="0"/>
  </sheetPr>
  <dimension ref="A1:BF128"/>
  <sheetViews>
    <sheetView tabSelected="1" zoomScale="85" zoomScaleNormal="85" workbookViewId="0">
      <pane xSplit="45" ySplit="4" topLeftCell="AU35" activePane="bottomRight" state="frozen"/>
      <selection pane="topRight" activeCell="AT1" sqref="AT1"/>
      <selection pane="bottomLeft" activeCell="A5" sqref="A5"/>
      <selection pane="bottomRight" activeCell="AU1" sqref="AU1:AY2"/>
    </sheetView>
  </sheetViews>
  <sheetFormatPr defaultColWidth="0" defaultRowHeight="15" customHeight="1" zeroHeight="1" outlineLevelRow="1" outlineLevelCol="1" x14ac:dyDescent="0.35"/>
  <cols>
    <col min="1" max="3" width="1.90625" customWidth="1"/>
    <col min="4" max="4" width="15.6328125" customWidth="1"/>
    <col min="5" max="5" width="65.6328125" customWidth="1"/>
    <col min="6" max="6" width="8.6328125" customWidth="1"/>
    <col min="7" max="7" width="17.6328125" customWidth="1"/>
    <col min="8" max="8" width="9.6328125" customWidth="1"/>
    <col min="9" max="9" width="11.6328125" customWidth="1"/>
    <col min="10" max="10" width="2.08984375" customWidth="1"/>
    <col min="11" max="45" width="11.6328125" hidden="1" customWidth="1" outlineLevel="1"/>
    <col min="46" max="46" width="11.6328125" style="61" customWidth="1" collapsed="1"/>
    <col min="47" max="51" width="11.6328125" customWidth="1"/>
    <col min="52" max="52" width="18.6328125" customWidth="1"/>
    <col min="53" max="56" width="10.6328125" style="1" customWidth="1"/>
    <col min="57" max="57" width="10.6328125" customWidth="1"/>
    <col min="58" max="58" width="1.6328125" style="6" customWidth="1"/>
    <col min="59" max="16384" width="9.08984375" hidden="1"/>
  </cols>
  <sheetData>
    <row r="1" spans="1:58" s="90" customFormat="1" ht="22" customHeight="1" x14ac:dyDescent="0.35">
      <c r="A1" s="89" t="str" cm="1">
        <f t="array" aca="1" ref="A1" ca="1">MID(CELL("filename",$A$1),FIND("]",CELL("filename",$A$1))+1,255)</f>
        <v>AllowedRevenue</v>
      </c>
      <c r="E1" s="107"/>
      <c r="G1" s="90" t="s">
        <v>572</v>
      </c>
      <c r="H1" s="27" t="e">
        <f>Checks!I7</f>
        <v>#REF!</v>
      </c>
      <c r="AT1" s="96"/>
      <c r="AU1" s="338" t="s">
        <v>962</v>
      </c>
      <c r="AV1" s="339"/>
      <c r="AW1" s="339"/>
      <c r="AX1" s="339"/>
      <c r="AY1" s="339"/>
      <c r="BA1" s="92"/>
      <c r="BB1" s="92"/>
      <c r="BC1" s="92"/>
      <c r="BD1" s="92"/>
    </row>
    <row r="2" spans="1:58" s="90" customFormat="1" ht="24" customHeight="1" x14ac:dyDescent="0.35">
      <c r="AT2" s="96"/>
      <c r="AU2" s="338"/>
      <c r="AV2" s="339"/>
      <c r="AW2" s="339"/>
      <c r="AX2" s="339"/>
      <c r="AY2" s="339"/>
      <c r="BA2" s="92"/>
      <c r="BB2" s="92"/>
      <c r="BC2" s="92"/>
      <c r="BD2" s="92"/>
    </row>
    <row r="3" spans="1:58" s="90" customFormat="1" ht="15" customHeight="1" x14ac:dyDescent="0.35">
      <c r="E3" s="90" t="s">
        <v>1</v>
      </c>
      <c r="F3" s="90" t="s">
        <v>2</v>
      </c>
      <c r="G3" s="90" t="s">
        <v>3</v>
      </c>
      <c r="H3" s="90" t="s">
        <v>4</v>
      </c>
      <c r="I3" s="90" t="s">
        <v>5</v>
      </c>
      <c r="AT3" s="96"/>
      <c r="AU3" s="90" t="s">
        <v>6</v>
      </c>
      <c r="BA3" s="92"/>
      <c r="BB3" s="92"/>
      <c r="BC3" s="92"/>
      <c r="BD3" s="92"/>
    </row>
    <row r="4" spans="1:58" s="90" customFormat="1" ht="15" customHeight="1" x14ac:dyDescent="0.35">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92" t="s">
        <v>591</v>
      </c>
      <c r="BB4" s="92" t="s">
        <v>592</v>
      </c>
      <c r="BC4" s="92" t="s">
        <v>593</v>
      </c>
      <c r="BD4" s="92"/>
    </row>
    <row r="5" spans="1:58" ht="16" x14ac:dyDescent="0.35">
      <c r="AP5" s="1"/>
      <c r="AQ5" s="1"/>
      <c r="AR5" s="1"/>
      <c r="AS5" s="1"/>
      <c r="AT5" s="71"/>
    </row>
    <row r="6" spans="1:58" ht="20" thickBot="1" x14ac:dyDescent="0.5">
      <c r="A6" s="13" t="s">
        <v>484</v>
      </c>
      <c r="BF6"/>
    </row>
    <row r="7" spans="1:58" outlineLevel="1" thickTop="1" x14ac:dyDescent="0.35">
      <c r="D7" s="1" t="str" cm="1">
        <f t="array" aca="1" ref="D7" ca="1">IFERROR(MID(_xlfn.FORMULATEXT(I7),FIND("=",_xlfn.FORMULATEXT(I7))+1,FIND("!",_xlfn.FORMULATEXT(I7))-2),MID(_xlfn.FORMULATEXT(INDEX(L7:AV7,MATCH(FALSE,ISBLANK(L7:AV7),0))),FIND("=",_xlfn.FORMULATEXT(INDEX(L7:AV7,MATCH(FALSE,ISBLANK(L7:AV7),0))))+1,FIND("!",_xlfn.FORMULATEXT(INDEX(L7:AV7,MATCH(FALSE,ISBLANK(L7:AV7),0))))-2))</f>
        <v>Transform</v>
      </c>
      <c r="E7" t="s">
        <v>628</v>
      </c>
      <c r="G7" t="str">
        <f>Transform!G248</f>
        <v>£m nominal</v>
      </c>
      <c r="J7" t="s">
        <v>13</v>
      </c>
      <c r="AT7" s="73">
        <f>Transform!AT248</f>
        <v>0</v>
      </c>
      <c r="BF7"/>
    </row>
    <row r="8" spans="1:58" ht="14.5" outlineLevel="1" x14ac:dyDescent="0.35">
      <c r="D8" s="1" t="str" cm="1">
        <f t="array" aca="1" ref="D8" ca="1">IFERROR(MID(_xlfn.FORMULATEXT(I8),FIND("=",_xlfn.FORMULATEXT(I8))+1,FIND("!",_xlfn.FORMULATEXT(I8))-2),MID(_xlfn.FORMULATEXT(INDEX(L8:AV8,MATCH(FALSE,ISBLANK(L8:AV8),0))),FIND("=",_xlfn.FORMULATEXT(INDEX(L8:AV8,MATCH(FALSE,ISBLANK(L8:AV8),0))))+1,FIND("!",_xlfn.FORMULATEXT(INDEX(L8:AV8,MATCH(FALSE,ISBLANK(L8:AV8),0))))-2))</f>
        <v>Transform</v>
      </c>
      <c r="E8" t="s">
        <v>512</v>
      </c>
      <c r="G8" t="str">
        <f>Transform!G247</f>
        <v>£m nominal</v>
      </c>
      <c r="J8" t="s">
        <v>13</v>
      </c>
      <c r="AT8" s="73">
        <f>Transform!AT247</f>
        <v>0</v>
      </c>
      <c r="AU8" s="148">
        <f>Transform!AU247</f>
        <v>0</v>
      </c>
      <c r="AV8" s="50">
        <f>Transform!AV247</f>
        <v>0</v>
      </c>
      <c r="AW8" s="50">
        <f>Transform!AW247</f>
        <v>0</v>
      </c>
      <c r="AX8" s="50">
        <f>Transform!AX247</f>
        <v>0</v>
      </c>
      <c r="AY8" s="50">
        <f>Transform!AY247</f>
        <v>0</v>
      </c>
      <c r="BF8"/>
    </row>
    <row r="9" spans="1:58" ht="14.5" outlineLevel="1" x14ac:dyDescent="0.35">
      <c r="D9" s="1" t="str" cm="1">
        <f t="array" aca="1" ref="D9" ca="1">IFERROR(MID(_xlfn.FORMULATEXT(I9),FIND("=",_xlfn.FORMULATEXT(I9))+1,FIND("!",_xlfn.FORMULATEXT(I9))-2),MID(_xlfn.FORMULATEXT(INDEX(L9:AV9,MATCH(FALSE,ISBLANK(L9:AV9),0))),FIND("=",_xlfn.FORMULATEXT(INDEX(L9:AV9,MATCH(FALSE,ISBLANK(L9:AV9),0))))+1,FIND("!",_xlfn.FORMULATEXT(INDEX(L9:AV9,MATCH(FALSE,ISBLANK(L9:AV9),0))))-2))</f>
        <v>Transform</v>
      </c>
      <c r="E9" t="s">
        <v>510</v>
      </c>
      <c r="G9" t="str">
        <f>Transform!G268</f>
        <v>nominal %</v>
      </c>
      <c r="AU9" s="149">
        <f>Transform!AU268</f>
        <v>5.8939742471644241E-2</v>
      </c>
      <c r="AV9" s="53">
        <f>Transform!AV268</f>
        <v>6.5557612297404921E-2</v>
      </c>
      <c r="AW9" s="53">
        <f>Transform!AW268</f>
        <v>6.5960515348524901E-2</v>
      </c>
      <c r="AX9" s="53">
        <f>Transform!AX268</f>
        <v>6.6544033722574947E-2</v>
      </c>
      <c r="AY9" s="53">
        <f>Transform!AY268</f>
        <v>6.7430420728115337E-2</v>
      </c>
      <c r="BF9"/>
    </row>
    <row r="10" spans="1:58" ht="14.5" outlineLevel="1" x14ac:dyDescent="0.35">
      <c r="D10" s="1" t="str" cm="1">
        <f t="array" aca="1" ref="D10" ca="1">IFERROR(MID(_xlfn.FORMULATEXT(I10),FIND("=",_xlfn.FORMULATEXT(I10))+1,FIND("!",_xlfn.FORMULATEXT(I10))-2),MID(_xlfn.FORMULATEXT(INDEX(L10:AV10,MATCH(FALSE,ISBLANK(L10:AV10),0))),FIND("=",_xlfn.FORMULATEXT(INDEX(L10:AV10,MATCH(FALSE,ISBLANK(L10:AV10),0))))+1,FIND("!",_xlfn.FORMULATEXT(INDEX(L10:AV10,MATCH(FALSE,ISBLANK(L10:AV10),0))))-2))</f>
        <v>Transform</v>
      </c>
      <c r="E10" t="s">
        <v>800</v>
      </c>
      <c r="G10" t="str">
        <f>Transform!G251</f>
        <v>£m 23/24 prices</v>
      </c>
      <c r="J10" t="s">
        <v>13</v>
      </c>
      <c r="AT10" s="73">
        <f>Transform!AT251</f>
        <v>391.28112266764794</v>
      </c>
      <c r="BF10"/>
    </row>
    <row r="11" spans="1:58" ht="14.5" outlineLevel="1" x14ac:dyDescent="0.35">
      <c r="D11" s="1" t="str" cm="1">
        <f t="array" aca="1" ref="D11" ca="1">IFERROR(MID(_xlfn.FORMULATEXT(I11),FIND("=",_xlfn.FORMULATEXT(I11))+1,FIND("!",_xlfn.FORMULATEXT(I11))-2),MID(_xlfn.FORMULATEXT(INDEX(L11:AV11,MATCH(FALSE,ISBLANK(L11:AV11),0))),FIND("=",_xlfn.FORMULATEXT(INDEX(L11:AV11,MATCH(FALSE,ISBLANK(L11:AV11),0))))+1,FIND("!",_xlfn.FORMULATEXT(INDEX(L11:AV11,MATCH(FALSE,ISBLANK(L11:AV11),0))))-2))</f>
        <v>Revenue</v>
      </c>
      <c r="E11" t="s">
        <v>374</v>
      </c>
      <c r="G11" t="str">
        <f>Revenue!G12</f>
        <v>£m 23/24 prices</v>
      </c>
      <c r="AS11" s="110"/>
      <c r="AU11" s="150">
        <f>Revenue!AU12</f>
        <v>454.84626903950084</v>
      </c>
      <c r="AV11" s="50">
        <f>Revenue!AV12</f>
        <v>472.43312208355934</v>
      </c>
      <c r="AW11" s="50">
        <f>Revenue!AW12</f>
        <v>482.37932444406505</v>
      </c>
      <c r="AX11" s="50">
        <f>Revenue!AX12</f>
        <v>481.39323385573101</v>
      </c>
      <c r="AY11" s="50">
        <f>Revenue!AY12</f>
        <v>480.41714491526</v>
      </c>
      <c r="BF11"/>
    </row>
    <row r="12" spans="1:58" ht="14.5" outlineLevel="1" x14ac:dyDescent="0.35">
      <c r="D12" s="1" t="str" cm="1">
        <f t="array" aca="1" ref="D12" ca="1">IFERROR(MID(_xlfn.FORMULATEXT(I12),FIND("=",_xlfn.FORMULATEXT(I12))+1,FIND("!",_xlfn.FORMULATEXT(I12))-2),MID(_xlfn.FORMULATEXT(INDEX(L12:AV12,MATCH(FALSE,ISBLANK(L12:AV12),0))),FIND("=",_xlfn.FORMULATEXT(INDEX(L12:AV12,MATCH(FALSE,ISBLANK(L12:AV12),0))))+1,FIND("!",_xlfn.FORMULATEXT(INDEX(L12:AV12,MATCH(FALSE,ISBLANK(L12:AV12),0))))-2))</f>
        <v>Transform</v>
      </c>
      <c r="E12" t="s">
        <v>514</v>
      </c>
      <c r="G12" t="str">
        <f>Transform!G250</f>
        <v>£m 23/24 prices</v>
      </c>
      <c r="J12" t="s">
        <v>13</v>
      </c>
      <c r="AT12" s="73">
        <f>Transform!AT250</f>
        <v>0</v>
      </c>
      <c r="AU12" s="148">
        <f>Transform!AU250</f>
        <v>0</v>
      </c>
      <c r="AV12" s="50">
        <f>Transform!AV250</f>
        <v>0</v>
      </c>
      <c r="AW12" s="50">
        <f>Transform!AW250</f>
        <v>0</v>
      </c>
      <c r="AX12" s="50">
        <f>Transform!AX250</f>
        <v>0</v>
      </c>
      <c r="AY12" s="50">
        <f>Transform!AY250</f>
        <v>0</v>
      </c>
      <c r="BF12"/>
    </row>
    <row r="13" spans="1:58" ht="14.5" outlineLevel="1" x14ac:dyDescent="0.35">
      <c r="D13" s="1" t="str" cm="1">
        <f t="array" aca="1" ref="D13" ca="1">IFERROR(MID(_xlfn.FORMULATEXT(I13),FIND("=",_xlfn.FORMULATEXT(I13))+1,FIND("!",_xlfn.FORMULATEXT(I13))-2),MID(_xlfn.FORMULATEXT(INDEX(L13:AV13,MATCH(FALSE,ISBLANK(L13:AV13),0))),FIND("=",_xlfn.FORMULATEXT(INDEX(L13:AV13,MATCH(FALSE,ISBLANK(L13:AV13),0))))+1,FIND("!",_xlfn.FORMULATEXT(INDEX(L13:AV13,MATCH(FALSE,ISBLANK(L13:AV13),0))))-2))</f>
        <v>Transform</v>
      </c>
      <c r="E13" t="s">
        <v>521</v>
      </c>
      <c r="G13" t="str">
        <f>Transform!G257</f>
        <v>%</v>
      </c>
      <c r="I13" s="53">
        <f>Transform!I257</f>
        <v>0.08</v>
      </c>
      <c r="BF13"/>
    </row>
    <row r="14" spans="1:58" ht="15" customHeight="1" outlineLevel="1" x14ac:dyDescent="0.35">
      <c r="D14" s="1" t="str" cm="1">
        <f t="array" aca="1" ref="D14" ca="1">IFERROR(MID(_xlfn.FORMULATEXT(I14),FIND("=",_xlfn.FORMULATEXT(I14))+1,FIND("!",_xlfn.FORMULATEXT(I14))-2),MID(_xlfn.FORMULATEXT(INDEX(L14:AV14,MATCH(FALSE,ISBLANK(L14:AV14),0))),FIND("=",_xlfn.FORMULATEXT(INDEX(L14:AV14,MATCH(FALSE,ISBLANK(L14:AV14),0))))+1,FIND("!",_xlfn.FORMULATEXT(INDEX(L14:AV14,MATCH(FALSE,ISBLANK(L14:AV14),0))))-2))</f>
        <v>Transform</v>
      </c>
      <c r="E14" t="s">
        <v>522</v>
      </c>
      <c r="G14" t="str">
        <f>Transform!G259</f>
        <v>%</v>
      </c>
      <c r="I14" s="53">
        <f>Transform!I259</f>
        <v>1.15E-2</v>
      </c>
      <c r="BF14"/>
    </row>
    <row r="15" spans="1:58" ht="15" customHeight="1" outlineLevel="1" x14ac:dyDescent="0.35">
      <c r="D15" s="1" t="str" cm="1">
        <f t="array" aca="1" ref="D15" ca="1">IFERROR(MID(_xlfn.FORMULATEXT(I15),FIND("=",_xlfn.FORMULATEXT(I15))+1,FIND("!",_xlfn.FORMULATEXT(I15))-2),MID(_xlfn.FORMULATEXT(INDEX(L15:AV15,MATCH(FALSE,ISBLANK(L15:AV15),0))),FIND("=",_xlfn.FORMULATEXT(INDEX(L15:AV15,MATCH(FALSE,ISBLANK(L15:AV15),0))))+1,FIND("!",_xlfn.FORMULATEXT(INDEX(L15:AV15,MATCH(FALSE,ISBLANK(L15:AV15),0))))-2))</f>
        <v>Transform</v>
      </c>
      <c r="E15" t="s">
        <v>251</v>
      </c>
      <c r="G15" t="str">
        <f>Transform!G150</f>
        <v>scalar</v>
      </c>
      <c r="AU15" s="151">
        <f>Transform!AU150</f>
        <v>1.0955743936244313</v>
      </c>
      <c r="AV15" s="56">
        <f>Transform!AV150</f>
        <v>1.1189764907239503</v>
      </c>
      <c r="AW15" s="56">
        <f>Transform!AW150</f>
        <v>1.1427183403407986</v>
      </c>
      <c r="AX15" s="56">
        <f>Transform!AX150</f>
        <v>1.1667944795393224</v>
      </c>
      <c r="AY15" s="56">
        <f>Transform!AY150</f>
        <v>1.191666589299726</v>
      </c>
    </row>
    <row r="16" spans="1:58" ht="14.5" outlineLevel="1" x14ac:dyDescent="0.35">
      <c r="D16" s="1" t="str" cm="1">
        <f t="array" aca="1" ref="D16" ca="1">IFERROR(MID(_xlfn.FORMULATEXT(I16),FIND("=",_xlfn.FORMULATEXT(I16))+1,FIND("!",_xlfn.FORMULATEXT(I16))-2),MID(_xlfn.FORMULATEXT(INDEX(L16:AV16,MATCH(FALSE,ISBLANK(L16:AV16),0))),FIND("=",_xlfn.FORMULATEXT(INDEX(L16:AV16,MATCH(FALSE,ISBLANK(L16:AV16),0))))+1,FIND("!",_xlfn.FORMULATEXT(INDEX(L16:AV16,MATCH(FALSE,ISBLANK(L16:AV16),0))))-2))</f>
        <v>Transform</v>
      </c>
      <c r="E16" t="s">
        <v>515</v>
      </c>
      <c r="G16" t="str">
        <f>Transform!G258</f>
        <v>scalar</v>
      </c>
      <c r="AV16" s="50">
        <f>Transform!AV258</f>
        <v>0</v>
      </c>
      <c r="AW16" s="50">
        <f>Transform!AW258</f>
        <v>0</v>
      </c>
      <c r="AX16" s="50">
        <f>Transform!AX258</f>
        <v>0</v>
      </c>
      <c r="AY16" s="50">
        <f>Transform!AY258</f>
        <v>0</v>
      </c>
      <c r="BF16"/>
    </row>
    <row r="17" spans="4:58" ht="14.5" outlineLevel="1" x14ac:dyDescent="0.35">
      <c r="D17" s="1" t="str" cm="1">
        <f t="array" aca="1" ref="D17" ca="1">IFERROR(MID(_xlfn.FORMULATEXT(I17),FIND("=",_xlfn.FORMULATEXT(I17))+1,FIND("!",_xlfn.FORMULATEXT(I17))-2),MID(_xlfn.FORMULATEXT(INDEX(L17:AV17,MATCH(FALSE,ISBLANK(L17:AV17),0))),FIND("=",_xlfn.FORMULATEXT(INDEX(L17:AV17,MATCH(FALSE,ISBLANK(L17:AV17),0))))+1,FIND("!",_xlfn.FORMULATEXT(INDEX(L17:AV17,MATCH(FALSE,ISBLANK(L17:AV17),0))))-2))</f>
        <v>Transform</v>
      </c>
      <c r="E17" t="s">
        <v>513</v>
      </c>
      <c r="G17" t="str">
        <f>nominal</f>
        <v>£m nominal</v>
      </c>
      <c r="AU17" s="148">
        <f>Transform!AU249</f>
        <v>0</v>
      </c>
      <c r="AV17" s="50">
        <f>Transform!AV249</f>
        <v>0</v>
      </c>
      <c r="AW17" s="50">
        <f>Transform!AW249</f>
        <v>0</v>
      </c>
      <c r="AX17" s="50">
        <f>Transform!AX249</f>
        <v>0</v>
      </c>
      <c r="AY17" s="50">
        <f>Transform!AY249</f>
        <v>0</v>
      </c>
      <c r="BF17"/>
    </row>
    <row r="18" spans="4:58" ht="15" customHeight="1" outlineLevel="1" x14ac:dyDescent="0.35">
      <c r="D18" s="1" t="str" cm="1">
        <f t="array" aca="1" ref="D18" ca="1">IFERROR(MID(_xlfn.FORMULATEXT(I18),FIND("=",_xlfn.FORMULATEXT(I18))+1,FIND("!",_xlfn.FORMULATEXT(I18))-2),MID(_xlfn.FORMULATEXT(INDEX(L18:AV18,MATCH(FALSE,ISBLANK(L18:AV18),0))),FIND("=",_xlfn.FORMULATEXT(INDEX(L18:AV18,MATCH(FALSE,ISBLANK(L18:AV18),0))))+1,FIND("!",_xlfn.FORMULATEXT(INDEX(L18:AV18,MATCH(FALSE,ISBLANK(L18:AV18),0))))-2))</f>
        <v>Transform</v>
      </c>
      <c r="E18" t="s">
        <v>523</v>
      </c>
      <c r="G18" t="str">
        <f>Transform!G261</f>
        <v>%</v>
      </c>
      <c r="I18" s="53">
        <f>Transform!I261</f>
        <v>1.15E-2</v>
      </c>
    </row>
    <row r="19" spans="4:58" ht="15" customHeight="1" outlineLevel="1" x14ac:dyDescent="0.35">
      <c r="D19" s="1" t="str" cm="1">
        <f t="array" aca="1" ref="D19" ca="1">IFERROR(MID(_xlfn.FORMULATEXT(I19),FIND("=",_xlfn.FORMULATEXT(I19))+1,FIND("!",_xlfn.FORMULATEXT(I19))-2),MID(_xlfn.FORMULATEXT(INDEX(L19:AV19,MATCH(FALSE,ISBLANK(L19:AV19),0))),FIND("=",_xlfn.FORMULATEXT(INDEX(L19:AV19,MATCH(FALSE,ISBLANK(L19:AV19),0))))+1,FIND("!",_xlfn.FORMULATEXT(INDEX(L19:AV19,MATCH(FALSE,ISBLANK(L19:AV19),0))))-2))</f>
        <v>Transform</v>
      </c>
      <c r="E19" t="s">
        <v>516</v>
      </c>
      <c r="G19" t="str">
        <f>Transform!G260</f>
        <v>scalar</v>
      </c>
      <c r="AV19" s="50">
        <f>Transform!AV260</f>
        <v>0</v>
      </c>
      <c r="AW19" s="50">
        <f>Transform!AW260</f>
        <v>0</v>
      </c>
      <c r="AX19" s="50">
        <f>Transform!AX260</f>
        <v>0</v>
      </c>
      <c r="AY19" s="50">
        <f>Transform!AY260</f>
        <v>0</v>
      </c>
      <c r="BF19"/>
    </row>
    <row r="20" spans="4:58" ht="14.5" outlineLevel="1" x14ac:dyDescent="0.35">
      <c r="D20" s="1" t="str" cm="1">
        <f t="array" aca="1" ref="D20" ca="1">IFERROR(MID(_xlfn.FORMULATEXT(I20),FIND("=",_xlfn.FORMULATEXT(I20))+1,FIND("!",_xlfn.FORMULATEXT(I20))-2),MID(_xlfn.FORMULATEXT(INDEX(L20:AV20,MATCH(FALSE,ISBLANK(L20:AV20),0))),FIND("=",_xlfn.FORMULATEXT(INDEX(L20:AV20,MATCH(FALSE,ISBLANK(L20:AV20),0))))+1,FIND("!",_xlfn.FORMULATEXT(INDEX(L20:AV20,MATCH(FALSE,ISBLANK(L20:AV20),0))))-2))</f>
        <v>Revenue</v>
      </c>
      <c r="E20" t="s">
        <v>376</v>
      </c>
      <c r="G20" t="str">
        <f>Revenue!G24</f>
        <v>£m 23/24 prices</v>
      </c>
      <c r="AU20" s="148">
        <f ca="1">Revenue!AU24</f>
        <v>462.84927629063674</v>
      </c>
      <c r="AV20" s="50">
        <f ca="1">Revenue!AV24</f>
        <v>500.25009439965874</v>
      </c>
      <c r="AW20" s="50">
        <f ca="1">Revenue!AW24</f>
        <v>529.8034234727229</v>
      </c>
      <c r="AX20" s="50">
        <f ca="1">Revenue!AX24</f>
        <v>528.92432349383319</v>
      </c>
      <c r="AY20" s="50">
        <f ca="1">Revenue!AY24</f>
        <v>528.99123076687863</v>
      </c>
      <c r="BF20"/>
    </row>
    <row r="21" spans="4:58" ht="14.5" outlineLevel="1" x14ac:dyDescent="0.35">
      <c r="D21" s="1" t="str" cm="1">
        <f t="array" aca="1" ref="D21" ca="1">IFERROR(MID(_xlfn.FORMULATEXT(I21),FIND("=",_xlfn.FORMULATEXT(I21))+1,FIND("!",_xlfn.FORMULATEXT(I21))-2),MID(_xlfn.FORMULATEXT(INDEX(L21:AV21,MATCH(FALSE,ISBLANK(L21:AV21),0))),FIND("=",_xlfn.FORMULATEXT(INDEX(L21:AV21,MATCH(FALSE,ISBLANK(L21:AV21),0))))+1,FIND("!",_xlfn.FORMULATEXT(INDEX(L21:AV21,MATCH(FALSE,ISBLANK(L21:AV21),0))))-2))</f>
        <v>Transform</v>
      </c>
      <c r="E21" t="s">
        <v>634</v>
      </c>
      <c r="G21" t="str">
        <f>Transform!G270</f>
        <v>£m nominal</v>
      </c>
      <c r="AU21" s="148">
        <f>Transform!AU270</f>
        <v>0.58827299559933066</v>
      </c>
      <c r="AV21" s="50">
        <f>Transform!AV270</f>
        <v>0.62294565446297789</v>
      </c>
      <c r="AW21" s="50">
        <f>Transform!AW270</f>
        <v>0.66378448416061497</v>
      </c>
      <c r="AX21" s="50">
        <f>Transform!AX270</f>
        <v>0.70756805081620389</v>
      </c>
      <c r="AY21" s="50">
        <f>Transform!AY270</f>
        <v>0.75465248305073396</v>
      </c>
      <c r="BF21"/>
    </row>
    <row r="22" spans="4:58" ht="14.5" outlineLevel="1" x14ac:dyDescent="0.35">
      <c r="D22" s="1"/>
      <c r="BF22"/>
    </row>
    <row r="23" spans="4:58" ht="14.5" outlineLevel="1" x14ac:dyDescent="0.35">
      <c r="D23" s="1" t="str" cm="1">
        <f t="array" aca="1" ref="D23" ca="1">IFERROR(MID(_xlfn.FORMULATEXT(I23),FIND("=",_xlfn.FORMULATEXT(I23))+1,FIND("!",_xlfn.FORMULATEXT(I23))-2),MID(_xlfn.FORMULATEXT(INDEX(L23:AV23,MATCH(FALSE,ISBLANK(L23:AV23),0))),FIND("=",_xlfn.FORMULATEXT(INDEX(L23:AV23,MATCH(FALSE,ISBLANK(L23:AV23),0))))+1,FIND("!",_xlfn.FORMULATEXT(INDEX(L23:AV23,MATCH(FALSE,ISBLANK(L23:AV23),0))))-2))</f>
        <v>Transform</v>
      </c>
      <c r="E23" t="s">
        <v>801</v>
      </c>
      <c r="G23" t="str">
        <f>nominal</f>
        <v>£m nominal</v>
      </c>
      <c r="J23" t="s">
        <v>13</v>
      </c>
      <c r="AT23" s="73">
        <f>Transform!AT252</f>
        <v>0</v>
      </c>
      <c r="BF23"/>
    </row>
    <row r="24" spans="4:58" ht="14.5" outlineLevel="1" x14ac:dyDescent="0.35">
      <c r="D24" s="1" t="str" cm="1">
        <f t="array" aca="1" ref="D24" ca="1">IFERROR(MID(_xlfn.FORMULATEXT(I24),FIND("=",_xlfn.FORMULATEXT(I24))+1,FIND("!",_xlfn.FORMULATEXT(I24))-2),MID(_xlfn.FORMULATEXT(INDEX(L24:AV24,MATCH(FALSE,ISBLANK(L24:AV24),0))),FIND("=",_xlfn.FORMULATEXT(INDEX(L24:AV24,MATCH(FALSE,ISBLANK(L24:AV24),0))))+1,FIND("!",_xlfn.FORMULATEXT(INDEX(L24:AV24,MATCH(FALSE,ISBLANK(L24:AV24),0))))-2))</f>
        <v>Transform</v>
      </c>
      <c r="E24" t="s">
        <v>803</v>
      </c>
      <c r="G24" t="str">
        <f t="shared" ref="G24:G26" si="0">nominal</f>
        <v>£m nominal</v>
      </c>
      <c r="J24" t="s">
        <v>13</v>
      </c>
      <c r="AT24" s="73">
        <f>Transform!AT254</f>
        <v>0</v>
      </c>
      <c r="AU24" s="148">
        <f>Transform!AU254</f>
        <v>0</v>
      </c>
      <c r="AV24" s="50">
        <f>Transform!AV254</f>
        <v>0</v>
      </c>
      <c r="AW24" s="50">
        <f>Transform!AW254</f>
        <v>0</v>
      </c>
      <c r="AX24" s="50">
        <f>Transform!AX254</f>
        <v>0</v>
      </c>
      <c r="AY24" s="50">
        <f>Transform!AY254</f>
        <v>0</v>
      </c>
      <c r="BF24"/>
    </row>
    <row r="25" spans="4:58" ht="14.5" outlineLevel="1" x14ac:dyDescent="0.35">
      <c r="D25" s="1" t="str" cm="1">
        <f t="array" aca="1" ref="D25" ca="1">IFERROR(MID(_xlfn.FORMULATEXT(I25),FIND("=",_xlfn.FORMULATEXT(I25))+1,FIND("!",_xlfn.FORMULATEXT(I25))-2),MID(_xlfn.FORMULATEXT(INDEX(L25:AV25,MATCH(FALSE,ISBLANK(L25:AV25),0))),FIND("=",_xlfn.FORMULATEXT(INDEX(L25:AV25,MATCH(FALSE,ISBLANK(L25:AV25),0))))+1,FIND("!",_xlfn.FORMULATEXT(INDEX(L25:AV25,MATCH(FALSE,ISBLANK(L25:AV25),0))))-2))</f>
        <v>Transform</v>
      </c>
      <c r="E25" t="s">
        <v>41</v>
      </c>
      <c r="G25" t="str">
        <f t="shared" si="0"/>
        <v>£m nominal</v>
      </c>
      <c r="AU25" s="148">
        <f>Transform!AU76</f>
        <v>37.635921209208249</v>
      </c>
      <c r="AV25" s="50">
        <f>Transform!AV76</f>
        <v>40.596916859204846</v>
      </c>
      <c r="AW25" s="50">
        <f>Transform!AW76</f>
        <v>41.47244730063241</v>
      </c>
      <c r="AX25" s="50">
        <f>Transform!AX76</f>
        <v>42.72307605932798</v>
      </c>
      <c r="AY25" s="50">
        <f>Transform!AY76</f>
        <v>42.53866577763926</v>
      </c>
      <c r="BF25"/>
    </row>
    <row r="26" spans="4:58" ht="14.5" outlineLevel="1" x14ac:dyDescent="0.35">
      <c r="D26" s="1" t="str" cm="1">
        <f t="array" aca="1" ref="D26" ca="1">IFERROR(MID(_xlfn.FORMULATEXT(I26),FIND("=",_xlfn.FORMULATEXT(I26))+1,FIND("!",_xlfn.FORMULATEXT(I26))-2),MID(_xlfn.FORMULATEXT(INDEX(L26:AV26,MATCH(FALSE,ISBLANK(L26:AV26),0))),FIND("=",_xlfn.FORMULATEXT(INDEX(L26:AV26,MATCH(FALSE,ISBLANK(L26:AV26),0))))+1,FIND("!",_xlfn.FORMULATEXT(INDEX(L26:AV26,MATCH(FALSE,ISBLANK(L26:AV26),0))))-2))</f>
        <v>Transform</v>
      </c>
      <c r="E26" t="s">
        <v>638</v>
      </c>
      <c r="G26" t="str">
        <f t="shared" si="0"/>
        <v>£m nominal</v>
      </c>
      <c r="AU26" s="148">
        <f>Transform!AU276</f>
        <v>0</v>
      </c>
      <c r="AV26" s="50">
        <f>Transform!AV276</f>
        <v>0</v>
      </c>
      <c r="AW26" s="50">
        <f>Transform!AW276</f>
        <v>0</v>
      </c>
      <c r="AX26" s="50">
        <f>Transform!AX276</f>
        <v>0</v>
      </c>
      <c r="AY26" s="50">
        <f>Transform!AY276</f>
        <v>0</v>
      </c>
      <c r="BF26"/>
    </row>
    <row r="27" spans="4:58" ht="14.5" outlineLevel="1" x14ac:dyDescent="0.35">
      <c r="BA27"/>
      <c r="BB27"/>
      <c r="BC27"/>
      <c r="BD27"/>
      <c r="BF27"/>
    </row>
    <row r="28" spans="4:58" ht="14.5" outlineLevel="1" x14ac:dyDescent="0.35">
      <c r="D28" s="1" t="str" cm="1">
        <f t="array" aca="1" ref="D28" ca="1">IFERROR(MID(_xlfn.FORMULATEXT(I28),FIND("=",_xlfn.FORMULATEXT(I28))+1,FIND("!",_xlfn.FORMULATEXT(I28))-2),MID(_xlfn.FORMULATEXT(INDEX(L28:AV28,MATCH(FALSE,ISBLANK(L28:AV28),0))),FIND("=",_xlfn.FORMULATEXT(INDEX(L28:AV28,MATCH(FALSE,ISBLANK(L28:AV28),0))))+1,FIND("!",_xlfn.FORMULATEXT(INDEX(L28:AV28,MATCH(FALSE,ISBLANK(L28:AV28),0))))-2))</f>
        <v>Transform</v>
      </c>
      <c r="E28" t="s">
        <v>802</v>
      </c>
      <c r="G28" t="str">
        <f>nominal</f>
        <v>£m nominal</v>
      </c>
      <c r="J28" t="s">
        <v>13</v>
      </c>
      <c r="AT28" s="73">
        <f>Transform!AT253</f>
        <v>0</v>
      </c>
      <c r="BF28"/>
    </row>
    <row r="29" spans="4:58" ht="14.5" outlineLevel="1" x14ac:dyDescent="0.35">
      <c r="D29" s="1" t="str" cm="1">
        <f t="array" aca="1" ref="D29" ca="1">IFERROR(MID(_xlfn.FORMULATEXT(I29),FIND("=",_xlfn.FORMULATEXT(I29))+1,FIND("!",_xlfn.FORMULATEXT(I29))-2),MID(_xlfn.FORMULATEXT(INDEX(L29:AV29,MATCH(FALSE,ISBLANK(L29:AV29),0))),FIND("=",_xlfn.FORMULATEXT(INDEX(L29:AV29,MATCH(FALSE,ISBLANK(L29:AV29),0))))+1,FIND("!",_xlfn.FORMULATEXT(INDEX(L29:AV29,MATCH(FALSE,ISBLANK(L29:AV29),0))))-2))</f>
        <v>Transform</v>
      </c>
      <c r="E29" t="s">
        <v>804</v>
      </c>
      <c r="G29" t="str">
        <f t="shared" ref="G29:G31" si="1">nominal</f>
        <v>£m nominal</v>
      </c>
      <c r="J29" t="s">
        <v>13</v>
      </c>
      <c r="AT29" s="73">
        <f>Transform!AT255</f>
        <v>0</v>
      </c>
      <c r="AU29" s="148">
        <f>Transform!AU255</f>
        <v>0</v>
      </c>
      <c r="AV29" s="50">
        <f>Transform!AV255</f>
        <v>0</v>
      </c>
      <c r="AW29" s="50">
        <f>Transform!AW255</f>
        <v>0</v>
      </c>
      <c r="AX29" s="50">
        <f>Transform!AX255</f>
        <v>0</v>
      </c>
      <c r="AY29" s="50">
        <f>Transform!AY255</f>
        <v>0</v>
      </c>
      <c r="BF29"/>
    </row>
    <row r="30" spans="4:58" ht="14.5" outlineLevel="1" x14ac:dyDescent="0.35">
      <c r="D30" s="1" t="str" cm="1">
        <f t="array" aca="1" ref="D30" ca="1">IFERROR(MID(_xlfn.FORMULATEXT(I30),FIND("=",_xlfn.FORMULATEXT(I30))+1,FIND("!",_xlfn.FORMULATEXT(I30))-2),MID(_xlfn.FORMULATEXT(INDEX(L30:AV30,MATCH(FALSE,ISBLANK(L30:AV30),0))),FIND("=",_xlfn.FORMULATEXT(INDEX(L30:AV30,MATCH(FALSE,ISBLANK(L30:AV30),0))))+1,FIND("!",_xlfn.FORMULATEXT(INDEX(L30:AV30,MATCH(FALSE,ISBLANK(L30:AV30),0))))-2))</f>
        <v>Transform</v>
      </c>
      <c r="E30" t="s">
        <v>596</v>
      </c>
      <c r="G30" t="str">
        <f t="shared" si="1"/>
        <v>£m nominal</v>
      </c>
      <c r="AU30" s="148">
        <f>Transform!AU79</f>
        <v>0</v>
      </c>
      <c r="AV30" s="50">
        <f>Transform!AV79</f>
        <v>0</v>
      </c>
      <c r="AW30" s="50">
        <f>Transform!AW79</f>
        <v>0</v>
      </c>
      <c r="AX30" s="50">
        <f>Transform!AX79</f>
        <v>0</v>
      </c>
      <c r="AY30" s="50">
        <f>Transform!AY79</f>
        <v>0</v>
      </c>
      <c r="BF30"/>
    </row>
    <row r="31" spans="4:58" ht="14.5" outlineLevel="1" x14ac:dyDescent="0.35">
      <c r="D31" s="1" t="str" cm="1">
        <f t="array" aca="1" ref="D31" ca="1">IFERROR(MID(_xlfn.FORMULATEXT(I31),FIND("=",_xlfn.FORMULATEXT(I31))+1,FIND("!",_xlfn.FORMULATEXT(I31))-2),MID(_xlfn.FORMULATEXT(INDEX(L31:AV31,MATCH(FALSE,ISBLANK(L31:AV31),0))),FIND("=",_xlfn.FORMULATEXT(INDEX(L31:AV31,MATCH(FALSE,ISBLANK(L31:AV31),0))))+1,FIND("!",_xlfn.FORMULATEXT(INDEX(L31:AV31,MATCH(FALSE,ISBLANK(L31:AV31),0))))-2))</f>
        <v>Transform</v>
      </c>
      <c r="E31" t="s">
        <v>640</v>
      </c>
      <c r="G31" t="str">
        <f t="shared" si="1"/>
        <v>£m nominal</v>
      </c>
      <c r="AU31" s="148">
        <f>Transform!AU282</f>
        <v>0</v>
      </c>
      <c r="AV31" s="50">
        <f>Transform!AV282</f>
        <v>0</v>
      </c>
      <c r="AW31" s="50">
        <f>Transform!AW282</f>
        <v>0</v>
      </c>
      <c r="AX31" s="50">
        <f>Transform!AX282</f>
        <v>0</v>
      </c>
      <c r="AY31" s="50">
        <f>Transform!AY282</f>
        <v>0</v>
      </c>
      <c r="BF31"/>
    </row>
    <row r="32" spans="4:58" ht="14.5" x14ac:dyDescent="0.35">
      <c r="D32" s="1"/>
      <c r="BF32"/>
    </row>
    <row r="33" spans="1:58" ht="15" customHeight="1" thickBot="1" x14ac:dyDescent="0.5">
      <c r="A33" s="13" t="s">
        <v>524</v>
      </c>
    </row>
    <row r="34" spans="1:58" ht="15" customHeight="1" thickTop="1" x14ac:dyDescent="0.35">
      <c r="E34" t="s">
        <v>624</v>
      </c>
      <c r="G34" t="str">
        <f>nominal</f>
        <v>£m nominal</v>
      </c>
      <c r="J34" t="s">
        <v>13</v>
      </c>
      <c r="AT34" s="69">
        <f t="shared" ref="AT34:AY34" si="2">SUM(AT7,AT73)</f>
        <v>0</v>
      </c>
      <c r="AU34" s="152">
        <f t="shared" ca="1" si="2"/>
        <v>507.67408820722051</v>
      </c>
      <c r="AV34" s="12">
        <f t="shared" ca="1" si="2"/>
        <v>560.39104077011802</v>
      </c>
      <c r="AW34" s="12">
        <f t="shared" ca="1" si="2"/>
        <v>606.07987326178375</v>
      </c>
      <c r="AX34" s="12">
        <f t="shared" ca="1" si="2"/>
        <v>617.8535487974915</v>
      </c>
      <c r="AY34" s="12">
        <f t="shared" ca="1" si="2"/>
        <v>631.13582822048136</v>
      </c>
      <c r="BA34" s="88" t="str">
        <f ca="1">$A$1</f>
        <v>AllowedRevenue</v>
      </c>
      <c r="BB34" s="1" t="str">
        <f>$A$33</f>
        <v>Correction term</v>
      </c>
    </row>
    <row r="35" spans="1:58" ht="15" customHeight="1" x14ac:dyDescent="0.35">
      <c r="BA35"/>
      <c r="BB35"/>
      <c r="BC35"/>
      <c r="BD35"/>
      <c r="BF35"/>
    </row>
    <row r="36" spans="1:58" ht="15" customHeight="1" x14ac:dyDescent="0.35">
      <c r="E36" t="s">
        <v>512</v>
      </c>
      <c r="G36" t="str">
        <f>nominal</f>
        <v>£m nominal</v>
      </c>
      <c r="J36" t="s">
        <v>13</v>
      </c>
      <c r="AT36" s="69">
        <f t="shared" ref="AT36:AY36" si="3">AT8</f>
        <v>0</v>
      </c>
      <c r="AU36" s="152">
        <f t="shared" si="3"/>
        <v>0</v>
      </c>
      <c r="AV36" s="12">
        <f t="shared" si="3"/>
        <v>0</v>
      </c>
      <c r="AW36" s="12">
        <f t="shared" si="3"/>
        <v>0</v>
      </c>
      <c r="AX36" s="12">
        <f t="shared" si="3"/>
        <v>0</v>
      </c>
      <c r="AY36" s="12">
        <f t="shared" si="3"/>
        <v>0</v>
      </c>
      <c r="BA36" s="88" t="str">
        <f ca="1">$A$1</f>
        <v>AllowedRevenue</v>
      </c>
      <c r="BB36" s="1" t="str">
        <f>$A$33</f>
        <v>Correction term</v>
      </c>
    </row>
    <row r="37" spans="1:58" ht="15" customHeight="1" x14ac:dyDescent="0.35">
      <c r="E37" t="s">
        <v>625</v>
      </c>
      <c r="G37" t="str">
        <f>nominal</f>
        <v>£m nominal</v>
      </c>
      <c r="J37" t="s">
        <v>13</v>
      </c>
      <c r="AT37" s="69">
        <f>IF(AT36=0,AT34,0)</f>
        <v>0</v>
      </c>
      <c r="AU37" s="152">
        <f t="shared" ref="AU37:AY37" ca="1" si="4">IF(AU36=0,AU34,0)</f>
        <v>507.67408820722051</v>
      </c>
      <c r="AV37" s="12">
        <f t="shared" ca="1" si="4"/>
        <v>560.39104077011802</v>
      </c>
      <c r="AW37" s="12">
        <f t="shared" ca="1" si="4"/>
        <v>606.07987326178375</v>
      </c>
      <c r="AX37" s="12">
        <f t="shared" ca="1" si="4"/>
        <v>617.8535487974915</v>
      </c>
      <c r="AY37" s="12">
        <f t="shared" ca="1" si="4"/>
        <v>631.13582822048136</v>
      </c>
      <c r="BA37" s="88" t="str">
        <f ca="1">$A$1</f>
        <v>AllowedRevenue</v>
      </c>
      <c r="BB37" s="1" t="str">
        <f>$A$33</f>
        <v>Correction term</v>
      </c>
      <c r="BC37"/>
      <c r="BD37"/>
      <c r="BF37"/>
    </row>
    <row r="38" spans="1:58" ht="15" customHeight="1" x14ac:dyDescent="0.35">
      <c r="E38" t="s">
        <v>512</v>
      </c>
      <c r="G38" t="str">
        <f>nominal</f>
        <v>£m nominal</v>
      </c>
      <c r="J38" t="s">
        <v>13</v>
      </c>
      <c r="AT38" s="69">
        <f>SUM(AT36:AT37)</f>
        <v>0</v>
      </c>
      <c r="AU38" s="152">
        <f t="shared" ref="AU38:AY38" ca="1" si="5">SUM(AU36:AU37)</f>
        <v>507.67408820722051</v>
      </c>
      <c r="AV38" s="12">
        <f t="shared" ca="1" si="5"/>
        <v>560.39104077011802</v>
      </c>
      <c r="AW38" s="12">
        <f t="shared" ca="1" si="5"/>
        <v>606.07987326178375</v>
      </c>
      <c r="AX38" s="12">
        <f t="shared" ca="1" si="5"/>
        <v>617.8535487974915</v>
      </c>
      <c r="AY38" s="12">
        <f t="shared" ca="1" si="5"/>
        <v>631.13582822048136</v>
      </c>
      <c r="BA38" s="88" t="str">
        <f ca="1">$A$1</f>
        <v>AllowedRevenue</v>
      </c>
      <c r="BB38" s="1" t="str">
        <f>$A$33</f>
        <v>Correction term</v>
      </c>
      <c r="BC38"/>
      <c r="BD38"/>
      <c r="BF38"/>
    </row>
    <row r="39" spans="1:58" ht="15" customHeight="1" x14ac:dyDescent="0.35">
      <c r="E39" t="s">
        <v>626</v>
      </c>
      <c r="G39" t="str">
        <f>nominal</f>
        <v>£m nominal</v>
      </c>
      <c r="J39" t="s">
        <v>13</v>
      </c>
      <c r="AT39" s="69">
        <f>AT34-AT38</f>
        <v>0</v>
      </c>
      <c r="AU39" s="152">
        <f t="shared" ref="AU39:AY39" ca="1" si="6">AU34-AU38</f>
        <v>0</v>
      </c>
      <c r="AV39" s="12">
        <f t="shared" ca="1" si="6"/>
        <v>0</v>
      </c>
      <c r="AW39" s="12">
        <f t="shared" ca="1" si="6"/>
        <v>0</v>
      </c>
      <c r="AX39" s="12">
        <f t="shared" ca="1" si="6"/>
        <v>0</v>
      </c>
      <c r="AY39" s="12">
        <f t="shared" ca="1" si="6"/>
        <v>0</v>
      </c>
      <c r="BA39" s="88" t="str">
        <f ca="1">$A$1</f>
        <v>AllowedRevenue</v>
      </c>
      <c r="BB39" s="1" t="str">
        <f>$A$33</f>
        <v>Correction term</v>
      </c>
      <c r="BC39"/>
      <c r="BD39"/>
      <c r="BF39"/>
    </row>
    <row r="40" spans="1:58" ht="15" customHeight="1" x14ac:dyDescent="0.35">
      <c r="BA40"/>
      <c r="BB40"/>
      <c r="BC40"/>
      <c r="BD40"/>
      <c r="BF40"/>
    </row>
    <row r="41" spans="1:58" ht="15" customHeight="1" x14ac:dyDescent="0.35">
      <c r="E41" t="s">
        <v>524</v>
      </c>
      <c r="G41" t="str">
        <f>nominal</f>
        <v>£m nominal</v>
      </c>
      <c r="AV41" s="12">
        <f ca="1">AU39*(1+AU$9)</f>
        <v>0</v>
      </c>
      <c r="AW41" s="12">
        <f ca="1">AV39*(1+AV$9)</f>
        <v>0</v>
      </c>
      <c r="AX41" s="12">
        <f ca="1">AW39*(1+AW$9)</f>
        <v>0</v>
      </c>
      <c r="AY41" s="12">
        <f ca="1">AX39*(1+AX$9)</f>
        <v>0</v>
      </c>
      <c r="BA41" s="88" t="str">
        <f ca="1">$A$1</f>
        <v>AllowedRevenue</v>
      </c>
      <c r="BB41" s="1" t="str">
        <f>$A$33</f>
        <v>Correction term</v>
      </c>
    </row>
    <row r="42" spans="1:58" ht="15" customHeight="1" x14ac:dyDescent="0.35">
      <c r="BA42"/>
      <c r="BB42"/>
      <c r="BC42"/>
      <c r="BD42"/>
      <c r="BF42"/>
    </row>
    <row r="43" spans="1:58" ht="15" customHeight="1" thickBot="1" x14ac:dyDescent="0.5">
      <c r="A43" s="13" t="s">
        <v>526</v>
      </c>
    </row>
    <row r="44" spans="1:58" ht="15" customHeight="1" thickTop="1" thickBot="1" x14ac:dyDescent="0.45">
      <c r="B44" s="15" t="s">
        <v>527</v>
      </c>
      <c r="BF44"/>
    </row>
    <row r="45" spans="1:58" ht="15" customHeight="1" thickTop="1" x14ac:dyDescent="0.35">
      <c r="E45" t="s">
        <v>721</v>
      </c>
      <c r="G45" t="str">
        <f>price_label</f>
        <v>£m 23/24 prices</v>
      </c>
      <c r="J45" t="s">
        <v>13</v>
      </c>
      <c r="AT45" s="69">
        <f t="shared" ref="AT45:AY45" si="7">SUM(AT10,AT11)</f>
        <v>391.28112266764794</v>
      </c>
      <c r="AU45" s="152">
        <f t="shared" si="7"/>
        <v>454.84626903950084</v>
      </c>
      <c r="AV45" s="12">
        <f t="shared" si="7"/>
        <v>472.43312208355934</v>
      </c>
      <c r="AW45" s="12">
        <f t="shared" si="7"/>
        <v>482.37932444406505</v>
      </c>
      <c r="AX45" s="12">
        <f t="shared" si="7"/>
        <v>481.39323385573101</v>
      </c>
      <c r="AY45" s="12">
        <f t="shared" si="7"/>
        <v>480.41714491526</v>
      </c>
      <c r="BA45" s="88" t="str">
        <f ca="1">$A$1</f>
        <v>AllowedRevenue</v>
      </c>
      <c r="BB45" s="1" t="str">
        <f>$A$43</f>
        <v>Forecasting penalty</v>
      </c>
      <c r="BC45" s="1" t="str">
        <f>$B$44</f>
        <v>Base Revenue</v>
      </c>
    </row>
    <row r="46" spans="1:58" ht="15" customHeight="1" x14ac:dyDescent="0.35">
      <c r="BA46" s="88"/>
    </row>
    <row r="47" spans="1:58" ht="15" customHeight="1" x14ac:dyDescent="0.35">
      <c r="E47" t="s">
        <v>722</v>
      </c>
      <c r="G47" t="str">
        <f>price_label</f>
        <v>£m 23/24 prices</v>
      </c>
      <c r="J47" t="s">
        <v>13</v>
      </c>
      <c r="AT47" s="69">
        <f t="shared" ref="AT47:AY47" si="8">AT12</f>
        <v>0</v>
      </c>
      <c r="AU47" s="152">
        <f t="shared" si="8"/>
        <v>0</v>
      </c>
      <c r="AV47" s="12">
        <f t="shared" si="8"/>
        <v>0</v>
      </c>
      <c r="AW47" s="12">
        <f t="shared" si="8"/>
        <v>0</v>
      </c>
      <c r="AX47" s="12">
        <f t="shared" si="8"/>
        <v>0</v>
      </c>
      <c r="AY47" s="12">
        <f t="shared" si="8"/>
        <v>0</v>
      </c>
      <c r="BA47" s="88" t="str">
        <f ca="1">$A$1</f>
        <v>AllowedRevenue</v>
      </c>
      <c r="BB47" s="1" t="str">
        <f>$A$43</f>
        <v>Forecasting penalty</v>
      </c>
      <c r="BC47" s="1" t="str">
        <f>$B$44</f>
        <v>Base Revenue</v>
      </c>
    </row>
    <row r="48" spans="1:58" ht="15" customHeight="1" x14ac:dyDescent="0.35">
      <c r="E48" t="s">
        <v>723</v>
      </c>
      <c r="G48" t="str">
        <f>price_label</f>
        <v>£m 23/24 prices</v>
      </c>
      <c r="J48" t="s">
        <v>13</v>
      </c>
      <c r="AT48" s="69">
        <f>IF(AT47=0,AT45,0)</f>
        <v>391.28112266764794</v>
      </c>
      <c r="AU48" s="152">
        <f t="shared" ref="AU48:AY48" si="9">IF(AU47=0,AU45,0)</f>
        <v>454.84626903950084</v>
      </c>
      <c r="AV48" s="12">
        <f t="shared" si="9"/>
        <v>472.43312208355934</v>
      </c>
      <c r="AW48" s="12">
        <f t="shared" si="9"/>
        <v>482.37932444406505</v>
      </c>
      <c r="AX48" s="12">
        <f t="shared" si="9"/>
        <v>481.39323385573101</v>
      </c>
      <c r="AY48" s="12">
        <f t="shared" si="9"/>
        <v>480.41714491526</v>
      </c>
      <c r="BA48" s="88" t="str">
        <f ca="1">$A$1</f>
        <v>AllowedRevenue</v>
      </c>
      <c r="BB48" s="1" t="str">
        <f>$A$43</f>
        <v>Forecasting penalty</v>
      </c>
      <c r="BC48" s="1" t="str">
        <f>$B$44</f>
        <v>Base Revenue</v>
      </c>
    </row>
    <row r="49" spans="2:58" ht="15" customHeight="1" x14ac:dyDescent="0.35">
      <c r="E49" t="s">
        <v>514</v>
      </c>
      <c r="G49" t="str">
        <f>price_label</f>
        <v>£m 23/24 prices</v>
      </c>
      <c r="J49" t="s">
        <v>13</v>
      </c>
      <c r="AT49" s="69">
        <f>SUM(AT47:AT48)</f>
        <v>391.28112266764794</v>
      </c>
      <c r="AU49" s="152">
        <f t="shared" ref="AU49:AY49" si="10">SUM(AU47:AU48)</f>
        <v>454.84626903950084</v>
      </c>
      <c r="AV49" s="12">
        <f t="shared" si="10"/>
        <v>472.43312208355934</v>
      </c>
      <c r="AW49" s="12">
        <f t="shared" si="10"/>
        <v>482.37932444406505</v>
      </c>
      <c r="AX49" s="12">
        <f t="shared" si="10"/>
        <v>481.39323385573101</v>
      </c>
      <c r="AY49" s="12">
        <f t="shared" si="10"/>
        <v>480.41714491526</v>
      </c>
      <c r="BA49" s="88" t="str">
        <f t="shared" ref="BA49" ca="1" si="11">$A$1</f>
        <v>AllowedRevenue</v>
      </c>
      <c r="BB49" s="1" t="str">
        <f t="shared" ref="BB49" si="12">$A$43</f>
        <v>Forecasting penalty</v>
      </c>
      <c r="BC49" s="1" t="str">
        <f t="shared" ref="BC49" si="13">$B$44</f>
        <v>Base Revenue</v>
      </c>
    </row>
    <row r="50" spans="2:58" ht="15" customHeight="1" x14ac:dyDescent="0.35">
      <c r="E50" t="s">
        <v>724</v>
      </c>
      <c r="G50" t="str">
        <f>price_label</f>
        <v>£m 23/24 prices</v>
      </c>
      <c r="J50" t="s">
        <v>13</v>
      </c>
      <c r="AT50" s="69">
        <f>AT45-AT49</f>
        <v>0</v>
      </c>
      <c r="AU50" s="152">
        <f t="shared" ref="AU50:AY50" si="14">AU45-AU49</f>
        <v>0</v>
      </c>
      <c r="AV50" s="12">
        <f t="shared" si="14"/>
        <v>0</v>
      </c>
      <c r="AW50" s="12">
        <f t="shared" si="14"/>
        <v>0</v>
      </c>
      <c r="AX50" s="12">
        <f t="shared" si="14"/>
        <v>0</v>
      </c>
      <c r="AY50" s="12">
        <f t="shared" si="14"/>
        <v>0</v>
      </c>
      <c r="BA50" s="88" t="str">
        <f ca="1">$A$1</f>
        <v>AllowedRevenue</v>
      </c>
      <c r="BB50" s="1" t="str">
        <f>$A$43</f>
        <v>Forecasting penalty</v>
      </c>
      <c r="BC50" s="1" t="str">
        <f>$B$44</f>
        <v>Base Revenue</v>
      </c>
    </row>
    <row r="51" spans="2:58" ht="15" customHeight="1" x14ac:dyDescent="0.35">
      <c r="BA51"/>
      <c r="BB51"/>
      <c r="BC51"/>
      <c r="BD51"/>
      <c r="BF51"/>
    </row>
    <row r="52" spans="2:58" ht="15" customHeight="1" x14ac:dyDescent="0.35">
      <c r="E52" t="s">
        <v>725</v>
      </c>
      <c r="G52" t="s">
        <v>77</v>
      </c>
      <c r="J52" t="s">
        <v>13</v>
      </c>
      <c r="AT52" s="69">
        <f>IFERROR(AT49/AT45,0)</f>
        <v>1</v>
      </c>
      <c r="AU52" s="152">
        <f t="shared" ref="AU52:AY52" si="15">IFERROR(AU49/AU45,0)</f>
        <v>1</v>
      </c>
      <c r="AV52" s="12">
        <f t="shared" si="15"/>
        <v>1</v>
      </c>
      <c r="AW52" s="12">
        <f t="shared" si="15"/>
        <v>1</v>
      </c>
      <c r="AX52" s="12">
        <f t="shared" si="15"/>
        <v>1</v>
      </c>
      <c r="AY52" s="12">
        <f t="shared" si="15"/>
        <v>1</v>
      </c>
      <c r="BA52" s="88" t="str">
        <f t="shared" ref="BA52:BA54" ca="1" si="16">$A$1</f>
        <v>AllowedRevenue</v>
      </c>
      <c r="BB52" s="1" t="str">
        <f t="shared" ref="BB52:BB54" si="17">$A$43</f>
        <v>Forecasting penalty</v>
      </c>
      <c r="BC52" s="1" t="str">
        <f t="shared" ref="BC52:BC54" si="18">$B$44</f>
        <v>Base Revenue</v>
      </c>
    </row>
    <row r="53" spans="2:58" ht="15" customHeight="1" x14ac:dyDescent="0.35">
      <c r="E53" t="s">
        <v>726</v>
      </c>
      <c r="G53" t="s">
        <v>109</v>
      </c>
      <c r="J53" t="s">
        <v>13</v>
      </c>
      <c r="AT53" s="172">
        <f t="shared" ref="AT53:AY53" si="19">(IF(AT52&gt;=1+$I$13,1,0)+IF(AT52&lt;=1-$I$13,-1,0))*$I$14</f>
        <v>0</v>
      </c>
      <c r="AU53" s="153">
        <f t="shared" si="19"/>
        <v>0</v>
      </c>
      <c r="AV53" s="46">
        <f t="shared" si="19"/>
        <v>0</v>
      </c>
      <c r="AW53" s="46">
        <f t="shared" si="19"/>
        <v>0</v>
      </c>
      <c r="AX53" s="46">
        <f t="shared" si="19"/>
        <v>0</v>
      </c>
      <c r="AY53" s="46">
        <f t="shared" si="19"/>
        <v>0</v>
      </c>
      <c r="BA53" s="88" t="str">
        <f t="shared" ca="1" si="16"/>
        <v>AllowedRevenue</v>
      </c>
      <c r="BB53" s="1" t="str">
        <f t="shared" si="17"/>
        <v>Forecasting penalty</v>
      </c>
      <c r="BC53" s="1" t="str">
        <f t="shared" si="18"/>
        <v>Base Revenue</v>
      </c>
    </row>
    <row r="54" spans="2:58" ht="15" customHeight="1" x14ac:dyDescent="0.35">
      <c r="E54" t="s">
        <v>727</v>
      </c>
      <c r="G54" t="str">
        <f>nominal</f>
        <v>£m nominal</v>
      </c>
      <c r="AW54" s="12">
        <f>AV50*AV15*AV16*AV53</f>
        <v>0</v>
      </c>
      <c r="AX54" s="12">
        <f>AW50*AW15*AW16*AW53</f>
        <v>0</v>
      </c>
      <c r="AY54" s="12">
        <f>AX50*AX15*AX16*AX53</f>
        <v>0</v>
      </c>
      <c r="BA54" s="88" t="str">
        <f t="shared" ca="1" si="16"/>
        <v>AllowedRevenue</v>
      </c>
      <c r="BB54" s="1" t="str">
        <f t="shared" si="17"/>
        <v>Forecasting penalty</v>
      </c>
      <c r="BC54" s="1" t="str">
        <f t="shared" si="18"/>
        <v>Base Revenue</v>
      </c>
    </row>
    <row r="55" spans="2:58" ht="15" customHeight="1" x14ac:dyDescent="0.35"/>
    <row r="56" spans="2:58" ht="15" customHeight="1" thickBot="1" x14ac:dyDescent="0.45">
      <c r="B56" s="15" t="s">
        <v>512</v>
      </c>
    </row>
    <row r="57" spans="2:58" ht="15" customHeight="1" thickTop="1" x14ac:dyDescent="0.35">
      <c r="E57" t="s">
        <v>627</v>
      </c>
      <c r="G57" t="str">
        <f>nominal</f>
        <v>£m nominal</v>
      </c>
      <c r="J57" t="s">
        <v>13</v>
      </c>
      <c r="AT57" s="69">
        <f t="shared" ref="AT57:AY57" si="20">SUM(AT7,AT17)</f>
        <v>0</v>
      </c>
      <c r="AU57" s="152">
        <f t="shared" si="20"/>
        <v>0</v>
      </c>
      <c r="AV57" s="12">
        <f t="shared" si="20"/>
        <v>0</v>
      </c>
      <c r="AW57" s="12">
        <f t="shared" si="20"/>
        <v>0</v>
      </c>
      <c r="AX57" s="12">
        <f t="shared" si="20"/>
        <v>0</v>
      </c>
      <c r="AY57" s="12">
        <f t="shared" si="20"/>
        <v>0</v>
      </c>
      <c r="BA57" s="88" t="str">
        <f ca="1">$A$1</f>
        <v>AllowedRevenue</v>
      </c>
      <c r="BB57" s="1" t="str">
        <f>$A$43</f>
        <v>Forecasting penalty</v>
      </c>
      <c r="BC57" s="1" t="str">
        <f>$B$56</f>
        <v>Recovered Revenue</v>
      </c>
      <c r="BD57"/>
      <c r="BF57"/>
    </row>
    <row r="58" spans="2:58" ht="15" customHeight="1" x14ac:dyDescent="0.35">
      <c r="E58" t="s">
        <v>629</v>
      </c>
      <c r="G58" t="str">
        <f>nominal</f>
        <v>£m nominal</v>
      </c>
      <c r="J58" t="s">
        <v>13</v>
      </c>
      <c r="AT58" s="69">
        <f>IF(AT57=0,AT34,0)</f>
        <v>0</v>
      </c>
      <c r="AU58" s="152">
        <f t="shared" ref="AU58:AY58" ca="1" si="21">IF(AU57=0,AU34,0)</f>
        <v>507.67408820722051</v>
      </c>
      <c r="AV58" s="12">
        <f t="shared" ca="1" si="21"/>
        <v>560.39104077011802</v>
      </c>
      <c r="AW58" s="12">
        <f t="shared" ca="1" si="21"/>
        <v>606.07987326178375</v>
      </c>
      <c r="AX58" s="12">
        <f t="shared" ca="1" si="21"/>
        <v>617.8535487974915</v>
      </c>
      <c r="AY58" s="12">
        <f t="shared" ca="1" si="21"/>
        <v>631.13582822048136</v>
      </c>
      <c r="BA58" s="88" t="str">
        <f ca="1">$A$1</f>
        <v>AllowedRevenue</v>
      </c>
      <c r="BB58" s="1" t="str">
        <f>$A$43</f>
        <v>Forecasting penalty</v>
      </c>
      <c r="BC58" s="1" t="str">
        <f>$B$56</f>
        <v>Recovered Revenue</v>
      </c>
      <c r="BD58"/>
      <c r="BF58"/>
    </row>
    <row r="59" spans="2:58" ht="15" customHeight="1" x14ac:dyDescent="0.35">
      <c r="E59" t="s">
        <v>513</v>
      </c>
      <c r="G59" t="str">
        <f>nominal</f>
        <v>£m nominal</v>
      </c>
      <c r="J59" t="s">
        <v>13</v>
      </c>
      <c r="AT59" s="69">
        <f>SUM(AT57:AT58)</f>
        <v>0</v>
      </c>
      <c r="AU59" s="152">
        <f t="shared" ref="AU59:AY59" ca="1" si="22">SUM(AU57:AU58)</f>
        <v>507.67408820722051</v>
      </c>
      <c r="AV59" s="12">
        <f t="shared" ca="1" si="22"/>
        <v>560.39104077011802</v>
      </c>
      <c r="AW59" s="12">
        <f t="shared" ca="1" si="22"/>
        <v>606.07987326178375</v>
      </c>
      <c r="AX59" s="12">
        <f t="shared" ca="1" si="22"/>
        <v>617.8535487974915</v>
      </c>
      <c r="AY59" s="12">
        <f t="shared" ca="1" si="22"/>
        <v>631.13582822048136</v>
      </c>
      <c r="BA59" s="88" t="str">
        <f ca="1">$A$1</f>
        <v>AllowedRevenue</v>
      </c>
      <c r="BB59" s="1" t="str">
        <f>$A$43</f>
        <v>Forecasting penalty</v>
      </c>
      <c r="BC59" s="1" t="str">
        <f>$B$56</f>
        <v>Recovered Revenue</v>
      </c>
    </row>
    <row r="60" spans="2:58" ht="15" customHeight="1" x14ac:dyDescent="0.35">
      <c r="E60" t="s">
        <v>630</v>
      </c>
      <c r="G60" t="str">
        <f>nominal</f>
        <v>£m nominal</v>
      </c>
      <c r="J60" t="s">
        <v>13</v>
      </c>
      <c r="AT60" s="69">
        <f>AT38-AT59</f>
        <v>0</v>
      </c>
      <c r="AU60" s="152">
        <f t="shared" ref="AU60:AY60" ca="1" si="23">AU38-AU59</f>
        <v>0</v>
      </c>
      <c r="AV60" s="12">
        <f t="shared" ca="1" si="23"/>
        <v>0</v>
      </c>
      <c r="AW60" s="12">
        <f t="shared" ca="1" si="23"/>
        <v>0</v>
      </c>
      <c r="AX60" s="12">
        <f t="shared" ca="1" si="23"/>
        <v>0</v>
      </c>
      <c r="AY60" s="12">
        <f t="shared" ca="1" si="23"/>
        <v>0</v>
      </c>
      <c r="BA60" s="88"/>
    </row>
    <row r="61" spans="2:58" ht="15" customHeight="1" x14ac:dyDescent="0.35"/>
    <row r="62" spans="2:58" ht="15" customHeight="1" x14ac:dyDescent="0.35">
      <c r="E62" t="s">
        <v>728</v>
      </c>
      <c r="G62" t="s">
        <v>77</v>
      </c>
      <c r="J62" t="s">
        <v>13</v>
      </c>
      <c r="AT62" s="69">
        <f>IFERROR(AT59/AT38,0)</f>
        <v>0</v>
      </c>
      <c r="AU62" s="152">
        <f t="shared" ref="AU62:AY62" ca="1" si="24">IFERROR(AU59/AU38,0)</f>
        <v>1</v>
      </c>
      <c r="AV62" s="12">
        <f t="shared" ca="1" si="24"/>
        <v>1</v>
      </c>
      <c r="AW62" s="12">
        <f t="shared" ca="1" si="24"/>
        <v>1</v>
      </c>
      <c r="AX62" s="12">
        <f t="shared" ca="1" si="24"/>
        <v>1</v>
      </c>
      <c r="AY62" s="12">
        <f t="shared" ca="1" si="24"/>
        <v>1</v>
      </c>
      <c r="BA62" s="88" t="str">
        <f t="shared" ref="BA62:BA64" ca="1" si="25">$A$1</f>
        <v>AllowedRevenue</v>
      </c>
      <c r="BB62" s="1" t="str">
        <f t="shared" ref="BB62:BB64" si="26">$A$43</f>
        <v>Forecasting penalty</v>
      </c>
      <c r="BC62" s="1" t="str">
        <f t="shared" ref="BC62:BC64" si="27">$B$56</f>
        <v>Recovered Revenue</v>
      </c>
    </row>
    <row r="63" spans="2:58" ht="15" customHeight="1" x14ac:dyDescent="0.35">
      <c r="E63" t="s">
        <v>729</v>
      </c>
      <c r="G63" t="s">
        <v>109</v>
      </c>
      <c r="J63" t="s">
        <v>13</v>
      </c>
      <c r="AT63" s="172">
        <f t="shared" ref="AT63:AY63" si="28">(IF(AT62&gt;=1+$I$13,1,0)+IF(AT62&lt;=1-$I$13,-1,0))*$I$18</f>
        <v>-1.15E-2</v>
      </c>
      <c r="AU63" s="153">
        <f t="shared" ca="1" si="28"/>
        <v>0</v>
      </c>
      <c r="AV63" s="46">
        <f t="shared" ca="1" si="28"/>
        <v>0</v>
      </c>
      <c r="AW63" s="46">
        <f t="shared" ca="1" si="28"/>
        <v>0</v>
      </c>
      <c r="AX63" s="46">
        <f t="shared" ca="1" si="28"/>
        <v>0</v>
      </c>
      <c r="AY63" s="46">
        <f t="shared" ca="1" si="28"/>
        <v>0</v>
      </c>
      <c r="BA63" s="88" t="str">
        <f t="shared" ca="1" si="25"/>
        <v>AllowedRevenue</v>
      </c>
      <c r="BB63" s="1" t="str">
        <f t="shared" si="26"/>
        <v>Forecasting penalty</v>
      </c>
      <c r="BC63" s="1" t="str">
        <f t="shared" si="27"/>
        <v>Recovered Revenue</v>
      </c>
    </row>
    <row r="64" spans="2:58" ht="15" customHeight="1" x14ac:dyDescent="0.35">
      <c r="E64" t="s">
        <v>730</v>
      </c>
      <c r="G64" t="str">
        <f>nominal</f>
        <v>£m nominal</v>
      </c>
      <c r="AW64" s="12">
        <f ca="1">AV60*AV19*AV63</f>
        <v>0</v>
      </c>
      <c r="AX64" s="12">
        <f ca="1">AW60*AW19*AW63</f>
        <v>0</v>
      </c>
      <c r="AY64" s="12">
        <f ca="1">AX60*AX19*AX63</f>
        <v>0</v>
      </c>
      <c r="BA64" s="88" t="str">
        <f t="shared" ca="1" si="25"/>
        <v>AllowedRevenue</v>
      </c>
      <c r="BB64" s="1" t="str">
        <f t="shared" si="26"/>
        <v>Forecasting penalty</v>
      </c>
      <c r="BC64" s="1" t="str">
        <f t="shared" si="27"/>
        <v>Recovered Revenue</v>
      </c>
    </row>
    <row r="65" spans="1:58" ht="15" customHeight="1" x14ac:dyDescent="0.35"/>
    <row r="66" spans="1:58" ht="15" customHeight="1" x14ac:dyDescent="0.35">
      <c r="E66" t="s">
        <v>528</v>
      </c>
      <c r="G66" t="str">
        <f>nominal</f>
        <v>£m nominal</v>
      </c>
      <c r="AW66" s="12">
        <f ca="1">SUM(AW54,AW64)</f>
        <v>0</v>
      </c>
      <c r="AX66" s="12">
        <f ca="1">SUM(AX54,AX64)</f>
        <v>0</v>
      </c>
      <c r="AY66" s="12">
        <f ca="1">SUM(AY54,AY64)</f>
        <v>0</v>
      </c>
      <c r="BA66" s="88" t="str">
        <f ca="1">$A$1</f>
        <v>AllowedRevenue</v>
      </c>
      <c r="BB66" s="1" t="str">
        <f>$A$43</f>
        <v>Forecasting penalty</v>
      </c>
      <c r="BC66" s="1" t="str">
        <f>$B$56</f>
        <v>Recovered Revenue</v>
      </c>
    </row>
    <row r="67" spans="1:58" ht="15" customHeight="1" x14ac:dyDescent="0.35"/>
    <row r="68" spans="1:58" ht="15" customHeight="1" thickBot="1" x14ac:dyDescent="0.5">
      <c r="A68" s="13" t="s">
        <v>525</v>
      </c>
    </row>
    <row r="69" spans="1:58" ht="15" customHeight="1" thickTop="1" x14ac:dyDescent="0.35">
      <c r="E69" t="s">
        <v>731</v>
      </c>
      <c r="G69" t="str">
        <f t="shared" ref="G69:G73" si="29">nominal</f>
        <v>£m nominal</v>
      </c>
      <c r="AU69" s="154">
        <f ca="1">AU20*PCf</f>
        <v>507.0858152116212</v>
      </c>
      <c r="AV69" s="27">
        <f ca="1">AV20*PCf</f>
        <v>559.768095115655</v>
      </c>
      <c r="AW69" s="27">
        <f ca="1">AW20*PCf</f>
        <v>605.41608877762314</v>
      </c>
      <c r="AX69" s="27">
        <f ca="1">AX20*PCf</f>
        <v>617.14598074667526</v>
      </c>
      <c r="AY69" s="27">
        <f ca="1">AY20*PCf</f>
        <v>630.38117573743057</v>
      </c>
      <c r="BA69" s="88" t="str">
        <f ca="1">$A$1</f>
        <v>AllowedRevenue</v>
      </c>
      <c r="BB69" s="1" t="str">
        <f>$A$68</f>
        <v>Allowed revenue</v>
      </c>
    </row>
    <row r="70" spans="1:58" ht="15" customHeight="1" x14ac:dyDescent="0.35">
      <c r="E70" t="s">
        <v>529</v>
      </c>
      <c r="G70" t="str">
        <f t="shared" si="29"/>
        <v>£m nominal</v>
      </c>
      <c r="AU70" s="329">
        <f>AU21</f>
        <v>0.58827299559933066</v>
      </c>
      <c r="AV70" s="27">
        <f>AV21</f>
        <v>0.62294565446297789</v>
      </c>
      <c r="AW70" s="27">
        <f>AW21</f>
        <v>0.66378448416061497</v>
      </c>
      <c r="AX70" s="27">
        <f>AX21</f>
        <v>0.70756805081620389</v>
      </c>
      <c r="AY70" s="27">
        <f>AY21</f>
        <v>0.75465248305073396</v>
      </c>
      <c r="BA70" s="88" t="str">
        <f t="shared" ref="BA70:BA73" ca="1" si="30">$A$1</f>
        <v>AllowedRevenue</v>
      </c>
      <c r="BB70" s="1" t="str">
        <f t="shared" ref="BB70:BB73" si="31">$A$68</f>
        <v>Allowed revenue</v>
      </c>
    </row>
    <row r="71" spans="1:58" ht="15" customHeight="1" x14ac:dyDescent="0.35">
      <c r="E71" t="s">
        <v>524</v>
      </c>
      <c r="G71" t="str">
        <f t="shared" si="29"/>
        <v>£m nominal</v>
      </c>
      <c r="AU71" s="154">
        <f>AU41</f>
        <v>0</v>
      </c>
      <c r="AV71" s="27">
        <f t="shared" ref="AV71:AY71" ca="1" si="32">AV41</f>
        <v>0</v>
      </c>
      <c r="AW71" s="27">
        <f t="shared" ca="1" si="32"/>
        <v>0</v>
      </c>
      <c r="AX71" s="27">
        <f t="shared" ca="1" si="32"/>
        <v>0</v>
      </c>
      <c r="AY71" s="27">
        <f t="shared" ca="1" si="32"/>
        <v>0</v>
      </c>
      <c r="BA71" s="88" t="str">
        <f t="shared" ca="1" si="30"/>
        <v>AllowedRevenue</v>
      </c>
      <c r="BB71" s="1" t="str">
        <f t="shared" si="31"/>
        <v>Allowed revenue</v>
      </c>
    </row>
    <row r="72" spans="1:58" ht="15" customHeight="1" x14ac:dyDescent="0.35">
      <c r="E72" t="s">
        <v>526</v>
      </c>
      <c r="G72" t="str">
        <f t="shared" si="29"/>
        <v>£m nominal</v>
      </c>
      <c r="AU72" s="154">
        <f>AU66</f>
        <v>0</v>
      </c>
      <c r="AV72" s="27">
        <f t="shared" ref="AV72:AY72" si="33">AV66</f>
        <v>0</v>
      </c>
      <c r="AW72" s="27">
        <f t="shared" ca="1" si="33"/>
        <v>0</v>
      </c>
      <c r="AX72" s="27">
        <f t="shared" ca="1" si="33"/>
        <v>0</v>
      </c>
      <c r="AY72" s="27">
        <f t="shared" ca="1" si="33"/>
        <v>0</v>
      </c>
      <c r="BA72" s="88" t="str">
        <f t="shared" ca="1" si="30"/>
        <v>AllowedRevenue</v>
      </c>
      <c r="BB72" s="1" t="str">
        <f t="shared" si="31"/>
        <v>Allowed revenue</v>
      </c>
    </row>
    <row r="73" spans="1:58" ht="15" customHeight="1" x14ac:dyDescent="0.35">
      <c r="E73" t="s">
        <v>624</v>
      </c>
      <c r="G73" t="str">
        <f t="shared" si="29"/>
        <v>£m nominal</v>
      </c>
      <c r="AU73" s="155">
        <f ca="1">SUM(AU69:AU72)</f>
        <v>507.67408820722051</v>
      </c>
      <c r="AV73" s="52">
        <f t="shared" ref="AV73:AY73" ca="1" si="34">SUM(AV69:AV72)</f>
        <v>560.39104077011802</v>
      </c>
      <c r="AW73" s="52">
        <f t="shared" ca="1" si="34"/>
        <v>606.07987326178375</v>
      </c>
      <c r="AX73" s="52">
        <f t="shared" ca="1" si="34"/>
        <v>617.8535487974915</v>
      </c>
      <c r="AY73" s="52">
        <f t="shared" ca="1" si="34"/>
        <v>631.13582822048136</v>
      </c>
      <c r="BA73" s="88" t="str">
        <f t="shared" ca="1" si="30"/>
        <v>AllowedRevenue</v>
      </c>
      <c r="BB73" s="1" t="str">
        <f t="shared" si="31"/>
        <v>Allowed revenue</v>
      </c>
    </row>
    <row r="74" spans="1:58" ht="15" customHeight="1" x14ac:dyDescent="0.35">
      <c r="AU74" s="331"/>
      <c r="AV74" s="331"/>
      <c r="AW74" s="331"/>
      <c r="AX74" s="331"/>
      <c r="AY74" s="331"/>
    </row>
    <row r="75" spans="1:58" ht="15" customHeight="1" x14ac:dyDescent="0.35">
      <c r="D75" s="335" t="s">
        <v>961</v>
      </c>
      <c r="E75" s="336"/>
    </row>
    <row r="76" spans="1:58" ht="15" customHeight="1" thickBot="1" x14ac:dyDescent="0.5">
      <c r="A76" s="13" t="s">
        <v>605</v>
      </c>
    </row>
    <row r="77" spans="1:58" ht="15" customHeight="1" thickTop="1" thickBot="1" x14ac:dyDescent="0.45">
      <c r="B77" s="15" t="s">
        <v>524</v>
      </c>
      <c r="BA77"/>
      <c r="BB77"/>
      <c r="BC77"/>
      <c r="BD77"/>
      <c r="BF77"/>
    </row>
    <row r="78" spans="1:58" ht="15" customHeight="1" thickTop="1" x14ac:dyDescent="0.35">
      <c r="E78" t="s">
        <v>624</v>
      </c>
      <c r="G78" t="str">
        <f>nominal</f>
        <v>£m nominal</v>
      </c>
      <c r="J78" t="s">
        <v>13</v>
      </c>
      <c r="AT78" s="69">
        <f t="shared" ref="AT78:AY78" si="35">SUM(AT23,AT95)</f>
        <v>0</v>
      </c>
      <c r="AU78" s="152">
        <f t="shared" si="35"/>
        <v>41.2329515572752</v>
      </c>
      <c r="AV78" s="12">
        <f t="shared" si="35"/>
        <v>45.426995561325015</v>
      </c>
      <c r="AW78" s="12">
        <f t="shared" ca="1" si="35"/>
        <v>47.391326149249899</v>
      </c>
      <c r="AX78" s="12">
        <f t="shared" ca="1" si="35"/>
        <v>49.849049294962477</v>
      </c>
      <c r="AY78" s="12">
        <f t="shared" ca="1" si="35"/>
        <v>50.691906760600354</v>
      </c>
      <c r="BA78" s="88" t="str">
        <f t="shared" ref="BA78:BA85" ca="1" si="36">$A$1</f>
        <v>AllowedRevenue</v>
      </c>
      <c r="BB78" s="1" t="str">
        <f>$A$76</f>
        <v>Exit</v>
      </c>
      <c r="BC78" s="1" t="str">
        <f>$B$77</f>
        <v>Correction term</v>
      </c>
    </row>
    <row r="79" spans="1:58" ht="15" customHeight="1" x14ac:dyDescent="0.35"/>
    <row r="80" spans="1:58" ht="15" customHeight="1" x14ac:dyDescent="0.35">
      <c r="E80" t="s">
        <v>512</v>
      </c>
      <c r="G80" t="str">
        <f>nominal</f>
        <v>£m nominal</v>
      </c>
      <c r="J80" t="s">
        <v>13</v>
      </c>
      <c r="AT80" s="69">
        <f t="shared" ref="AT80:AY80" si="37">AT24</f>
        <v>0</v>
      </c>
      <c r="AU80" s="152">
        <f t="shared" si="37"/>
        <v>0</v>
      </c>
      <c r="AV80" s="12">
        <f t="shared" si="37"/>
        <v>0</v>
      </c>
      <c r="AW80" s="12">
        <f t="shared" si="37"/>
        <v>0</v>
      </c>
      <c r="AX80" s="12">
        <f t="shared" si="37"/>
        <v>0</v>
      </c>
      <c r="AY80" s="12">
        <f t="shared" si="37"/>
        <v>0</v>
      </c>
      <c r="BA80" s="88" t="str">
        <f t="shared" ca="1" si="36"/>
        <v>AllowedRevenue</v>
      </c>
      <c r="BB80" s="1" t="str">
        <f>$A$76</f>
        <v>Exit</v>
      </c>
      <c r="BC80" s="1" t="str">
        <f>$B$77</f>
        <v>Correction term</v>
      </c>
    </row>
    <row r="81" spans="2:55" ht="15" customHeight="1" x14ac:dyDescent="0.35">
      <c r="E81" t="s">
        <v>625</v>
      </c>
      <c r="G81" t="str">
        <f>nominal</f>
        <v>£m nominal</v>
      </c>
      <c r="J81" t="s">
        <v>13</v>
      </c>
      <c r="AT81" s="69">
        <f>IF(AT80=0,AT78,0)</f>
        <v>0</v>
      </c>
      <c r="AU81" s="152">
        <f t="shared" ref="AU81" si="38">IF(AU80=0,AU78,0)</f>
        <v>41.2329515572752</v>
      </c>
      <c r="AV81" s="12">
        <f t="shared" ref="AV81" si="39">IF(AV80=0,AV78,0)</f>
        <v>45.426995561325015</v>
      </c>
      <c r="AW81" s="12">
        <f t="shared" ref="AW81" ca="1" si="40">IF(AW80=0,AW78,0)</f>
        <v>47.391326149249899</v>
      </c>
      <c r="AX81" s="12">
        <f t="shared" ref="AX81" ca="1" si="41">IF(AX80=0,AX78,0)</f>
        <v>49.849049294962477</v>
      </c>
      <c r="AY81" s="12">
        <f t="shared" ref="AY81" ca="1" si="42">IF(AY80=0,AY78,0)</f>
        <v>50.691906760600354</v>
      </c>
      <c r="BA81" s="88" t="str">
        <f t="shared" ca="1" si="36"/>
        <v>AllowedRevenue</v>
      </c>
      <c r="BB81" s="1" t="str">
        <f>$A$76</f>
        <v>Exit</v>
      </c>
      <c r="BC81" s="1" t="str">
        <f>$B$77</f>
        <v>Correction term</v>
      </c>
    </row>
    <row r="82" spans="2:55" ht="15" customHeight="1" x14ac:dyDescent="0.35">
      <c r="E82" t="s">
        <v>512</v>
      </c>
      <c r="G82" t="str">
        <f>nominal</f>
        <v>£m nominal</v>
      </c>
      <c r="J82" t="s">
        <v>13</v>
      </c>
      <c r="AT82" s="69">
        <f>SUM(AT80:AT81)</f>
        <v>0</v>
      </c>
      <c r="AU82" s="152">
        <f t="shared" ref="AU82" si="43">SUM(AU80:AU81)</f>
        <v>41.2329515572752</v>
      </c>
      <c r="AV82" s="12">
        <f t="shared" ref="AV82" si="44">SUM(AV80:AV81)</f>
        <v>45.426995561325015</v>
      </c>
      <c r="AW82" s="12">
        <f t="shared" ref="AW82" ca="1" si="45">SUM(AW80:AW81)</f>
        <v>47.391326149249899</v>
      </c>
      <c r="AX82" s="12">
        <f t="shared" ref="AX82" ca="1" si="46">SUM(AX80:AX81)</f>
        <v>49.849049294962477</v>
      </c>
      <c r="AY82" s="12">
        <f t="shared" ref="AY82" ca="1" si="47">SUM(AY80:AY81)</f>
        <v>50.691906760600354</v>
      </c>
      <c r="BA82" s="88" t="str">
        <f t="shared" ca="1" si="36"/>
        <v>AllowedRevenue</v>
      </c>
      <c r="BB82" s="1" t="str">
        <f>$A$76</f>
        <v>Exit</v>
      </c>
      <c r="BC82" s="1" t="str">
        <f>$B$77</f>
        <v>Correction term</v>
      </c>
    </row>
    <row r="83" spans="2:55" ht="15" customHeight="1" x14ac:dyDescent="0.35">
      <c r="E83" t="s">
        <v>626</v>
      </c>
      <c r="G83" t="str">
        <f>nominal</f>
        <v>£m nominal</v>
      </c>
      <c r="J83" t="s">
        <v>13</v>
      </c>
      <c r="AT83" s="69">
        <f>AT78-AT82</f>
        <v>0</v>
      </c>
      <c r="AU83" s="152">
        <f t="shared" ref="AU83" si="48">AU78-AU82</f>
        <v>0</v>
      </c>
      <c r="AV83" s="12">
        <f t="shared" ref="AV83" si="49">AV78-AV82</f>
        <v>0</v>
      </c>
      <c r="AW83" s="12">
        <f t="shared" ref="AW83" ca="1" si="50">AW78-AW82</f>
        <v>0</v>
      </c>
      <c r="AX83" s="12">
        <f t="shared" ref="AX83" ca="1" si="51">AX78-AX82</f>
        <v>0</v>
      </c>
      <c r="AY83" s="12">
        <f t="shared" ref="AY83" ca="1" si="52">AY78-AY82</f>
        <v>0</v>
      </c>
      <c r="BA83" s="88" t="str">
        <f t="shared" ca="1" si="36"/>
        <v>AllowedRevenue</v>
      </c>
      <c r="BB83" s="1" t="str">
        <f>$A$76</f>
        <v>Exit</v>
      </c>
      <c r="BC83" s="1" t="str">
        <f>$B$77</f>
        <v>Correction term</v>
      </c>
    </row>
    <row r="84" spans="2:55" ht="15" customHeight="1" x14ac:dyDescent="0.35"/>
    <row r="85" spans="2:55" ht="15" customHeight="1" x14ac:dyDescent="0.35">
      <c r="E85" t="s">
        <v>524</v>
      </c>
      <c r="G85" t="str">
        <f>nominal</f>
        <v>£m nominal</v>
      </c>
      <c r="AV85" s="12">
        <f>AU83*(1+AU$9)</f>
        <v>0</v>
      </c>
      <c r="AW85" s="12">
        <f>AV83*(1+AV$9)</f>
        <v>0</v>
      </c>
      <c r="AX85" s="12">
        <f ca="1">AW83*(1+AW$9)</f>
        <v>0</v>
      </c>
      <c r="AY85" s="12">
        <f ca="1">AX83*(1+AX$9)</f>
        <v>0</v>
      </c>
      <c r="BA85" s="88" t="str">
        <f t="shared" ca="1" si="36"/>
        <v>AllowedRevenue</v>
      </c>
      <c r="BB85" s="1" t="str">
        <f>$A$76</f>
        <v>Exit</v>
      </c>
      <c r="BC85" s="1" t="str">
        <f>$B$77</f>
        <v>Correction term</v>
      </c>
    </row>
    <row r="86" spans="2:55" ht="15" customHeight="1" x14ac:dyDescent="0.35"/>
    <row r="87" spans="2:55" ht="15" customHeight="1" thickBot="1" x14ac:dyDescent="0.45">
      <c r="B87" s="15" t="s">
        <v>526</v>
      </c>
    </row>
    <row r="88" spans="2:55" ht="15" customHeight="1" thickTop="1" x14ac:dyDescent="0.35">
      <c r="E88" t="s">
        <v>631</v>
      </c>
      <c r="G88" t="s">
        <v>109</v>
      </c>
      <c r="AW88" s="46">
        <f ca="1">AW25/AW$20</f>
        <v>7.8278934154089388E-2</v>
      </c>
      <c r="AX88" s="46">
        <f ca="1">AX25/AX$20</f>
        <v>8.0773513642025008E-2</v>
      </c>
      <c r="AY88" s="46">
        <f ca="1">AY25/AY$20</f>
        <v>8.0414689891873919E-2</v>
      </c>
      <c r="BA88" s="88" t="str">
        <f t="shared" ref="BA88" ca="1" si="53">$A$1</f>
        <v>AllowedRevenue</v>
      </c>
      <c r="BB88" s="1" t="str">
        <f>$A$76</f>
        <v>Exit</v>
      </c>
      <c r="BC88" s="1" t="str">
        <f>$B$87</f>
        <v>Forecasting penalty</v>
      </c>
    </row>
    <row r="89" spans="2:55" ht="15" customHeight="1" x14ac:dyDescent="0.35"/>
    <row r="90" spans="2:55" ht="15" customHeight="1" thickBot="1" x14ac:dyDescent="0.45">
      <c r="B90" s="15" t="s">
        <v>525</v>
      </c>
    </row>
    <row r="91" spans="2:55" ht="15" customHeight="1" thickTop="1" x14ac:dyDescent="0.35">
      <c r="E91" t="s">
        <v>731</v>
      </c>
      <c r="G91" t="str">
        <f t="shared" ref="G91:G95" si="54">nominal</f>
        <v>£m nominal</v>
      </c>
      <c r="AU91" s="154">
        <f>AU25*PCf</f>
        <v>41.2329515572752</v>
      </c>
      <c r="AV91" s="27">
        <f>AV25*PCf</f>
        <v>45.426995561325015</v>
      </c>
      <c r="AW91" s="27">
        <f>AW25*PCf</f>
        <v>47.391326149249899</v>
      </c>
      <c r="AX91" s="27">
        <f>AX25*PCf</f>
        <v>49.849049294962477</v>
      </c>
      <c r="AY91" s="27">
        <f>AY25*PCf</f>
        <v>50.691906760600354</v>
      </c>
      <c r="BA91" s="88" t="str">
        <f t="shared" ref="BA91:BA95" ca="1" si="55">$A$1</f>
        <v>AllowedRevenue</v>
      </c>
      <c r="BB91" s="1" t="str">
        <f>$A$76</f>
        <v>Exit</v>
      </c>
      <c r="BC91" s="1" t="str">
        <f>$B$90</f>
        <v>Allowed revenue</v>
      </c>
    </row>
    <row r="92" spans="2:55" ht="15" customHeight="1" x14ac:dyDescent="0.35">
      <c r="E92" t="s">
        <v>529</v>
      </c>
      <c r="G92" t="str">
        <f t="shared" si="54"/>
        <v>£m nominal</v>
      </c>
      <c r="AU92" s="154">
        <f>AU26</f>
        <v>0</v>
      </c>
      <c r="AV92" s="27">
        <f>AV26</f>
        <v>0</v>
      </c>
      <c r="AW92" s="27">
        <f>AW26</f>
        <v>0</v>
      </c>
      <c r="AX92" s="27">
        <f>AX26</f>
        <v>0</v>
      </c>
      <c r="AY92" s="27">
        <f>AY26</f>
        <v>0</v>
      </c>
      <c r="BA92" s="88" t="str">
        <f t="shared" ca="1" si="55"/>
        <v>AllowedRevenue</v>
      </c>
      <c r="BB92" s="1" t="str">
        <f t="shared" ref="BB92:BB95" si="56">$A$76</f>
        <v>Exit</v>
      </c>
      <c r="BC92" s="1" t="str">
        <f t="shared" ref="BC92:BC95" si="57">$B$90</f>
        <v>Allowed revenue</v>
      </c>
    </row>
    <row r="93" spans="2:55" ht="15" customHeight="1" x14ac:dyDescent="0.35">
      <c r="E93" t="s">
        <v>524</v>
      </c>
      <c r="G93" t="str">
        <f t="shared" si="54"/>
        <v>£m nominal</v>
      </c>
      <c r="AU93" s="154">
        <f>AU85</f>
        <v>0</v>
      </c>
      <c r="AV93" s="27">
        <f t="shared" ref="AV93:AY93" si="58">AV85</f>
        <v>0</v>
      </c>
      <c r="AW93" s="27">
        <f t="shared" si="58"/>
        <v>0</v>
      </c>
      <c r="AX93" s="27">
        <f t="shared" ca="1" si="58"/>
        <v>0</v>
      </c>
      <c r="AY93" s="27">
        <f t="shared" ca="1" si="58"/>
        <v>0</v>
      </c>
      <c r="BA93" s="88" t="str">
        <f t="shared" ca="1" si="55"/>
        <v>AllowedRevenue</v>
      </c>
      <c r="BB93" s="1" t="str">
        <f t="shared" si="56"/>
        <v>Exit</v>
      </c>
      <c r="BC93" s="1" t="str">
        <f t="shared" si="57"/>
        <v>Allowed revenue</v>
      </c>
    </row>
    <row r="94" spans="2:55" ht="15" customHeight="1" x14ac:dyDescent="0.35">
      <c r="E94" t="s">
        <v>526</v>
      </c>
      <c r="G94" t="str">
        <f t="shared" si="54"/>
        <v>£m nominal</v>
      </c>
      <c r="AU94" s="154">
        <f>AU$66*AU88</f>
        <v>0</v>
      </c>
      <c r="AV94" s="27">
        <f t="shared" ref="AV94:AY94" si="59">AV$66*AV88</f>
        <v>0</v>
      </c>
      <c r="AW94" s="27">
        <f t="shared" ca="1" si="59"/>
        <v>0</v>
      </c>
      <c r="AX94" s="27">
        <f t="shared" ca="1" si="59"/>
        <v>0</v>
      </c>
      <c r="AY94" s="27">
        <f t="shared" ca="1" si="59"/>
        <v>0</v>
      </c>
      <c r="BA94" s="88" t="str">
        <f t="shared" ca="1" si="55"/>
        <v>AllowedRevenue</v>
      </c>
      <c r="BB94" s="1" t="str">
        <f t="shared" si="56"/>
        <v>Exit</v>
      </c>
      <c r="BC94" s="1" t="str">
        <f t="shared" si="57"/>
        <v>Allowed revenue</v>
      </c>
    </row>
    <row r="95" spans="2:55" ht="15" customHeight="1" x14ac:dyDescent="0.35">
      <c r="E95" t="s">
        <v>624</v>
      </c>
      <c r="G95" t="str">
        <f t="shared" si="54"/>
        <v>£m nominal</v>
      </c>
      <c r="AU95" s="155">
        <f>SUM(AU91:AU94)</f>
        <v>41.2329515572752</v>
      </c>
      <c r="AV95" s="52">
        <f t="shared" ref="AV95:AY95" si="60">SUM(AV91:AV94)</f>
        <v>45.426995561325015</v>
      </c>
      <c r="AW95" s="52">
        <f t="shared" ca="1" si="60"/>
        <v>47.391326149249899</v>
      </c>
      <c r="AX95" s="52">
        <f t="shared" ca="1" si="60"/>
        <v>49.849049294962477</v>
      </c>
      <c r="AY95" s="52">
        <f t="shared" ca="1" si="60"/>
        <v>50.691906760600354</v>
      </c>
      <c r="BA95" s="88" t="str">
        <f t="shared" ca="1" si="55"/>
        <v>AllowedRevenue</v>
      </c>
      <c r="BB95" s="1" t="str">
        <f t="shared" si="56"/>
        <v>Exit</v>
      </c>
      <c r="BC95" s="1" t="str">
        <f t="shared" si="57"/>
        <v>Allowed revenue</v>
      </c>
    </row>
    <row r="96" spans="2:55" ht="15" customHeight="1" x14ac:dyDescent="0.35"/>
    <row r="97" spans="1:58" ht="15" customHeight="1" thickBot="1" x14ac:dyDescent="0.5">
      <c r="A97" s="13" t="s">
        <v>606</v>
      </c>
    </row>
    <row r="98" spans="1:58" ht="15" customHeight="1" thickTop="1" thickBot="1" x14ac:dyDescent="0.45">
      <c r="B98" s="15" t="s">
        <v>524</v>
      </c>
      <c r="BA98"/>
      <c r="BB98"/>
      <c r="BC98"/>
      <c r="BD98"/>
      <c r="BF98"/>
    </row>
    <row r="99" spans="1:58" ht="15" customHeight="1" thickTop="1" x14ac:dyDescent="0.35">
      <c r="E99" t="s">
        <v>624</v>
      </c>
      <c r="G99" t="str">
        <f>nominal</f>
        <v>£m nominal</v>
      </c>
      <c r="J99" t="s">
        <v>13</v>
      </c>
      <c r="AT99" s="69">
        <f t="shared" ref="AT99:AY99" si="61">SUM(AT28,AT116)</f>
        <v>0</v>
      </c>
      <c r="AU99" s="152">
        <f t="shared" si="61"/>
        <v>0</v>
      </c>
      <c r="AV99" s="12">
        <f t="shared" si="61"/>
        <v>0</v>
      </c>
      <c r="AW99" s="12">
        <f t="shared" ca="1" si="61"/>
        <v>0</v>
      </c>
      <c r="AX99" s="12">
        <f t="shared" ca="1" si="61"/>
        <v>0</v>
      </c>
      <c r="AY99" s="12">
        <f t="shared" ca="1" si="61"/>
        <v>0</v>
      </c>
      <c r="BA99" s="88" t="str">
        <f t="shared" ref="BA99:BA106" ca="1" si="62">$A$1</f>
        <v>AllowedRevenue</v>
      </c>
      <c r="BB99" s="1" t="str">
        <f>$A$97</f>
        <v>SoLR</v>
      </c>
      <c r="BC99" s="1" t="str">
        <f>$B$98</f>
        <v>Correction term</v>
      </c>
    </row>
    <row r="100" spans="1:58" ht="15" customHeight="1" x14ac:dyDescent="0.35"/>
    <row r="101" spans="1:58" ht="15" customHeight="1" x14ac:dyDescent="0.35">
      <c r="E101" t="s">
        <v>512</v>
      </c>
      <c r="G101" t="str">
        <f>nominal</f>
        <v>£m nominal</v>
      </c>
      <c r="J101" t="s">
        <v>13</v>
      </c>
      <c r="AT101" s="69">
        <f t="shared" ref="AT101:AY101" si="63">AT29</f>
        <v>0</v>
      </c>
      <c r="AU101" s="152">
        <f t="shared" si="63"/>
        <v>0</v>
      </c>
      <c r="AV101" s="12">
        <f t="shared" si="63"/>
        <v>0</v>
      </c>
      <c r="AW101" s="12">
        <f t="shared" si="63"/>
        <v>0</v>
      </c>
      <c r="AX101" s="12">
        <f t="shared" si="63"/>
        <v>0</v>
      </c>
      <c r="AY101" s="12">
        <f t="shared" si="63"/>
        <v>0</v>
      </c>
      <c r="BA101" s="88" t="str">
        <f t="shared" ca="1" si="62"/>
        <v>AllowedRevenue</v>
      </c>
      <c r="BB101" s="1" t="str">
        <f t="shared" ref="BB101:BB104" si="64">$A$97</f>
        <v>SoLR</v>
      </c>
      <c r="BC101" s="1" t="str">
        <f t="shared" ref="BC101:BC104" si="65">$B$98</f>
        <v>Correction term</v>
      </c>
    </row>
    <row r="102" spans="1:58" ht="15" customHeight="1" x14ac:dyDescent="0.35">
      <c r="E102" t="s">
        <v>625</v>
      </c>
      <c r="G102" t="str">
        <f t="shared" ref="G102:G104" si="66">nominal</f>
        <v>£m nominal</v>
      </c>
      <c r="J102" t="s">
        <v>13</v>
      </c>
      <c r="AT102" s="69">
        <f>IF(AT101=0,AT99,0)</f>
        <v>0</v>
      </c>
      <c r="AU102" s="152">
        <f t="shared" ref="AU102" si="67">IF(AU101=0,AU99,0)</f>
        <v>0</v>
      </c>
      <c r="AV102" s="12">
        <f t="shared" ref="AV102" si="68">IF(AV101=0,AV99,0)</f>
        <v>0</v>
      </c>
      <c r="AW102" s="12">
        <f t="shared" ref="AW102" ca="1" si="69">IF(AW101=0,AW99,0)</f>
        <v>0</v>
      </c>
      <c r="AX102" s="12">
        <f t="shared" ref="AX102" ca="1" si="70">IF(AX101=0,AX99,0)</f>
        <v>0</v>
      </c>
      <c r="AY102" s="12">
        <f t="shared" ref="AY102" ca="1" si="71">IF(AY101=0,AY99,0)</f>
        <v>0</v>
      </c>
      <c r="BA102" s="88" t="str">
        <f t="shared" ca="1" si="62"/>
        <v>AllowedRevenue</v>
      </c>
      <c r="BB102" s="1" t="str">
        <f t="shared" si="64"/>
        <v>SoLR</v>
      </c>
      <c r="BC102" s="1" t="str">
        <f t="shared" si="65"/>
        <v>Correction term</v>
      </c>
    </row>
    <row r="103" spans="1:58" ht="15" customHeight="1" x14ac:dyDescent="0.35">
      <c r="E103" t="s">
        <v>512</v>
      </c>
      <c r="G103" t="str">
        <f t="shared" si="66"/>
        <v>£m nominal</v>
      </c>
      <c r="J103" t="s">
        <v>13</v>
      </c>
      <c r="AT103" s="69">
        <f>SUM(AT101:AT102)</f>
        <v>0</v>
      </c>
      <c r="AU103" s="152">
        <f t="shared" ref="AU103" si="72">SUM(AU101:AU102)</f>
        <v>0</v>
      </c>
      <c r="AV103" s="12">
        <f t="shared" ref="AV103" si="73">SUM(AV101:AV102)</f>
        <v>0</v>
      </c>
      <c r="AW103" s="12">
        <f t="shared" ref="AW103" ca="1" si="74">SUM(AW101:AW102)</f>
        <v>0</v>
      </c>
      <c r="AX103" s="12">
        <f t="shared" ref="AX103" ca="1" si="75">SUM(AX101:AX102)</f>
        <v>0</v>
      </c>
      <c r="AY103" s="12">
        <f t="shared" ref="AY103" ca="1" si="76">SUM(AY101:AY102)</f>
        <v>0</v>
      </c>
      <c r="BA103" s="88" t="str">
        <f t="shared" ca="1" si="62"/>
        <v>AllowedRevenue</v>
      </c>
      <c r="BB103" s="1" t="str">
        <f t="shared" si="64"/>
        <v>SoLR</v>
      </c>
      <c r="BC103" s="1" t="str">
        <f t="shared" si="65"/>
        <v>Correction term</v>
      </c>
    </row>
    <row r="104" spans="1:58" ht="15" customHeight="1" x14ac:dyDescent="0.35">
      <c r="E104" t="s">
        <v>626</v>
      </c>
      <c r="G104" t="str">
        <f t="shared" si="66"/>
        <v>£m nominal</v>
      </c>
      <c r="J104" t="s">
        <v>13</v>
      </c>
      <c r="AT104" s="69">
        <f>AT99-AT103</f>
        <v>0</v>
      </c>
      <c r="AU104" s="152">
        <f t="shared" ref="AU104" si="77">AU99-AU103</f>
        <v>0</v>
      </c>
      <c r="AV104" s="12">
        <f t="shared" ref="AV104" si="78">AV99-AV103</f>
        <v>0</v>
      </c>
      <c r="AW104" s="12">
        <f t="shared" ref="AW104" ca="1" si="79">AW99-AW103</f>
        <v>0</v>
      </c>
      <c r="AX104" s="12">
        <f t="shared" ref="AX104" ca="1" si="80">AX99-AX103</f>
        <v>0</v>
      </c>
      <c r="AY104" s="12">
        <f t="shared" ref="AY104" ca="1" si="81">AY99-AY103</f>
        <v>0</v>
      </c>
      <c r="BA104" s="88" t="str">
        <f t="shared" ca="1" si="62"/>
        <v>AllowedRevenue</v>
      </c>
      <c r="BB104" s="1" t="str">
        <f t="shared" si="64"/>
        <v>SoLR</v>
      </c>
      <c r="BC104" s="1" t="str">
        <f t="shared" si="65"/>
        <v>Correction term</v>
      </c>
    </row>
    <row r="105" spans="1:58" ht="15" customHeight="1" x14ac:dyDescent="0.35"/>
    <row r="106" spans="1:58" ht="15" customHeight="1" x14ac:dyDescent="0.35">
      <c r="E106" t="s">
        <v>524</v>
      </c>
      <c r="G106" t="str">
        <f>nominal</f>
        <v>£m nominal</v>
      </c>
      <c r="AV106" s="12">
        <f>AU104*(1+AU$9)</f>
        <v>0</v>
      </c>
      <c r="AW106" s="12">
        <f>AV104*(1+AV$9)</f>
        <v>0</v>
      </c>
      <c r="AX106" s="12">
        <f ca="1">AW104*(1+AW$9)</f>
        <v>0</v>
      </c>
      <c r="AY106" s="12">
        <f ca="1">AX104*(1+AX$9)</f>
        <v>0</v>
      </c>
      <c r="BA106" s="88" t="str">
        <f t="shared" ca="1" si="62"/>
        <v>AllowedRevenue</v>
      </c>
      <c r="BB106" s="1" t="str">
        <f>$A$97</f>
        <v>SoLR</v>
      </c>
      <c r="BC106" s="1" t="str">
        <f>$B$98</f>
        <v>Correction term</v>
      </c>
    </row>
    <row r="107" spans="1:58" ht="15" customHeight="1" x14ac:dyDescent="0.35"/>
    <row r="108" spans="1:58" ht="15" customHeight="1" thickBot="1" x14ac:dyDescent="0.45">
      <c r="B108" s="15" t="s">
        <v>526</v>
      </c>
    </row>
    <row r="109" spans="1:58" ht="15" customHeight="1" thickTop="1" x14ac:dyDescent="0.35">
      <c r="E109" t="s">
        <v>631</v>
      </c>
      <c r="G109" t="s">
        <v>109</v>
      </c>
      <c r="AW109" s="46">
        <f ca="1">AW30/AW$20</f>
        <v>0</v>
      </c>
      <c r="AX109" s="46">
        <f ca="1">AX30/AX$20</f>
        <v>0</v>
      </c>
      <c r="AY109" s="46">
        <f ca="1">AY30/AY$20</f>
        <v>0</v>
      </c>
      <c r="BA109" s="88" t="str">
        <f t="shared" ref="BA109" ca="1" si="82">$A$1</f>
        <v>AllowedRevenue</v>
      </c>
      <c r="BB109" s="1" t="str">
        <f>$A$97</f>
        <v>SoLR</v>
      </c>
      <c r="BC109" s="1" t="str">
        <f>$B$108</f>
        <v>Forecasting penalty</v>
      </c>
    </row>
    <row r="110" spans="1:58" ht="15" customHeight="1" x14ac:dyDescent="0.35"/>
    <row r="111" spans="1:58" ht="15" customHeight="1" thickBot="1" x14ac:dyDescent="0.45">
      <c r="B111" s="15" t="s">
        <v>525</v>
      </c>
    </row>
    <row r="112" spans="1:58" ht="15" customHeight="1" thickTop="1" x14ac:dyDescent="0.35">
      <c r="E112" t="s">
        <v>731</v>
      </c>
      <c r="G112" t="str">
        <f t="shared" ref="G112:G116" si="83">nominal</f>
        <v>£m nominal</v>
      </c>
      <c r="AU112" s="154">
        <f>AU30*PCf</f>
        <v>0</v>
      </c>
      <c r="AV112" s="27">
        <f>AV30*PCf</f>
        <v>0</v>
      </c>
      <c r="AW112" s="27">
        <f>AW30*PCf</f>
        <v>0</v>
      </c>
      <c r="AX112" s="27">
        <f>AX30*PCf</f>
        <v>0</v>
      </c>
      <c r="AY112" s="27">
        <f>AY30*PCf</f>
        <v>0</v>
      </c>
      <c r="BA112" s="88" t="str">
        <f t="shared" ref="BA112:BA116" ca="1" si="84">$A$1</f>
        <v>AllowedRevenue</v>
      </c>
      <c r="BB112" s="1" t="str">
        <f>$A$97</f>
        <v>SoLR</v>
      </c>
      <c r="BC112" s="1" t="str">
        <f>$B$111</f>
        <v>Allowed revenue</v>
      </c>
    </row>
    <row r="113" spans="1:56" ht="15" customHeight="1" x14ac:dyDescent="0.35">
      <c r="E113" t="s">
        <v>529</v>
      </c>
      <c r="G113" t="str">
        <f t="shared" si="83"/>
        <v>£m nominal</v>
      </c>
      <c r="AU113" s="154">
        <f>AU31</f>
        <v>0</v>
      </c>
      <c r="AV113" s="27">
        <f>AV31</f>
        <v>0</v>
      </c>
      <c r="AW113" s="27">
        <f>AW31</f>
        <v>0</v>
      </c>
      <c r="AX113" s="27">
        <f>AX31</f>
        <v>0</v>
      </c>
      <c r="AY113" s="27">
        <f>AY31</f>
        <v>0</v>
      </c>
      <c r="BA113" s="88" t="str">
        <f t="shared" ca="1" si="84"/>
        <v>AllowedRevenue</v>
      </c>
      <c r="BB113" s="1" t="str">
        <f t="shared" ref="BB113:BB116" si="85">$A$97</f>
        <v>SoLR</v>
      </c>
      <c r="BC113" s="1" t="str">
        <f t="shared" ref="BC113:BC116" si="86">$B$111</f>
        <v>Allowed revenue</v>
      </c>
    </row>
    <row r="114" spans="1:56" ht="15" customHeight="1" x14ac:dyDescent="0.35">
      <c r="E114" t="s">
        <v>524</v>
      </c>
      <c r="G114" t="str">
        <f t="shared" si="83"/>
        <v>£m nominal</v>
      </c>
      <c r="AU114" s="154">
        <f>AU106</f>
        <v>0</v>
      </c>
      <c r="AV114" s="27">
        <f t="shared" ref="AV114:AY114" si="87">AV106</f>
        <v>0</v>
      </c>
      <c r="AW114" s="27">
        <f t="shared" si="87"/>
        <v>0</v>
      </c>
      <c r="AX114" s="27">
        <f t="shared" ca="1" si="87"/>
        <v>0</v>
      </c>
      <c r="AY114" s="27">
        <f t="shared" ca="1" si="87"/>
        <v>0</v>
      </c>
      <c r="BA114" s="88" t="str">
        <f t="shared" ca="1" si="84"/>
        <v>AllowedRevenue</v>
      </c>
      <c r="BB114" s="1" t="str">
        <f t="shared" si="85"/>
        <v>SoLR</v>
      </c>
      <c r="BC114" s="1" t="str">
        <f t="shared" si="86"/>
        <v>Allowed revenue</v>
      </c>
    </row>
    <row r="115" spans="1:56" ht="15" customHeight="1" x14ac:dyDescent="0.35">
      <c r="E115" t="s">
        <v>526</v>
      </c>
      <c r="G115" t="str">
        <f t="shared" si="83"/>
        <v>£m nominal</v>
      </c>
      <c r="AU115" s="154">
        <f>AU$66*AU109</f>
        <v>0</v>
      </c>
      <c r="AV115" s="27">
        <f t="shared" ref="AV115:AY115" si="88">AV$66*AV109</f>
        <v>0</v>
      </c>
      <c r="AW115" s="27">
        <f t="shared" ca="1" si="88"/>
        <v>0</v>
      </c>
      <c r="AX115" s="27">
        <f t="shared" ca="1" si="88"/>
        <v>0</v>
      </c>
      <c r="AY115" s="27">
        <f t="shared" ca="1" si="88"/>
        <v>0</v>
      </c>
      <c r="BA115" s="88" t="str">
        <f t="shared" ca="1" si="84"/>
        <v>AllowedRevenue</v>
      </c>
      <c r="BB115" s="1" t="str">
        <f t="shared" si="85"/>
        <v>SoLR</v>
      </c>
      <c r="BC115" s="1" t="str">
        <f t="shared" si="86"/>
        <v>Allowed revenue</v>
      </c>
    </row>
    <row r="116" spans="1:56" ht="15" customHeight="1" x14ac:dyDescent="0.35">
      <c r="E116" t="s">
        <v>624</v>
      </c>
      <c r="G116" t="str">
        <f t="shared" si="83"/>
        <v>£m nominal</v>
      </c>
      <c r="AU116" s="155">
        <f>SUM(AU112:AU115)</f>
        <v>0</v>
      </c>
      <c r="AV116" s="52">
        <f t="shared" ref="AV116:AY116" si="89">SUM(AV112:AV115)</f>
        <v>0</v>
      </c>
      <c r="AW116" s="52">
        <f t="shared" ca="1" si="89"/>
        <v>0</v>
      </c>
      <c r="AX116" s="52">
        <f t="shared" ca="1" si="89"/>
        <v>0</v>
      </c>
      <c r="AY116" s="52">
        <f t="shared" ca="1" si="89"/>
        <v>0</v>
      </c>
      <c r="BA116" s="88" t="str">
        <f t="shared" ca="1" si="84"/>
        <v>AllowedRevenue</v>
      </c>
      <c r="BB116" s="1" t="str">
        <f t="shared" si="85"/>
        <v>SoLR</v>
      </c>
      <c r="BC116" s="1" t="str">
        <f t="shared" si="86"/>
        <v>Allowed revenue</v>
      </c>
    </row>
    <row r="117" spans="1:56" ht="15" customHeight="1" x14ac:dyDescent="0.35"/>
    <row r="118" spans="1:56" ht="15" customHeight="1" thickBot="1" x14ac:dyDescent="0.5">
      <c r="A118" s="13" t="s">
        <v>607</v>
      </c>
    </row>
    <row r="119" spans="1:56" ht="15" customHeight="1" thickTop="1" thickBot="1" x14ac:dyDescent="0.45">
      <c r="B119" s="15" t="s">
        <v>525</v>
      </c>
    </row>
    <row r="120" spans="1:56" ht="15" customHeight="1" thickTop="1" x14ac:dyDescent="0.35">
      <c r="E120" t="s">
        <v>731</v>
      </c>
      <c r="G120" t="str">
        <f t="shared" ref="G120:G124" si="90">nominal</f>
        <v>£m nominal</v>
      </c>
      <c r="AU120" s="152">
        <f ca="1">AU69-AU91-AU112</f>
        <v>465.85286365434598</v>
      </c>
      <c r="AV120" s="12">
        <f t="shared" ref="AV120:AY120" ca="1" si="91">AV69-AV91-AV112</f>
        <v>514.34109955432996</v>
      </c>
      <c r="AW120" s="12">
        <f t="shared" ca="1" si="91"/>
        <v>558.0247626283732</v>
      </c>
      <c r="AX120" s="12">
        <f t="shared" ca="1" si="91"/>
        <v>567.29693145171279</v>
      </c>
      <c r="AY120" s="12">
        <f t="shared" ca="1" si="91"/>
        <v>579.68926897683025</v>
      </c>
      <c r="BA120" s="88" t="str">
        <f t="shared" ref="BA120:BA124" ca="1" si="92">$A$1</f>
        <v>AllowedRevenue</v>
      </c>
      <c r="BB120" s="1" t="str">
        <f>$A$118</f>
        <v>LDZ</v>
      </c>
      <c r="BC120" s="1" t="str">
        <f>$B$119</f>
        <v>Allowed revenue</v>
      </c>
    </row>
    <row r="121" spans="1:56" ht="15" customHeight="1" x14ac:dyDescent="0.35">
      <c r="E121" t="s">
        <v>529</v>
      </c>
      <c r="G121" t="str">
        <f t="shared" si="90"/>
        <v>£m nominal</v>
      </c>
      <c r="AU121" s="152">
        <f t="shared" ref="AU121:AY121" si="93">AU70-AU92-AU113</f>
        <v>0.58827299559933066</v>
      </c>
      <c r="AV121" s="12">
        <f t="shared" si="93"/>
        <v>0.62294565446297789</v>
      </c>
      <c r="AW121" s="12">
        <f t="shared" si="93"/>
        <v>0.66378448416061497</v>
      </c>
      <c r="AX121" s="12">
        <f t="shared" si="93"/>
        <v>0.70756805081620389</v>
      </c>
      <c r="AY121" s="12">
        <f t="shared" si="93"/>
        <v>0.75465248305073396</v>
      </c>
      <c r="BA121" s="88" t="str">
        <f t="shared" ca="1" si="92"/>
        <v>AllowedRevenue</v>
      </c>
      <c r="BB121" s="1" t="str">
        <f t="shared" ref="BB121:BB124" si="94">$A$118</f>
        <v>LDZ</v>
      </c>
      <c r="BC121" s="1" t="str">
        <f>$B$119</f>
        <v>Allowed revenue</v>
      </c>
    </row>
    <row r="122" spans="1:56" ht="15" customHeight="1" x14ac:dyDescent="0.35">
      <c r="E122" t="s">
        <v>524</v>
      </c>
      <c r="G122" t="str">
        <f t="shared" si="90"/>
        <v>£m nominal</v>
      </c>
      <c r="AU122" s="152">
        <f t="shared" ref="AU122:AY122" si="95">AU71-AU93-AU114</f>
        <v>0</v>
      </c>
      <c r="AV122" s="12">
        <f t="shared" ca="1" si="95"/>
        <v>0</v>
      </c>
      <c r="AW122" s="12">
        <f t="shared" ca="1" si="95"/>
        <v>0</v>
      </c>
      <c r="AX122" s="12">
        <f t="shared" ca="1" si="95"/>
        <v>0</v>
      </c>
      <c r="AY122" s="12">
        <f t="shared" ca="1" si="95"/>
        <v>0</v>
      </c>
      <c r="BA122" s="88" t="str">
        <f t="shared" ca="1" si="92"/>
        <v>AllowedRevenue</v>
      </c>
      <c r="BB122" s="1" t="str">
        <f t="shared" si="94"/>
        <v>LDZ</v>
      </c>
      <c r="BC122" s="1" t="str">
        <f>$B$119</f>
        <v>Allowed revenue</v>
      </c>
    </row>
    <row r="123" spans="1:56" ht="15" customHeight="1" x14ac:dyDescent="0.35">
      <c r="E123" t="s">
        <v>526</v>
      </c>
      <c r="G123" t="str">
        <f t="shared" si="90"/>
        <v>£m nominal</v>
      </c>
      <c r="AU123" s="152">
        <f t="shared" ref="AU123:AY123" si="96">AU72-AU94-AU115</f>
        <v>0</v>
      </c>
      <c r="AV123" s="12">
        <f t="shared" si="96"/>
        <v>0</v>
      </c>
      <c r="AW123" s="12">
        <f t="shared" ca="1" si="96"/>
        <v>0</v>
      </c>
      <c r="AX123" s="12">
        <f t="shared" ca="1" si="96"/>
        <v>0</v>
      </c>
      <c r="AY123" s="12">
        <f t="shared" ca="1" si="96"/>
        <v>0</v>
      </c>
      <c r="BA123" s="88" t="str">
        <f t="shared" ca="1" si="92"/>
        <v>AllowedRevenue</v>
      </c>
      <c r="BB123" s="1" t="str">
        <f t="shared" si="94"/>
        <v>LDZ</v>
      </c>
      <c r="BC123" s="1" t="str">
        <f>$B$119</f>
        <v>Allowed revenue</v>
      </c>
    </row>
    <row r="124" spans="1:56" ht="15" customHeight="1" x14ac:dyDescent="0.35">
      <c r="E124" t="s">
        <v>624</v>
      </c>
      <c r="G124" t="str">
        <f t="shared" si="90"/>
        <v>£m nominal</v>
      </c>
      <c r="AU124" s="152">
        <f t="shared" ref="AU124:AY124" ca="1" si="97">AU73-AU95-AU116</f>
        <v>466.44113664994529</v>
      </c>
      <c r="AV124" s="12">
        <f t="shared" ca="1" si="97"/>
        <v>514.96404520879298</v>
      </c>
      <c r="AW124" s="12">
        <f t="shared" ca="1" si="97"/>
        <v>558.6885471125338</v>
      </c>
      <c r="AX124" s="12">
        <f t="shared" ca="1" si="97"/>
        <v>568.00449950252903</v>
      </c>
      <c r="AY124" s="12">
        <f t="shared" ca="1" si="97"/>
        <v>580.44392145988104</v>
      </c>
      <c r="BA124" s="88" t="str">
        <f t="shared" ca="1" si="92"/>
        <v>AllowedRevenue</v>
      </c>
      <c r="BB124" s="1" t="str">
        <f t="shared" si="94"/>
        <v>LDZ</v>
      </c>
      <c r="BC124" s="1" t="str">
        <f>$B$119</f>
        <v>Allowed revenue</v>
      </c>
    </row>
    <row r="125" spans="1:56" ht="15" customHeight="1" x14ac:dyDescent="0.35"/>
    <row r="126" spans="1:56" ht="20" thickBot="1" x14ac:dyDescent="0.5">
      <c r="A126" s="13" t="s">
        <v>386</v>
      </c>
      <c r="BC126"/>
      <c r="BD126"/>
    </row>
    <row r="127" spans="1:56" ht="15" customHeight="1" thickTop="1" x14ac:dyDescent="0.35"/>
    <row r="128" spans="1:56" ht="15" customHeight="1" x14ac:dyDescent="0.35"/>
  </sheetData>
  <mergeCells count="1">
    <mergeCell ref="AU1:AY2"/>
  </mergeCells>
  <conditionalFormatting sqref="H1">
    <cfRule type="cellIs" dxfId="2" priority="1" operator="equal">
      <formula>"ERROR"</formula>
    </cfRule>
  </conditionalFormatting>
  <pageMargins left="0.7" right="0.7" top="0.75" bottom="0.75" header="0.3" footer="0.3"/>
  <pageSetup paperSize="9" orientation="portrait" r:id="rId1"/>
  <headerFooter>
    <oddHeader>&amp;L&amp;"Aptos"&amp;10&amp;K000000 Classified as Internal&amp;1#_x000D_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6385" r:id="rId4" name="Drop Down 1">
              <controlPr defaultSize="0" autoLine="0" autoPict="0" altText="Dropdown box for selecting licensee">
                <anchor moveWithCells="1">
                  <from>
                    <xdr:col>4</xdr:col>
                    <xdr:colOff>1752600</xdr:colOff>
                    <xdr:row>0</xdr:row>
                    <xdr:rowOff>107950</xdr:rowOff>
                  </from>
                  <to>
                    <xdr:col>4</xdr:col>
                    <xdr:colOff>3086100</xdr:colOff>
                    <xdr:row>1</xdr:row>
                    <xdr:rowOff>95250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05689-A949-451D-AB1A-D1701DAB3C1B}">
  <sheetPr codeName="Sheet3">
    <tabColor rgb="FFE9D2C6"/>
    <pageSetUpPr autoPageBreaks="0"/>
  </sheetPr>
  <dimension ref="A1:F385"/>
  <sheetViews>
    <sheetView zoomScaleNormal="100" workbookViewId="0">
      <pane ySplit="1" topLeftCell="A2" activePane="bottomLeft" state="frozen"/>
      <selection pane="bottomLeft"/>
    </sheetView>
  </sheetViews>
  <sheetFormatPr defaultRowHeight="14.5" x14ac:dyDescent="0.35"/>
  <cols>
    <col min="1" max="1" width="10.453125" bestFit="1" customWidth="1"/>
    <col min="2" max="2" width="19" bestFit="1" customWidth="1"/>
    <col min="3" max="3" width="14.453125" bestFit="1" customWidth="1"/>
    <col min="4" max="4" width="12" bestFit="1" customWidth="1"/>
    <col min="5" max="5" width="11.6328125" bestFit="1" customWidth="1"/>
    <col min="6" max="6" width="10.54296875" bestFit="1" customWidth="1"/>
  </cols>
  <sheetData>
    <row r="1" spans="1:6" ht="15" thickBot="1" x14ac:dyDescent="0.4">
      <c r="A1" s="11" t="s">
        <v>379</v>
      </c>
      <c r="B1" s="11" t="s">
        <v>559</v>
      </c>
      <c r="C1" s="11" t="s">
        <v>398</v>
      </c>
      <c r="D1" s="11" t="s">
        <v>399</v>
      </c>
      <c r="E1" s="11" t="s">
        <v>400</v>
      </c>
      <c r="F1" s="11" t="s">
        <v>450</v>
      </c>
    </row>
    <row r="2" spans="1:6" x14ac:dyDescent="0.35">
      <c r="A2" s="2">
        <v>36251</v>
      </c>
      <c r="B2" s="32">
        <v>165.2</v>
      </c>
      <c r="C2" s="26">
        <v>72.599999999999994</v>
      </c>
      <c r="D2" s="46" t="str">
        <f>IF(ISBLANK(C2),INDEX(LicenseeSelect!$AP$511:$AZ$511,MATCH(YEAR(EOMONTH(A2,15)),LicenseeSelect!$AP$510:$AZ$510,0))/100,"-")</f>
        <v>-</v>
      </c>
      <c r="E2" s="12">
        <f>IF(ISBLANK(C2),E1*((1+D2)^(1/12)),C2)</f>
        <v>72.599999999999994</v>
      </c>
      <c r="F2" s="12">
        <f>IF(ISBLANK(B2),F1*(E2/E1),B2)</f>
        <v>165.2</v>
      </c>
    </row>
    <row r="3" spans="1:6" x14ac:dyDescent="0.35">
      <c r="A3" s="2">
        <v>36281</v>
      </c>
      <c r="B3" s="32">
        <v>165.6</v>
      </c>
      <c r="C3" s="26">
        <v>72.8</v>
      </c>
      <c r="D3" s="46" t="str">
        <f>IF(ISBLANK(C3),INDEX(LicenseeSelect!$AP$511:$AZ$511,MATCH(YEAR(EOMONTH(A3,15)),LicenseeSelect!$AP$510:$AZ$510,0))/100,"-")</f>
        <v>-</v>
      </c>
      <c r="E3" s="12">
        <f t="shared" ref="E3:E66" si="0">IF(ISBLANK(C3),E2*((1+D3)^(1/12)),C3)</f>
        <v>72.8</v>
      </c>
      <c r="F3" s="12">
        <f t="shared" ref="F3:F66" si="1">IF(ISBLANK(B3),F2*(E3/E2),B3)</f>
        <v>165.6</v>
      </c>
    </row>
    <row r="4" spans="1:6" x14ac:dyDescent="0.35">
      <c r="A4" s="2">
        <v>36312</v>
      </c>
      <c r="B4" s="32">
        <v>165.6</v>
      </c>
      <c r="C4" s="26">
        <v>72.7</v>
      </c>
      <c r="D4" s="46" t="str">
        <f>IF(ISBLANK(C4),INDEX(LicenseeSelect!$AP$511:$AZ$511,MATCH(YEAR(EOMONTH(A4,15)),LicenseeSelect!$AP$510:$AZ$510,0))/100,"-")</f>
        <v>-</v>
      </c>
      <c r="E4" s="12">
        <f t="shared" si="0"/>
        <v>72.7</v>
      </c>
      <c r="F4" s="12">
        <f t="shared" si="1"/>
        <v>165.6</v>
      </c>
    </row>
    <row r="5" spans="1:6" x14ac:dyDescent="0.35">
      <c r="A5" s="2">
        <v>36342</v>
      </c>
      <c r="B5" s="32">
        <v>165.1</v>
      </c>
      <c r="C5" s="26">
        <v>72.400000000000006</v>
      </c>
      <c r="D5" s="46" t="str">
        <f>IF(ISBLANK(C5),INDEX(LicenseeSelect!$AP$511:$AZ$511,MATCH(YEAR(EOMONTH(A5,15)),LicenseeSelect!$AP$510:$AZ$510,0))/100,"-")</f>
        <v>-</v>
      </c>
      <c r="E5" s="12">
        <f t="shared" si="0"/>
        <v>72.400000000000006</v>
      </c>
      <c r="F5" s="12">
        <f t="shared" si="1"/>
        <v>165.1</v>
      </c>
    </row>
    <row r="6" spans="1:6" x14ac:dyDescent="0.35">
      <c r="A6" s="2">
        <v>36373</v>
      </c>
      <c r="B6" s="32">
        <v>165.5</v>
      </c>
      <c r="C6" s="26">
        <v>72.599999999999994</v>
      </c>
      <c r="D6" s="46" t="str">
        <f>IF(ISBLANK(C6),INDEX(LicenseeSelect!$AP$511:$AZ$511,MATCH(YEAR(EOMONTH(A6,15)),LicenseeSelect!$AP$510:$AZ$510,0))/100,"-")</f>
        <v>-</v>
      </c>
      <c r="E6" s="12">
        <f t="shared" si="0"/>
        <v>72.599999999999994</v>
      </c>
      <c r="F6" s="12">
        <f t="shared" si="1"/>
        <v>165.5</v>
      </c>
    </row>
    <row r="7" spans="1:6" x14ac:dyDescent="0.35">
      <c r="A7" s="2">
        <v>36404</v>
      </c>
      <c r="B7" s="32">
        <v>166.2</v>
      </c>
      <c r="C7" s="26">
        <v>72.8</v>
      </c>
      <c r="D7" s="46" t="str">
        <f>IF(ISBLANK(C7),INDEX(LicenseeSelect!$AP$511:$AZ$511,MATCH(YEAR(EOMONTH(A7,15)),LicenseeSelect!$AP$510:$AZ$510,0))/100,"-")</f>
        <v>-</v>
      </c>
      <c r="E7" s="12">
        <f t="shared" si="0"/>
        <v>72.8</v>
      </c>
      <c r="F7" s="12">
        <f t="shared" si="1"/>
        <v>166.2</v>
      </c>
    </row>
    <row r="8" spans="1:6" x14ac:dyDescent="0.35">
      <c r="A8" s="2">
        <v>36434</v>
      </c>
      <c r="B8" s="32">
        <v>166.5</v>
      </c>
      <c r="C8" s="26">
        <v>72.8</v>
      </c>
      <c r="D8" s="46" t="str">
        <f>IF(ISBLANK(C8),INDEX(LicenseeSelect!$AP$511:$AZ$511,MATCH(YEAR(EOMONTH(A8,15)),LicenseeSelect!$AP$510:$AZ$510,0))/100,"-")</f>
        <v>-</v>
      </c>
      <c r="E8" s="12">
        <f t="shared" si="0"/>
        <v>72.8</v>
      </c>
      <c r="F8" s="12">
        <f t="shared" si="1"/>
        <v>166.5</v>
      </c>
    </row>
    <row r="9" spans="1:6" x14ac:dyDescent="0.35">
      <c r="A9" s="2">
        <v>36465</v>
      </c>
      <c r="B9" s="32">
        <v>166.7</v>
      </c>
      <c r="C9" s="26">
        <v>72.900000000000006</v>
      </c>
      <c r="D9" s="46" t="str">
        <f>IF(ISBLANK(C9),INDEX(LicenseeSelect!$AP$511:$AZ$511,MATCH(YEAR(EOMONTH(A9,15)),LicenseeSelect!$AP$510:$AZ$510,0))/100,"-")</f>
        <v>-</v>
      </c>
      <c r="E9" s="12">
        <f t="shared" si="0"/>
        <v>72.900000000000006</v>
      </c>
      <c r="F9" s="12">
        <f t="shared" si="1"/>
        <v>166.7</v>
      </c>
    </row>
    <row r="10" spans="1:6" x14ac:dyDescent="0.35">
      <c r="A10" s="2">
        <v>36495</v>
      </c>
      <c r="B10" s="32">
        <v>167.3</v>
      </c>
      <c r="C10" s="26">
        <v>73.099999999999994</v>
      </c>
      <c r="D10" s="46" t="str">
        <f>IF(ISBLANK(C10),INDEX(LicenseeSelect!$AP$511:$AZ$511,MATCH(YEAR(EOMONTH(A10,15)),LicenseeSelect!$AP$510:$AZ$510,0))/100,"-")</f>
        <v>-</v>
      </c>
      <c r="E10" s="12">
        <f t="shared" si="0"/>
        <v>73.099999999999994</v>
      </c>
      <c r="F10" s="12">
        <f t="shared" si="1"/>
        <v>167.3</v>
      </c>
    </row>
    <row r="11" spans="1:6" x14ac:dyDescent="0.35">
      <c r="A11" s="2">
        <v>36526</v>
      </c>
      <c r="B11" s="32">
        <v>166.6</v>
      </c>
      <c r="C11" s="26">
        <v>72.599999999999994</v>
      </c>
      <c r="D11" s="46" t="str">
        <f>IF(ISBLANK(C11),INDEX(LicenseeSelect!$AP$511:$AZ$511,MATCH(YEAR(EOMONTH(A11,15)),LicenseeSelect!$AP$510:$AZ$510,0))/100,"-")</f>
        <v>-</v>
      </c>
      <c r="E11" s="12">
        <f t="shared" si="0"/>
        <v>72.599999999999994</v>
      </c>
      <c r="F11" s="12">
        <f t="shared" si="1"/>
        <v>166.6</v>
      </c>
    </row>
    <row r="12" spans="1:6" x14ac:dyDescent="0.35">
      <c r="A12" s="2">
        <v>36557</v>
      </c>
      <c r="B12" s="32">
        <v>167.5</v>
      </c>
      <c r="C12" s="26">
        <v>72.8</v>
      </c>
      <c r="D12" s="46" t="str">
        <f>IF(ISBLANK(C12),INDEX(LicenseeSelect!$AP$511:$AZ$511,MATCH(YEAR(EOMONTH(A12,15)),LicenseeSelect!$AP$510:$AZ$510,0))/100,"-")</f>
        <v>-</v>
      </c>
      <c r="E12" s="12">
        <f t="shared" si="0"/>
        <v>72.8</v>
      </c>
      <c r="F12" s="12">
        <f t="shared" si="1"/>
        <v>167.5</v>
      </c>
    </row>
    <row r="13" spans="1:6" x14ac:dyDescent="0.35">
      <c r="A13" s="2">
        <v>36586</v>
      </c>
      <c r="B13" s="32">
        <v>168.4</v>
      </c>
      <c r="C13" s="26">
        <v>73</v>
      </c>
      <c r="D13" s="46" t="str">
        <f>IF(ISBLANK(C13),INDEX(LicenseeSelect!$AP$511:$AZ$511,MATCH(YEAR(EOMONTH(A13,15)),LicenseeSelect!$AP$510:$AZ$510,0))/100,"-")</f>
        <v>-</v>
      </c>
      <c r="E13" s="12">
        <f t="shared" si="0"/>
        <v>73</v>
      </c>
      <c r="F13" s="12">
        <f t="shared" si="1"/>
        <v>168.4</v>
      </c>
    </row>
    <row r="14" spans="1:6" x14ac:dyDescent="0.35">
      <c r="A14" s="2">
        <v>36617</v>
      </c>
      <c r="B14" s="32">
        <v>170.1</v>
      </c>
      <c r="C14" s="26">
        <v>73.3</v>
      </c>
      <c r="D14" s="46" t="str">
        <f>IF(ISBLANK(C14),INDEX(LicenseeSelect!$AP$511:$AZ$511,MATCH(YEAR(EOMONTH(A14,15)),LicenseeSelect!$AP$510:$AZ$510,0))/100,"-")</f>
        <v>-</v>
      </c>
      <c r="E14" s="12">
        <f t="shared" si="0"/>
        <v>73.3</v>
      </c>
      <c r="F14" s="12">
        <f t="shared" si="1"/>
        <v>170.1</v>
      </c>
    </row>
    <row r="15" spans="1:6" x14ac:dyDescent="0.35">
      <c r="A15" s="2">
        <v>36647</v>
      </c>
      <c r="B15" s="32">
        <v>170.7</v>
      </c>
      <c r="C15" s="26">
        <v>73.5</v>
      </c>
      <c r="D15" s="46" t="str">
        <f>IF(ISBLANK(C15),INDEX(LicenseeSelect!$AP$511:$AZ$511,MATCH(YEAR(EOMONTH(A15,15)),LicenseeSelect!$AP$510:$AZ$510,0))/100,"-")</f>
        <v>-</v>
      </c>
      <c r="E15" s="12">
        <f t="shared" si="0"/>
        <v>73.5</v>
      </c>
      <c r="F15" s="12">
        <f t="shared" si="1"/>
        <v>170.7</v>
      </c>
    </row>
    <row r="16" spans="1:6" x14ac:dyDescent="0.35">
      <c r="A16" s="2">
        <v>36678</v>
      </c>
      <c r="B16" s="32">
        <v>171.1</v>
      </c>
      <c r="C16" s="26">
        <v>73.599999999999994</v>
      </c>
      <c r="D16" s="46" t="str">
        <f>IF(ISBLANK(C16),INDEX(LicenseeSelect!$AP$511:$AZ$511,MATCH(YEAR(EOMONTH(A16,15)),LicenseeSelect!$AP$510:$AZ$510,0))/100,"-")</f>
        <v>-</v>
      </c>
      <c r="E16" s="12">
        <f t="shared" si="0"/>
        <v>73.599999999999994</v>
      </c>
      <c r="F16" s="12">
        <f t="shared" si="1"/>
        <v>171.1</v>
      </c>
    </row>
    <row r="17" spans="1:6" x14ac:dyDescent="0.35">
      <c r="A17" s="2">
        <v>36708</v>
      </c>
      <c r="B17" s="32">
        <v>170.5</v>
      </c>
      <c r="C17" s="26">
        <v>73.3</v>
      </c>
      <c r="D17" s="46" t="str">
        <f>IF(ISBLANK(C17),INDEX(LicenseeSelect!$AP$511:$AZ$511,MATCH(YEAR(EOMONTH(A17,15)),LicenseeSelect!$AP$510:$AZ$510,0))/100,"-")</f>
        <v>-</v>
      </c>
      <c r="E17" s="12">
        <f t="shared" si="0"/>
        <v>73.3</v>
      </c>
      <c r="F17" s="12">
        <f t="shared" si="1"/>
        <v>170.5</v>
      </c>
    </row>
    <row r="18" spans="1:6" x14ac:dyDescent="0.35">
      <c r="A18" s="2">
        <v>36739</v>
      </c>
      <c r="B18" s="32">
        <v>170.5</v>
      </c>
      <c r="C18" s="26">
        <v>73.3</v>
      </c>
      <c r="D18" s="46" t="str">
        <f>IF(ISBLANK(C18),INDEX(LicenseeSelect!$AP$511:$AZ$511,MATCH(YEAR(EOMONTH(A18,15)),LicenseeSelect!$AP$510:$AZ$510,0))/100,"-")</f>
        <v>-</v>
      </c>
      <c r="E18" s="12">
        <f t="shared" si="0"/>
        <v>73.3</v>
      </c>
      <c r="F18" s="12">
        <f t="shared" si="1"/>
        <v>170.5</v>
      </c>
    </row>
    <row r="19" spans="1:6" x14ac:dyDescent="0.35">
      <c r="A19" s="2">
        <v>36770</v>
      </c>
      <c r="B19" s="32">
        <v>171.7</v>
      </c>
      <c r="C19" s="26">
        <v>73.8</v>
      </c>
      <c r="D19" s="46" t="str">
        <f>IF(ISBLANK(C19),INDEX(LicenseeSelect!$AP$511:$AZ$511,MATCH(YEAR(EOMONTH(A19,15)),LicenseeSelect!$AP$510:$AZ$510,0))/100,"-")</f>
        <v>-</v>
      </c>
      <c r="E19" s="12">
        <f t="shared" si="0"/>
        <v>73.8</v>
      </c>
      <c r="F19" s="12">
        <f t="shared" si="1"/>
        <v>171.7</v>
      </c>
    </row>
    <row r="20" spans="1:6" x14ac:dyDescent="0.35">
      <c r="A20" s="2">
        <v>36800</v>
      </c>
      <c r="B20" s="32">
        <v>171.6</v>
      </c>
      <c r="C20" s="26">
        <v>73.8</v>
      </c>
      <c r="D20" s="46" t="str">
        <f>IF(ISBLANK(C20),INDEX(LicenseeSelect!$AP$511:$AZ$511,MATCH(YEAR(EOMONTH(A20,15)),LicenseeSelect!$AP$510:$AZ$510,0))/100,"-")</f>
        <v>-</v>
      </c>
      <c r="E20" s="12">
        <f t="shared" si="0"/>
        <v>73.8</v>
      </c>
      <c r="F20" s="12">
        <f t="shared" si="1"/>
        <v>171.6</v>
      </c>
    </row>
    <row r="21" spans="1:6" x14ac:dyDescent="0.35">
      <c r="A21" s="2">
        <v>36831</v>
      </c>
      <c r="B21" s="32">
        <v>172.1</v>
      </c>
      <c r="C21" s="26">
        <v>74</v>
      </c>
      <c r="D21" s="46" t="str">
        <f>IF(ISBLANK(C21),INDEX(LicenseeSelect!$AP$511:$AZ$511,MATCH(YEAR(EOMONTH(A21,15)),LicenseeSelect!$AP$510:$AZ$510,0))/100,"-")</f>
        <v>-</v>
      </c>
      <c r="E21" s="12">
        <f t="shared" si="0"/>
        <v>74</v>
      </c>
      <c r="F21" s="12">
        <f t="shared" si="1"/>
        <v>172.1</v>
      </c>
    </row>
    <row r="22" spans="1:6" x14ac:dyDescent="0.35">
      <c r="A22" s="2">
        <v>36861</v>
      </c>
      <c r="B22" s="32">
        <v>172.2</v>
      </c>
      <c r="C22" s="26">
        <v>74</v>
      </c>
      <c r="D22" s="46" t="str">
        <f>IF(ISBLANK(C22),INDEX(LicenseeSelect!$AP$511:$AZ$511,MATCH(YEAR(EOMONTH(A22,15)),LicenseeSelect!$AP$510:$AZ$510,0))/100,"-")</f>
        <v>-</v>
      </c>
      <c r="E22" s="12">
        <f t="shared" si="0"/>
        <v>74</v>
      </c>
      <c r="F22" s="12">
        <f t="shared" si="1"/>
        <v>172.2</v>
      </c>
    </row>
    <row r="23" spans="1:6" x14ac:dyDescent="0.35">
      <c r="A23" s="2">
        <v>36892</v>
      </c>
      <c r="B23" s="32">
        <v>171.1</v>
      </c>
      <c r="C23" s="26">
        <v>73.5</v>
      </c>
      <c r="D23" s="46" t="str">
        <f>IF(ISBLANK(C23),INDEX(LicenseeSelect!$AP$511:$AZ$511,MATCH(YEAR(EOMONTH(A23,15)),LicenseeSelect!$AP$510:$AZ$510,0))/100,"-")</f>
        <v>-</v>
      </c>
      <c r="E23" s="12">
        <f t="shared" si="0"/>
        <v>73.5</v>
      </c>
      <c r="F23" s="12">
        <f t="shared" si="1"/>
        <v>171.1</v>
      </c>
    </row>
    <row r="24" spans="1:6" x14ac:dyDescent="0.35">
      <c r="A24" s="2">
        <v>36923</v>
      </c>
      <c r="B24" s="32">
        <v>172</v>
      </c>
      <c r="C24" s="26">
        <v>73.7</v>
      </c>
      <c r="D24" s="46" t="str">
        <f>IF(ISBLANK(C24),INDEX(LicenseeSelect!$AP$511:$AZ$511,MATCH(YEAR(EOMONTH(A24,15)),LicenseeSelect!$AP$510:$AZ$510,0))/100,"-")</f>
        <v>-</v>
      </c>
      <c r="E24" s="12">
        <f t="shared" si="0"/>
        <v>73.7</v>
      </c>
      <c r="F24" s="12">
        <f t="shared" si="1"/>
        <v>172</v>
      </c>
    </row>
    <row r="25" spans="1:6" x14ac:dyDescent="0.35">
      <c r="A25" s="2">
        <v>36951</v>
      </c>
      <c r="B25" s="32">
        <v>172.2</v>
      </c>
      <c r="C25" s="26">
        <v>73.900000000000006</v>
      </c>
      <c r="D25" s="46" t="str">
        <f>IF(ISBLANK(C25),INDEX(LicenseeSelect!$AP$511:$AZ$511,MATCH(YEAR(EOMONTH(A25,15)),LicenseeSelect!$AP$510:$AZ$510,0))/100,"-")</f>
        <v>-</v>
      </c>
      <c r="E25" s="12">
        <f t="shared" si="0"/>
        <v>73.900000000000006</v>
      </c>
      <c r="F25" s="12">
        <f t="shared" si="1"/>
        <v>172.2</v>
      </c>
    </row>
    <row r="26" spans="1:6" x14ac:dyDescent="0.35">
      <c r="A26" s="2">
        <v>36982</v>
      </c>
      <c r="B26" s="32">
        <v>173.1</v>
      </c>
      <c r="C26" s="26">
        <v>74.400000000000006</v>
      </c>
      <c r="D26" s="46" t="str">
        <f>IF(ISBLANK(C26),INDEX(LicenseeSelect!$AP$511:$AZ$511,MATCH(YEAR(EOMONTH(A26,15)),LicenseeSelect!$AP$510:$AZ$510,0))/100,"-")</f>
        <v>-</v>
      </c>
      <c r="E26" s="12">
        <f t="shared" si="0"/>
        <v>74.400000000000006</v>
      </c>
      <c r="F26" s="12">
        <f t="shared" si="1"/>
        <v>173.1</v>
      </c>
    </row>
    <row r="27" spans="1:6" x14ac:dyDescent="0.35">
      <c r="A27" s="2">
        <v>37012</v>
      </c>
      <c r="B27" s="32">
        <v>174.2</v>
      </c>
      <c r="C27" s="26">
        <v>74.900000000000006</v>
      </c>
      <c r="D27" s="46" t="str">
        <f>IF(ISBLANK(C27),INDEX(LicenseeSelect!$AP$511:$AZ$511,MATCH(YEAR(EOMONTH(A27,15)),LicenseeSelect!$AP$510:$AZ$510,0))/100,"-")</f>
        <v>-</v>
      </c>
      <c r="E27" s="12">
        <f t="shared" si="0"/>
        <v>74.900000000000006</v>
      </c>
      <c r="F27" s="12">
        <f t="shared" si="1"/>
        <v>174.2</v>
      </c>
    </row>
    <row r="28" spans="1:6" x14ac:dyDescent="0.35">
      <c r="A28" s="2">
        <v>37043</v>
      </c>
      <c r="B28" s="32">
        <v>174.4</v>
      </c>
      <c r="C28" s="26">
        <v>75</v>
      </c>
      <c r="D28" s="46" t="str">
        <f>IF(ISBLANK(C28),INDEX(LicenseeSelect!$AP$511:$AZ$511,MATCH(YEAR(EOMONTH(A28,15)),LicenseeSelect!$AP$510:$AZ$510,0))/100,"-")</f>
        <v>-</v>
      </c>
      <c r="E28" s="12">
        <f t="shared" si="0"/>
        <v>75</v>
      </c>
      <c r="F28" s="12">
        <f t="shared" si="1"/>
        <v>174.4</v>
      </c>
    </row>
    <row r="29" spans="1:6" x14ac:dyDescent="0.35">
      <c r="A29" s="2">
        <v>37073</v>
      </c>
      <c r="B29" s="32">
        <v>173.3</v>
      </c>
      <c r="C29" s="26">
        <v>74.5</v>
      </c>
      <c r="D29" s="46" t="str">
        <f>IF(ISBLANK(C29),INDEX(LicenseeSelect!$AP$511:$AZ$511,MATCH(YEAR(EOMONTH(A29,15)),LicenseeSelect!$AP$510:$AZ$510,0))/100,"-")</f>
        <v>-</v>
      </c>
      <c r="E29" s="12">
        <f t="shared" si="0"/>
        <v>74.5</v>
      </c>
      <c r="F29" s="12">
        <f t="shared" si="1"/>
        <v>173.3</v>
      </c>
    </row>
    <row r="30" spans="1:6" x14ac:dyDescent="0.35">
      <c r="A30" s="2">
        <v>37104</v>
      </c>
      <c r="B30" s="32">
        <v>174</v>
      </c>
      <c r="C30" s="26">
        <v>74.8</v>
      </c>
      <c r="D30" s="46" t="str">
        <f>IF(ISBLANK(C30),INDEX(LicenseeSelect!$AP$511:$AZ$511,MATCH(YEAR(EOMONTH(A30,15)),LicenseeSelect!$AP$510:$AZ$510,0))/100,"-")</f>
        <v>-</v>
      </c>
      <c r="E30" s="12">
        <f t="shared" si="0"/>
        <v>74.8</v>
      </c>
      <c r="F30" s="12">
        <f t="shared" si="1"/>
        <v>174</v>
      </c>
    </row>
    <row r="31" spans="1:6" x14ac:dyDescent="0.35">
      <c r="A31" s="2">
        <v>37135</v>
      </c>
      <c r="B31" s="32">
        <v>174.6</v>
      </c>
      <c r="C31" s="26">
        <v>75</v>
      </c>
      <c r="D31" s="46" t="str">
        <f>IF(ISBLANK(C31),INDEX(LicenseeSelect!$AP$511:$AZ$511,MATCH(YEAR(EOMONTH(A31,15)),LicenseeSelect!$AP$510:$AZ$510,0))/100,"-")</f>
        <v>-</v>
      </c>
      <c r="E31" s="12">
        <f t="shared" si="0"/>
        <v>75</v>
      </c>
      <c r="F31" s="12">
        <f t="shared" si="1"/>
        <v>174.6</v>
      </c>
    </row>
    <row r="32" spans="1:6" x14ac:dyDescent="0.35">
      <c r="A32" s="2">
        <v>37165</v>
      </c>
      <c r="B32" s="32">
        <v>174.3</v>
      </c>
      <c r="C32" s="26">
        <v>74.900000000000006</v>
      </c>
      <c r="D32" s="46" t="str">
        <f>IF(ISBLANK(C32),INDEX(LicenseeSelect!$AP$511:$AZ$511,MATCH(YEAR(EOMONTH(A32,15)),LicenseeSelect!$AP$510:$AZ$510,0))/100,"-")</f>
        <v>-</v>
      </c>
      <c r="E32" s="12">
        <f t="shared" si="0"/>
        <v>74.900000000000006</v>
      </c>
      <c r="F32" s="12">
        <f t="shared" si="1"/>
        <v>174.3</v>
      </c>
    </row>
    <row r="33" spans="1:6" x14ac:dyDescent="0.35">
      <c r="A33" s="2">
        <v>37196</v>
      </c>
      <c r="B33" s="32">
        <v>173.6</v>
      </c>
      <c r="C33" s="26">
        <v>74.900000000000006</v>
      </c>
      <c r="D33" s="46" t="str">
        <f>IF(ISBLANK(C33),INDEX(LicenseeSelect!$AP$511:$AZ$511,MATCH(YEAR(EOMONTH(A33,15)),LicenseeSelect!$AP$510:$AZ$510,0))/100,"-")</f>
        <v>-</v>
      </c>
      <c r="E33" s="12">
        <f t="shared" si="0"/>
        <v>74.900000000000006</v>
      </c>
      <c r="F33" s="12">
        <f t="shared" si="1"/>
        <v>173.6</v>
      </c>
    </row>
    <row r="34" spans="1:6" x14ac:dyDescent="0.35">
      <c r="A34" s="2">
        <v>37226</v>
      </c>
      <c r="B34" s="32">
        <v>173.4</v>
      </c>
      <c r="C34" s="26">
        <v>75</v>
      </c>
      <c r="D34" s="46" t="str">
        <f>IF(ISBLANK(C34),INDEX(LicenseeSelect!$AP$511:$AZ$511,MATCH(YEAR(EOMONTH(A34,15)),LicenseeSelect!$AP$510:$AZ$510,0))/100,"-")</f>
        <v>-</v>
      </c>
      <c r="E34" s="12">
        <f t="shared" si="0"/>
        <v>75</v>
      </c>
      <c r="F34" s="12">
        <f t="shared" si="1"/>
        <v>173.4</v>
      </c>
    </row>
    <row r="35" spans="1:6" x14ac:dyDescent="0.35">
      <c r="A35" s="2">
        <v>37257</v>
      </c>
      <c r="B35" s="32">
        <v>173.3</v>
      </c>
      <c r="C35" s="26">
        <v>74.8</v>
      </c>
      <c r="D35" s="46" t="str">
        <f>IF(ISBLANK(C35),INDEX(LicenseeSelect!$AP$511:$AZ$511,MATCH(YEAR(EOMONTH(A35,15)),LicenseeSelect!$AP$510:$AZ$510,0))/100,"-")</f>
        <v>-</v>
      </c>
      <c r="E35" s="12">
        <f t="shared" si="0"/>
        <v>74.8</v>
      </c>
      <c r="F35" s="12">
        <f t="shared" si="1"/>
        <v>173.3</v>
      </c>
    </row>
    <row r="36" spans="1:6" x14ac:dyDescent="0.35">
      <c r="A36" s="2">
        <v>37288</v>
      </c>
      <c r="B36" s="32">
        <v>173.8</v>
      </c>
      <c r="C36" s="26">
        <v>75</v>
      </c>
      <c r="D36" s="46" t="str">
        <f>IF(ISBLANK(C36),INDEX(LicenseeSelect!$AP$511:$AZ$511,MATCH(YEAR(EOMONTH(A36,15)),LicenseeSelect!$AP$510:$AZ$510,0))/100,"-")</f>
        <v>-</v>
      </c>
      <c r="E36" s="12">
        <f t="shared" si="0"/>
        <v>75</v>
      </c>
      <c r="F36" s="12">
        <f t="shared" si="1"/>
        <v>173.8</v>
      </c>
    </row>
    <row r="37" spans="1:6" x14ac:dyDescent="0.35">
      <c r="A37" s="2">
        <v>37316</v>
      </c>
      <c r="B37" s="32">
        <v>174.5</v>
      </c>
      <c r="C37" s="26">
        <v>75.2</v>
      </c>
      <c r="D37" s="46" t="str">
        <f>IF(ISBLANK(C37),INDEX(LicenseeSelect!$AP$511:$AZ$511,MATCH(YEAR(EOMONTH(A37,15)),LicenseeSelect!$AP$510:$AZ$510,0))/100,"-")</f>
        <v>-</v>
      </c>
      <c r="E37" s="12">
        <f t="shared" si="0"/>
        <v>75.2</v>
      </c>
      <c r="F37" s="12">
        <f t="shared" si="1"/>
        <v>174.5</v>
      </c>
    </row>
    <row r="38" spans="1:6" x14ac:dyDescent="0.35">
      <c r="A38" s="2">
        <v>37347</v>
      </c>
      <c r="B38" s="32">
        <v>175.7</v>
      </c>
      <c r="C38" s="26">
        <v>75.599999999999994</v>
      </c>
      <c r="D38" s="46" t="str">
        <f>IF(ISBLANK(C38),INDEX(LicenseeSelect!$AP$511:$AZ$511,MATCH(YEAR(EOMONTH(A38,15)),LicenseeSelect!$AP$510:$AZ$510,0))/100,"-")</f>
        <v>-</v>
      </c>
      <c r="E38" s="12">
        <f t="shared" si="0"/>
        <v>75.599999999999994</v>
      </c>
      <c r="F38" s="12">
        <f t="shared" si="1"/>
        <v>175.7</v>
      </c>
    </row>
    <row r="39" spans="1:6" x14ac:dyDescent="0.35">
      <c r="A39" s="2">
        <v>37377</v>
      </c>
      <c r="B39" s="32">
        <v>176.2</v>
      </c>
      <c r="C39" s="26">
        <v>75.8</v>
      </c>
      <c r="D39" s="46" t="str">
        <f>IF(ISBLANK(C39),INDEX(LicenseeSelect!$AP$511:$AZ$511,MATCH(YEAR(EOMONTH(A39,15)),LicenseeSelect!$AP$510:$AZ$510,0))/100,"-")</f>
        <v>-</v>
      </c>
      <c r="E39" s="12">
        <f t="shared" si="0"/>
        <v>75.8</v>
      </c>
      <c r="F39" s="12">
        <f t="shared" si="1"/>
        <v>176.2</v>
      </c>
    </row>
    <row r="40" spans="1:6" x14ac:dyDescent="0.35">
      <c r="A40" s="2">
        <v>37408</v>
      </c>
      <c r="B40" s="32">
        <v>176.2</v>
      </c>
      <c r="C40" s="26">
        <v>75.8</v>
      </c>
      <c r="D40" s="46" t="str">
        <f>IF(ISBLANK(C40),INDEX(LicenseeSelect!$AP$511:$AZ$511,MATCH(YEAR(EOMONTH(A40,15)),LicenseeSelect!$AP$510:$AZ$510,0))/100,"-")</f>
        <v>-</v>
      </c>
      <c r="E40" s="12">
        <f t="shared" si="0"/>
        <v>75.8</v>
      </c>
      <c r="F40" s="12">
        <f t="shared" si="1"/>
        <v>176.2</v>
      </c>
    </row>
    <row r="41" spans="1:6" x14ac:dyDescent="0.35">
      <c r="A41" s="2">
        <v>37438</v>
      </c>
      <c r="B41" s="32">
        <v>175.9</v>
      </c>
      <c r="C41" s="26">
        <v>75.599999999999994</v>
      </c>
      <c r="D41" s="46" t="str">
        <f>IF(ISBLANK(C41),INDEX(LicenseeSelect!$AP$511:$AZ$511,MATCH(YEAR(EOMONTH(A41,15)),LicenseeSelect!$AP$510:$AZ$510,0))/100,"-")</f>
        <v>-</v>
      </c>
      <c r="E41" s="12">
        <f t="shared" si="0"/>
        <v>75.599999999999994</v>
      </c>
      <c r="F41" s="12">
        <f t="shared" si="1"/>
        <v>175.9</v>
      </c>
    </row>
    <row r="42" spans="1:6" x14ac:dyDescent="0.35">
      <c r="A42" s="2">
        <v>37469</v>
      </c>
      <c r="B42" s="32">
        <v>176.4</v>
      </c>
      <c r="C42" s="26">
        <v>75.8</v>
      </c>
      <c r="D42" s="46" t="str">
        <f>IF(ISBLANK(C42),INDEX(LicenseeSelect!$AP$511:$AZ$511,MATCH(YEAR(EOMONTH(A42,15)),LicenseeSelect!$AP$510:$AZ$510,0))/100,"-")</f>
        <v>-</v>
      </c>
      <c r="E42" s="12">
        <f t="shared" si="0"/>
        <v>75.8</v>
      </c>
      <c r="F42" s="12">
        <f t="shared" si="1"/>
        <v>176.4</v>
      </c>
    </row>
    <row r="43" spans="1:6" x14ac:dyDescent="0.35">
      <c r="A43" s="2">
        <v>37500</v>
      </c>
      <c r="B43" s="32">
        <v>177.6</v>
      </c>
      <c r="C43" s="26">
        <v>76</v>
      </c>
      <c r="D43" s="46" t="str">
        <f>IF(ISBLANK(C43),INDEX(LicenseeSelect!$AP$511:$AZ$511,MATCH(YEAR(EOMONTH(A43,15)),LicenseeSelect!$AP$510:$AZ$510,0))/100,"-")</f>
        <v>-</v>
      </c>
      <c r="E43" s="12">
        <f t="shared" si="0"/>
        <v>76</v>
      </c>
      <c r="F43" s="12">
        <f t="shared" si="1"/>
        <v>177.6</v>
      </c>
    </row>
    <row r="44" spans="1:6" x14ac:dyDescent="0.35">
      <c r="A44" s="2">
        <v>37530</v>
      </c>
      <c r="B44" s="32">
        <v>177.9</v>
      </c>
      <c r="C44" s="26">
        <v>76.099999999999994</v>
      </c>
      <c r="D44" s="46" t="str">
        <f>IF(ISBLANK(C44),INDEX(LicenseeSelect!$AP$511:$AZ$511,MATCH(YEAR(EOMONTH(A44,15)),LicenseeSelect!$AP$510:$AZ$510,0))/100,"-")</f>
        <v>-</v>
      </c>
      <c r="E44" s="12">
        <f t="shared" si="0"/>
        <v>76.099999999999994</v>
      </c>
      <c r="F44" s="12">
        <f t="shared" si="1"/>
        <v>177.9</v>
      </c>
    </row>
    <row r="45" spans="1:6" x14ac:dyDescent="0.35">
      <c r="A45" s="2">
        <v>37561</v>
      </c>
      <c r="B45" s="32">
        <v>178.2</v>
      </c>
      <c r="C45" s="26">
        <v>76.099999999999994</v>
      </c>
      <c r="D45" s="46" t="str">
        <f>IF(ISBLANK(C45),INDEX(LicenseeSelect!$AP$511:$AZ$511,MATCH(YEAR(EOMONTH(A45,15)),LicenseeSelect!$AP$510:$AZ$510,0))/100,"-")</f>
        <v>-</v>
      </c>
      <c r="E45" s="12">
        <f t="shared" si="0"/>
        <v>76.099999999999994</v>
      </c>
      <c r="F45" s="12">
        <f t="shared" si="1"/>
        <v>178.2</v>
      </c>
    </row>
    <row r="46" spans="1:6" x14ac:dyDescent="0.35">
      <c r="A46" s="2">
        <v>37591</v>
      </c>
      <c r="B46" s="32">
        <v>178.5</v>
      </c>
      <c r="C46" s="26">
        <v>76.3</v>
      </c>
      <c r="D46" s="46" t="str">
        <f>IF(ISBLANK(C46),INDEX(LicenseeSelect!$AP$511:$AZ$511,MATCH(YEAR(EOMONTH(A46,15)),LicenseeSelect!$AP$510:$AZ$510,0))/100,"-")</f>
        <v>-</v>
      </c>
      <c r="E46" s="12">
        <f t="shared" si="0"/>
        <v>76.3</v>
      </c>
      <c r="F46" s="12">
        <f t="shared" si="1"/>
        <v>178.5</v>
      </c>
    </row>
    <row r="47" spans="1:6" x14ac:dyDescent="0.35">
      <c r="A47" s="2">
        <v>37622</v>
      </c>
      <c r="B47" s="32">
        <v>178.4</v>
      </c>
      <c r="C47" s="26">
        <v>75.900000000000006</v>
      </c>
      <c r="D47" s="46" t="str">
        <f>IF(ISBLANK(C47),INDEX(LicenseeSelect!$AP$511:$AZ$511,MATCH(YEAR(EOMONTH(A47,15)),LicenseeSelect!$AP$510:$AZ$510,0))/100,"-")</f>
        <v>-</v>
      </c>
      <c r="E47" s="12">
        <f t="shared" si="0"/>
        <v>75.900000000000006</v>
      </c>
      <c r="F47" s="12">
        <f t="shared" si="1"/>
        <v>178.4</v>
      </c>
    </row>
    <row r="48" spans="1:6" x14ac:dyDescent="0.35">
      <c r="A48" s="2">
        <v>37653</v>
      </c>
      <c r="B48" s="32">
        <v>179.3</v>
      </c>
      <c r="C48" s="26">
        <v>76.099999999999994</v>
      </c>
      <c r="D48" s="46" t="str">
        <f>IF(ISBLANK(C48),INDEX(LicenseeSelect!$AP$511:$AZ$511,MATCH(YEAR(EOMONTH(A48,15)),LicenseeSelect!$AP$510:$AZ$510,0))/100,"-")</f>
        <v>-</v>
      </c>
      <c r="E48" s="12">
        <f t="shared" si="0"/>
        <v>76.099999999999994</v>
      </c>
      <c r="F48" s="12">
        <f t="shared" si="1"/>
        <v>179.3</v>
      </c>
    </row>
    <row r="49" spans="1:6" x14ac:dyDescent="0.35">
      <c r="A49" s="2">
        <v>37681</v>
      </c>
      <c r="B49" s="32">
        <v>179.9</v>
      </c>
      <c r="C49" s="26">
        <v>76.400000000000006</v>
      </c>
      <c r="D49" s="46" t="str">
        <f>IF(ISBLANK(C49),INDEX(LicenseeSelect!$AP$511:$AZ$511,MATCH(YEAR(EOMONTH(A49,15)),LicenseeSelect!$AP$510:$AZ$510,0))/100,"-")</f>
        <v>-</v>
      </c>
      <c r="E49" s="12">
        <f t="shared" si="0"/>
        <v>76.400000000000006</v>
      </c>
      <c r="F49" s="12">
        <f t="shared" si="1"/>
        <v>179.9</v>
      </c>
    </row>
    <row r="50" spans="1:6" x14ac:dyDescent="0.35">
      <c r="A50" s="2">
        <v>37712</v>
      </c>
      <c r="B50" s="32">
        <v>181.2</v>
      </c>
      <c r="C50" s="26">
        <v>76.8</v>
      </c>
      <c r="D50" s="46" t="str">
        <f>IF(ISBLANK(C50),INDEX(LicenseeSelect!$AP$511:$AZ$511,MATCH(YEAR(EOMONTH(A50,15)),LicenseeSelect!$AP$510:$AZ$510,0))/100,"-")</f>
        <v>-</v>
      </c>
      <c r="E50" s="12">
        <f t="shared" si="0"/>
        <v>76.8</v>
      </c>
      <c r="F50" s="12">
        <f t="shared" si="1"/>
        <v>181.2</v>
      </c>
    </row>
    <row r="51" spans="1:6" x14ac:dyDescent="0.35">
      <c r="A51" s="2">
        <v>37742</v>
      </c>
      <c r="B51" s="32">
        <v>181.5</v>
      </c>
      <c r="C51" s="26">
        <v>76.8</v>
      </c>
      <c r="D51" s="46" t="str">
        <f>IF(ISBLANK(C51),INDEX(LicenseeSelect!$AP$511:$AZ$511,MATCH(YEAR(EOMONTH(A51,15)),LicenseeSelect!$AP$510:$AZ$510,0))/100,"-")</f>
        <v>-</v>
      </c>
      <c r="E51" s="12">
        <f t="shared" si="0"/>
        <v>76.8</v>
      </c>
      <c r="F51" s="12">
        <f t="shared" si="1"/>
        <v>181.5</v>
      </c>
    </row>
    <row r="52" spans="1:6" x14ac:dyDescent="0.35">
      <c r="A52" s="2">
        <v>37773</v>
      </c>
      <c r="B52" s="32">
        <v>181.3</v>
      </c>
      <c r="C52" s="26">
        <v>76.7</v>
      </c>
      <c r="D52" s="46" t="str">
        <f>IF(ISBLANK(C52),INDEX(LicenseeSelect!$AP$511:$AZ$511,MATCH(YEAR(EOMONTH(A52,15)),LicenseeSelect!$AP$510:$AZ$510,0))/100,"-")</f>
        <v>-</v>
      </c>
      <c r="E52" s="12">
        <f t="shared" si="0"/>
        <v>76.7</v>
      </c>
      <c r="F52" s="12">
        <f t="shared" si="1"/>
        <v>181.3</v>
      </c>
    </row>
    <row r="53" spans="1:6" x14ac:dyDescent="0.35">
      <c r="A53" s="2">
        <v>37803</v>
      </c>
      <c r="B53" s="32">
        <v>181.3</v>
      </c>
      <c r="C53" s="26">
        <v>76.599999999999994</v>
      </c>
      <c r="D53" s="46" t="str">
        <f>IF(ISBLANK(C53),INDEX(LicenseeSelect!$AP$511:$AZ$511,MATCH(YEAR(EOMONTH(A53,15)),LicenseeSelect!$AP$510:$AZ$510,0))/100,"-")</f>
        <v>-</v>
      </c>
      <c r="E53" s="12">
        <f t="shared" si="0"/>
        <v>76.599999999999994</v>
      </c>
      <c r="F53" s="12">
        <f t="shared" si="1"/>
        <v>181.3</v>
      </c>
    </row>
    <row r="54" spans="1:6" x14ac:dyDescent="0.35">
      <c r="A54" s="2">
        <v>37834</v>
      </c>
      <c r="B54" s="32">
        <v>181.6</v>
      </c>
      <c r="C54" s="26">
        <v>76.8</v>
      </c>
      <c r="D54" s="46" t="str">
        <f>IF(ISBLANK(C54),INDEX(LicenseeSelect!$AP$511:$AZ$511,MATCH(YEAR(EOMONTH(A54,15)),LicenseeSelect!$AP$510:$AZ$510,0))/100,"-")</f>
        <v>-</v>
      </c>
      <c r="E54" s="12">
        <f t="shared" si="0"/>
        <v>76.8</v>
      </c>
      <c r="F54" s="12">
        <f t="shared" si="1"/>
        <v>181.6</v>
      </c>
    </row>
    <row r="55" spans="1:6" x14ac:dyDescent="0.35">
      <c r="A55" s="2">
        <v>37865</v>
      </c>
      <c r="B55" s="32">
        <v>182.5</v>
      </c>
      <c r="C55" s="26">
        <v>77</v>
      </c>
      <c r="D55" s="46" t="str">
        <f>IF(ISBLANK(C55),INDEX(LicenseeSelect!$AP$511:$AZ$511,MATCH(YEAR(EOMONTH(A55,15)),LicenseeSelect!$AP$510:$AZ$510,0))/100,"-")</f>
        <v>-</v>
      </c>
      <c r="E55" s="12">
        <f t="shared" si="0"/>
        <v>77</v>
      </c>
      <c r="F55" s="12">
        <f t="shared" si="1"/>
        <v>182.5</v>
      </c>
    </row>
    <row r="56" spans="1:6" x14ac:dyDescent="0.35">
      <c r="A56" s="2">
        <v>37895</v>
      </c>
      <c r="B56" s="32">
        <v>182.6</v>
      </c>
      <c r="C56" s="26">
        <v>77.099999999999994</v>
      </c>
      <c r="D56" s="46" t="str">
        <f>IF(ISBLANK(C56),INDEX(LicenseeSelect!$AP$511:$AZ$511,MATCH(YEAR(EOMONTH(A56,15)),LicenseeSelect!$AP$510:$AZ$510,0))/100,"-")</f>
        <v>-</v>
      </c>
      <c r="E56" s="12">
        <f t="shared" si="0"/>
        <v>77.099999999999994</v>
      </c>
      <c r="F56" s="12">
        <f t="shared" si="1"/>
        <v>182.6</v>
      </c>
    </row>
    <row r="57" spans="1:6" x14ac:dyDescent="0.35">
      <c r="A57" s="2">
        <v>37926</v>
      </c>
      <c r="B57" s="32">
        <v>182.7</v>
      </c>
      <c r="C57" s="26">
        <v>77.099999999999994</v>
      </c>
      <c r="D57" s="46" t="str">
        <f>IF(ISBLANK(C57),INDEX(LicenseeSelect!$AP$511:$AZ$511,MATCH(YEAR(EOMONTH(A57,15)),LicenseeSelect!$AP$510:$AZ$510,0))/100,"-")</f>
        <v>-</v>
      </c>
      <c r="E57" s="12">
        <f t="shared" si="0"/>
        <v>77.099999999999994</v>
      </c>
      <c r="F57" s="12">
        <f t="shared" si="1"/>
        <v>182.7</v>
      </c>
    </row>
    <row r="58" spans="1:6" x14ac:dyDescent="0.35">
      <c r="A58" s="2">
        <v>37956</v>
      </c>
      <c r="B58" s="32">
        <v>183.5</v>
      </c>
      <c r="C58" s="26">
        <v>77.3</v>
      </c>
      <c r="D58" s="46" t="str">
        <f>IF(ISBLANK(C58),INDEX(LicenseeSelect!$AP$511:$AZ$511,MATCH(YEAR(EOMONTH(A58,15)),LicenseeSelect!$AP$510:$AZ$510,0))/100,"-")</f>
        <v>-</v>
      </c>
      <c r="E58" s="12">
        <f t="shared" si="0"/>
        <v>77.3</v>
      </c>
      <c r="F58" s="12">
        <f t="shared" si="1"/>
        <v>183.5</v>
      </c>
    </row>
    <row r="59" spans="1:6" x14ac:dyDescent="0.35">
      <c r="A59" s="2">
        <v>37987</v>
      </c>
      <c r="B59" s="32">
        <v>183.1</v>
      </c>
      <c r="C59" s="26">
        <v>77</v>
      </c>
      <c r="D59" s="46" t="str">
        <f>IF(ISBLANK(C59),INDEX(LicenseeSelect!$AP$511:$AZ$511,MATCH(YEAR(EOMONTH(A59,15)),LicenseeSelect!$AP$510:$AZ$510,0))/100,"-")</f>
        <v>-</v>
      </c>
      <c r="E59" s="12">
        <f t="shared" si="0"/>
        <v>77</v>
      </c>
      <c r="F59" s="12">
        <f t="shared" si="1"/>
        <v>183.1</v>
      </c>
    </row>
    <row r="60" spans="1:6" x14ac:dyDescent="0.35">
      <c r="A60" s="2">
        <v>38018</v>
      </c>
      <c r="B60" s="32">
        <v>183.8</v>
      </c>
      <c r="C60" s="26">
        <v>77.2</v>
      </c>
      <c r="D60" s="46" t="str">
        <f>IF(ISBLANK(C60),INDEX(LicenseeSelect!$AP$511:$AZ$511,MATCH(YEAR(EOMONTH(A60,15)),LicenseeSelect!$AP$510:$AZ$510,0))/100,"-")</f>
        <v>-</v>
      </c>
      <c r="E60" s="12">
        <f t="shared" si="0"/>
        <v>77.2</v>
      </c>
      <c r="F60" s="12">
        <f t="shared" si="1"/>
        <v>183.8</v>
      </c>
    </row>
    <row r="61" spans="1:6" x14ac:dyDescent="0.35">
      <c r="A61" s="2">
        <v>38047</v>
      </c>
      <c r="B61" s="32">
        <v>184.6</v>
      </c>
      <c r="C61" s="26">
        <v>77.3</v>
      </c>
      <c r="D61" s="46" t="str">
        <f>IF(ISBLANK(C61),INDEX(LicenseeSelect!$AP$511:$AZ$511,MATCH(YEAR(EOMONTH(A61,15)),LicenseeSelect!$AP$510:$AZ$510,0))/100,"-")</f>
        <v>-</v>
      </c>
      <c r="E61" s="12">
        <f t="shared" si="0"/>
        <v>77.3</v>
      </c>
      <c r="F61" s="12">
        <f t="shared" si="1"/>
        <v>184.6</v>
      </c>
    </row>
    <row r="62" spans="1:6" x14ac:dyDescent="0.35">
      <c r="A62" s="2">
        <v>38078</v>
      </c>
      <c r="B62" s="32">
        <v>185.7</v>
      </c>
      <c r="C62" s="26">
        <v>77.599999999999994</v>
      </c>
      <c r="D62" s="46" t="str">
        <f>IF(ISBLANK(C62),INDEX(LicenseeSelect!$AP$511:$AZ$511,MATCH(YEAR(EOMONTH(A62,15)),LicenseeSelect!$AP$510:$AZ$510,0))/100,"-")</f>
        <v>-</v>
      </c>
      <c r="E62" s="12">
        <f t="shared" si="0"/>
        <v>77.599999999999994</v>
      </c>
      <c r="F62" s="12">
        <f t="shared" si="1"/>
        <v>185.7</v>
      </c>
    </row>
    <row r="63" spans="1:6" x14ac:dyDescent="0.35">
      <c r="A63" s="2">
        <v>38108</v>
      </c>
      <c r="B63" s="32">
        <v>186.5</v>
      </c>
      <c r="C63" s="26">
        <v>77.900000000000006</v>
      </c>
      <c r="D63" s="46" t="str">
        <f>IF(ISBLANK(C63),INDEX(LicenseeSelect!$AP$511:$AZ$511,MATCH(YEAR(EOMONTH(A63,15)),LicenseeSelect!$AP$510:$AZ$510,0))/100,"-")</f>
        <v>-</v>
      </c>
      <c r="E63" s="12">
        <f t="shared" si="0"/>
        <v>77.900000000000006</v>
      </c>
      <c r="F63" s="12">
        <f t="shared" si="1"/>
        <v>186.5</v>
      </c>
    </row>
    <row r="64" spans="1:6" x14ac:dyDescent="0.35">
      <c r="A64" s="2">
        <v>38139</v>
      </c>
      <c r="B64" s="32">
        <v>186.8</v>
      </c>
      <c r="C64" s="26">
        <v>77.900000000000006</v>
      </c>
      <c r="D64" s="46" t="str">
        <f>IF(ISBLANK(C64),INDEX(LicenseeSelect!$AP$511:$AZ$511,MATCH(YEAR(EOMONTH(A64,15)),LicenseeSelect!$AP$510:$AZ$510,0))/100,"-")</f>
        <v>-</v>
      </c>
      <c r="E64" s="12">
        <f t="shared" si="0"/>
        <v>77.900000000000006</v>
      </c>
      <c r="F64" s="12">
        <f t="shared" si="1"/>
        <v>186.8</v>
      </c>
    </row>
    <row r="65" spans="1:6" x14ac:dyDescent="0.35">
      <c r="A65" s="2">
        <v>38169</v>
      </c>
      <c r="B65" s="32">
        <v>186.8</v>
      </c>
      <c r="C65" s="26">
        <v>77.7</v>
      </c>
      <c r="D65" s="46" t="str">
        <f>IF(ISBLANK(C65),INDEX(LicenseeSelect!$AP$511:$AZ$511,MATCH(YEAR(EOMONTH(A65,15)),LicenseeSelect!$AP$510:$AZ$510,0))/100,"-")</f>
        <v>-</v>
      </c>
      <c r="E65" s="12">
        <f t="shared" si="0"/>
        <v>77.7</v>
      </c>
      <c r="F65" s="12">
        <f t="shared" si="1"/>
        <v>186.8</v>
      </c>
    </row>
    <row r="66" spans="1:6" x14ac:dyDescent="0.35">
      <c r="A66" s="2">
        <v>38200</v>
      </c>
      <c r="B66" s="32">
        <v>187.4</v>
      </c>
      <c r="C66" s="26">
        <v>77.900000000000006</v>
      </c>
      <c r="D66" s="46" t="str">
        <f>IF(ISBLANK(C66),INDEX(LicenseeSelect!$AP$511:$AZ$511,MATCH(YEAR(EOMONTH(A66,15)),LicenseeSelect!$AP$510:$AZ$510,0))/100,"-")</f>
        <v>-</v>
      </c>
      <c r="E66" s="12">
        <f t="shared" si="0"/>
        <v>77.900000000000006</v>
      </c>
      <c r="F66" s="12">
        <f t="shared" si="1"/>
        <v>187.4</v>
      </c>
    </row>
    <row r="67" spans="1:6" x14ac:dyDescent="0.35">
      <c r="A67" s="2">
        <v>38231</v>
      </c>
      <c r="B67" s="32">
        <v>188.1</v>
      </c>
      <c r="C67" s="26">
        <v>77.900000000000006</v>
      </c>
      <c r="D67" s="46" t="str">
        <f>IF(ISBLANK(C67),INDEX(LicenseeSelect!$AP$511:$AZ$511,MATCH(YEAR(EOMONTH(A67,15)),LicenseeSelect!$AP$510:$AZ$510,0))/100,"-")</f>
        <v>-</v>
      </c>
      <c r="E67" s="12">
        <f t="shared" ref="E67:E130" si="2">IF(ISBLANK(C67),E66*((1+D67)^(1/12)),C67)</f>
        <v>77.900000000000006</v>
      </c>
      <c r="F67" s="12">
        <f t="shared" ref="F67:F130" si="3">IF(ISBLANK(B67),F66*(E67/E66),B67)</f>
        <v>188.1</v>
      </c>
    </row>
    <row r="68" spans="1:6" x14ac:dyDescent="0.35">
      <c r="A68" s="2">
        <v>38261</v>
      </c>
      <c r="B68" s="32">
        <v>188.6</v>
      </c>
      <c r="C68" s="26">
        <v>78.099999999999994</v>
      </c>
      <c r="D68" s="46" t="str">
        <f>IF(ISBLANK(C68),INDEX(LicenseeSelect!$AP$511:$AZ$511,MATCH(YEAR(EOMONTH(A68,15)),LicenseeSelect!$AP$510:$AZ$510,0))/100,"-")</f>
        <v>-</v>
      </c>
      <c r="E68" s="12">
        <f t="shared" si="2"/>
        <v>78.099999999999994</v>
      </c>
      <c r="F68" s="12">
        <f t="shared" si="3"/>
        <v>188.6</v>
      </c>
    </row>
    <row r="69" spans="1:6" x14ac:dyDescent="0.35">
      <c r="A69" s="2">
        <v>38292</v>
      </c>
      <c r="B69" s="32">
        <v>189</v>
      </c>
      <c r="C69" s="26">
        <v>78.3</v>
      </c>
      <c r="D69" s="46" t="str">
        <f>IF(ISBLANK(C69),INDEX(LicenseeSelect!$AP$511:$AZ$511,MATCH(YEAR(EOMONTH(A69,15)),LicenseeSelect!$AP$510:$AZ$510,0))/100,"-")</f>
        <v>-</v>
      </c>
      <c r="E69" s="12">
        <f t="shared" si="2"/>
        <v>78.3</v>
      </c>
      <c r="F69" s="12">
        <f t="shared" si="3"/>
        <v>189</v>
      </c>
    </row>
    <row r="70" spans="1:6" x14ac:dyDescent="0.35">
      <c r="A70" s="2">
        <v>38322</v>
      </c>
      <c r="B70" s="32">
        <v>189.9</v>
      </c>
      <c r="C70" s="26">
        <v>78.599999999999994</v>
      </c>
      <c r="D70" s="46" t="str">
        <f>IF(ISBLANK(C70),INDEX(LicenseeSelect!$AP$511:$AZ$511,MATCH(YEAR(EOMONTH(A70,15)),LicenseeSelect!$AP$510:$AZ$510,0))/100,"-")</f>
        <v>-</v>
      </c>
      <c r="E70" s="12">
        <f t="shared" si="2"/>
        <v>78.599999999999994</v>
      </c>
      <c r="F70" s="12">
        <f t="shared" si="3"/>
        <v>189.9</v>
      </c>
    </row>
    <row r="71" spans="1:6" x14ac:dyDescent="0.35">
      <c r="A71" s="2">
        <v>38353</v>
      </c>
      <c r="B71" s="32">
        <v>188.9</v>
      </c>
      <c r="C71" s="26">
        <v>78.3</v>
      </c>
      <c r="D71" s="46" t="str">
        <f>IF(ISBLANK(C71),INDEX(LicenseeSelect!$AP$511:$AZ$511,MATCH(YEAR(EOMONTH(A71,15)),LicenseeSelect!$AP$510:$AZ$510,0))/100,"-")</f>
        <v>-</v>
      </c>
      <c r="E71" s="12">
        <f t="shared" si="2"/>
        <v>78.3</v>
      </c>
      <c r="F71" s="12">
        <f t="shared" si="3"/>
        <v>188.9</v>
      </c>
    </row>
    <row r="72" spans="1:6" x14ac:dyDescent="0.35">
      <c r="A72" s="2">
        <v>38384</v>
      </c>
      <c r="B72" s="32">
        <v>189.6</v>
      </c>
      <c r="C72" s="26">
        <v>78.5</v>
      </c>
      <c r="D72" s="46" t="str">
        <f>IF(ISBLANK(C72),INDEX(LicenseeSelect!$AP$511:$AZ$511,MATCH(YEAR(EOMONTH(A72,15)),LicenseeSelect!$AP$510:$AZ$510,0))/100,"-")</f>
        <v>-</v>
      </c>
      <c r="E72" s="12">
        <f t="shared" si="2"/>
        <v>78.5</v>
      </c>
      <c r="F72" s="12">
        <f t="shared" si="3"/>
        <v>189.6</v>
      </c>
    </row>
    <row r="73" spans="1:6" x14ac:dyDescent="0.35">
      <c r="A73" s="2">
        <v>38412</v>
      </c>
      <c r="B73" s="32">
        <v>190.5</v>
      </c>
      <c r="C73" s="26">
        <v>78.8</v>
      </c>
      <c r="D73" s="46" t="str">
        <f>IF(ISBLANK(C73),INDEX(LicenseeSelect!$AP$511:$AZ$511,MATCH(YEAR(EOMONTH(A73,15)),LicenseeSelect!$AP$510:$AZ$510,0))/100,"-")</f>
        <v>-</v>
      </c>
      <c r="E73" s="12">
        <f t="shared" si="2"/>
        <v>78.8</v>
      </c>
      <c r="F73" s="12">
        <f t="shared" si="3"/>
        <v>190.5</v>
      </c>
    </row>
    <row r="74" spans="1:6" x14ac:dyDescent="0.35">
      <c r="A74" s="2">
        <v>38443</v>
      </c>
      <c r="B74" s="32">
        <v>191.6</v>
      </c>
      <c r="C74" s="26">
        <v>79.099999999999994</v>
      </c>
      <c r="D74" s="46" t="str">
        <f>IF(ISBLANK(C74),INDEX(LicenseeSelect!$AP$511:$AZ$511,MATCH(YEAR(EOMONTH(A74,15)),LicenseeSelect!$AP$510:$AZ$510,0))/100,"-")</f>
        <v>-</v>
      </c>
      <c r="E74" s="12">
        <f t="shared" si="2"/>
        <v>79.099999999999994</v>
      </c>
      <c r="F74" s="12">
        <f t="shared" si="3"/>
        <v>191.6</v>
      </c>
    </row>
    <row r="75" spans="1:6" x14ac:dyDescent="0.35">
      <c r="A75" s="2">
        <v>38473</v>
      </c>
      <c r="B75" s="32">
        <v>192</v>
      </c>
      <c r="C75" s="26">
        <v>79.400000000000006</v>
      </c>
      <c r="D75" s="46" t="str">
        <f>IF(ISBLANK(C75),INDEX(LicenseeSelect!$AP$511:$AZ$511,MATCH(YEAR(EOMONTH(A75,15)),LicenseeSelect!$AP$510:$AZ$510,0))/100,"-")</f>
        <v>-</v>
      </c>
      <c r="E75" s="12">
        <f t="shared" si="2"/>
        <v>79.400000000000006</v>
      </c>
      <c r="F75" s="12">
        <f t="shared" si="3"/>
        <v>192</v>
      </c>
    </row>
    <row r="76" spans="1:6" x14ac:dyDescent="0.35">
      <c r="A76" s="2">
        <v>38504</v>
      </c>
      <c r="B76" s="32">
        <v>192.2</v>
      </c>
      <c r="C76" s="26">
        <v>79.400000000000006</v>
      </c>
      <c r="D76" s="46" t="str">
        <f>IF(ISBLANK(C76),INDEX(LicenseeSelect!$AP$511:$AZ$511,MATCH(YEAR(EOMONTH(A76,15)),LicenseeSelect!$AP$510:$AZ$510,0))/100,"-")</f>
        <v>-</v>
      </c>
      <c r="E76" s="12">
        <f t="shared" si="2"/>
        <v>79.400000000000006</v>
      </c>
      <c r="F76" s="12">
        <f t="shared" si="3"/>
        <v>192.2</v>
      </c>
    </row>
    <row r="77" spans="1:6" x14ac:dyDescent="0.35">
      <c r="A77" s="2">
        <v>38534</v>
      </c>
      <c r="B77" s="32">
        <v>192.2</v>
      </c>
      <c r="C77" s="26">
        <v>79.5</v>
      </c>
      <c r="D77" s="46" t="str">
        <f>IF(ISBLANK(C77),INDEX(LicenseeSelect!$AP$511:$AZ$511,MATCH(YEAR(EOMONTH(A77,15)),LicenseeSelect!$AP$510:$AZ$510,0))/100,"-")</f>
        <v>-</v>
      </c>
      <c r="E77" s="12">
        <f t="shared" si="2"/>
        <v>79.5</v>
      </c>
      <c r="F77" s="12">
        <f t="shared" si="3"/>
        <v>192.2</v>
      </c>
    </row>
    <row r="78" spans="1:6" x14ac:dyDescent="0.35">
      <c r="A78" s="2">
        <v>38565</v>
      </c>
      <c r="B78" s="32">
        <v>192.6</v>
      </c>
      <c r="C78" s="26">
        <v>79.7</v>
      </c>
      <c r="D78" s="46" t="str">
        <f>IF(ISBLANK(C78),INDEX(LicenseeSelect!$AP$511:$AZ$511,MATCH(YEAR(EOMONTH(A78,15)),LicenseeSelect!$AP$510:$AZ$510,0))/100,"-")</f>
        <v>-</v>
      </c>
      <c r="E78" s="12">
        <f t="shared" si="2"/>
        <v>79.7</v>
      </c>
      <c r="F78" s="12">
        <f t="shared" si="3"/>
        <v>192.6</v>
      </c>
    </row>
    <row r="79" spans="1:6" x14ac:dyDescent="0.35">
      <c r="A79" s="2">
        <v>38596</v>
      </c>
      <c r="B79" s="32">
        <v>193.1</v>
      </c>
      <c r="C79" s="26">
        <v>79.900000000000006</v>
      </c>
      <c r="D79" s="46" t="str">
        <f>IF(ISBLANK(C79),INDEX(LicenseeSelect!$AP$511:$AZ$511,MATCH(YEAR(EOMONTH(A79,15)),LicenseeSelect!$AP$510:$AZ$510,0))/100,"-")</f>
        <v>-</v>
      </c>
      <c r="E79" s="12">
        <f t="shared" si="2"/>
        <v>79.900000000000006</v>
      </c>
      <c r="F79" s="12">
        <f t="shared" si="3"/>
        <v>193.1</v>
      </c>
    </row>
    <row r="80" spans="1:6" x14ac:dyDescent="0.35">
      <c r="A80" s="2">
        <v>38626</v>
      </c>
      <c r="B80" s="32">
        <v>193.3</v>
      </c>
      <c r="C80" s="26">
        <v>80</v>
      </c>
      <c r="D80" s="46" t="str">
        <f>IF(ISBLANK(C80),INDEX(LicenseeSelect!$AP$511:$AZ$511,MATCH(YEAR(EOMONTH(A80,15)),LicenseeSelect!$AP$510:$AZ$510,0))/100,"-")</f>
        <v>-</v>
      </c>
      <c r="E80" s="12">
        <f t="shared" si="2"/>
        <v>80</v>
      </c>
      <c r="F80" s="12">
        <f t="shared" si="3"/>
        <v>193.3</v>
      </c>
    </row>
    <row r="81" spans="1:6" x14ac:dyDescent="0.35">
      <c r="A81" s="2">
        <v>38657</v>
      </c>
      <c r="B81" s="32">
        <v>193.6</v>
      </c>
      <c r="C81" s="26">
        <v>80</v>
      </c>
      <c r="D81" s="46" t="str">
        <f>IF(ISBLANK(C81),INDEX(LicenseeSelect!$AP$511:$AZ$511,MATCH(YEAR(EOMONTH(A81,15)),LicenseeSelect!$AP$510:$AZ$510,0))/100,"-")</f>
        <v>-</v>
      </c>
      <c r="E81" s="12">
        <f t="shared" si="2"/>
        <v>80</v>
      </c>
      <c r="F81" s="12">
        <f t="shared" si="3"/>
        <v>193.6</v>
      </c>
    </row>
    <row r="82" spans="1:6" x14ac:dyDescent="0.35">
      <c r="A82" s="2">
        <v>38687</v>
      </c>
      <c r="B82" s="32">
        <v>194.1</v>
      </c>
      <c r="C82" s="26">
        <v>80.3</v>
      </c>
      <c r="D82" s="46" t="str">
        <f>IF(ISBLANK(C82),INDEX(LicenseeSelect!$AP$511:$AZ$511,MATCH(YEAR(EOMONTH(A82,15)),LicenseeSelect!$AP$510:$AZ$510,0))/100,"-")</f>
        <v>-</v>
      </c>
      <c r="E82" s="12">
        <f t="shared" si="2"/>
        <v>80.3</v>
      </c>
      <c r="F82" s="12">
        <f t="shared" si="3"/>
        <v>194.1</v>
      </c>
    </row>
    <row r="83" spans="1:6" x14ac:dyDescent="0.35">
      <c r="A83" s="2">
        <v>38718</v>
      </c>
      <c r="B83" s="32">
        <v>193.4</v>
      </c>
      <c r="C83" s="26">
        <v>80</v>
      </c>
      <c r="D83" s="46" t="str">
        <f>IF(ISBLANK(C83),INDEX(LicenseeSelect!$AP$511:$AZ$511,MATCH(YEAR(EOMONTH(A83,15)),LicenseeSelect!$AP$510:$AZ$510,0))/100,"-")</f>
        <v>-</v>
      </c>
      <c r="E83" s="12">
        <f t="shared" si="2"/>
        <v>80</v>
      </c>
      <c r="F83" s="12">
        <f t="shared" si="3"/>
        <v>193.4</v>
      </c>
    </row>
    <row r="84" spans="1:6" x14ac:dyDescent="0.35">
      <c r="A84" s="2">
        <v>38749</v>
      </c>
      <c r="B84" s="32">
        <v>194.2</v>
      </c>
      <c r="C84" s="26">
        <v>80.2</v>
      </c>
      <c r="D84" s="46" t="str">
        <f>IF(ISBLANK(C84),INDEX(LicenseeSelect!$AP$511:$AZ$511,MATCH(YEAR(EOMONTH(A84,15)),LicenseeSelect!$AP$510:$AZ$510,0))/100,"-")</f>
        <v>-</v>
      </c>
      <c r="E84" s="12">
        <f t="shared" si="2"/>
        <v>80.2</v>
      </c>
      <c r="F84" s="12">
        <f t="shared" si="3"/>
        <v>194.2</v>
      </c>
    </row>
    <row r="85" spans="1:6" x14ac:dyDescent="0.35">
      <c r="A85" s="2">
        <v>38777</v>
      </c>
      <c r="B85" s="32">
        <v>195</v>
      </c>
      <c r="C85" s="26">
        <v>80.400000000000006</v>
      </c>
      <c r="D85" s="46" t="str">
        <f>IF(ISBLANK(C85),INDEX(LicenseeSelect!$AP$511:$AZ$511,MATCH(YEAR(EOMONTH(A85,15)),LicenseeSelect!$AP$510:$AZ$510,0))/100,"-")</f>
        <v>-</v>
      </c>
      <c r="E85" s="12">
        <f t="shared" si="2"/>
        <v>80.400000000000006</v>
      </c>
      <c r="F85" s="12">
        <f t="shared" si="3"/>
        <v>195</v>
      </c>
    </row>
    <row r="86" spans="1:6" x14ac:dyDescent="0.35">
      <c r="A86" s="2">
        <v>38808</v>
      </c>
      <c r="B86" s="32">
        <v>196.5</v>
      </c>
      <c r="C86" s="26">
        <v>80.900000000000006</v>
      </c>
      <c r="D86" s="46" t="str">
        <f>IF(ISBLANK(C86),INDEX(LicenseeSelect!$AP$511:$AZ$511,MATCH(YEAR(EOMONTH(A86,15)),LicenseeSelect!$AP$510:$AZ$510,0))/100,"-")</f>
        <v>-</v>
      </c>
      <c r="E86" s="12">
        <f t="shared" si="2"/>
        <v>80.900000000000006</v>
      </c>
      <c r="F86" s="12">
        <f t="shared" si="3"/>
        <v>196.5</v>
      </c>
    </row>
    <row r="87" spans="1:6" x14ac:dyDescent="0.35">
      <c r="A87" s="2">
        <v>38838</v>
      </c>
      <c r="B87" s="32">
        <v>197.7</v>
      </c>
      <c r="C87" s="26">
        <v>81.3</v>
      </c>
      <c r="D87" s="46" t="str">
        <f>IF(ISBLANK(C87),INDEX(LicenseeSelect!$AP$511:$AZ$511,MATCH(YEAR(EOMONTH(A87,15)),LicenseeSelect!$AP$510:$AZ$510,0))/100,"-")</f>
        <v>-</v>
      </c>
      <c r="E87" s="12">
        <f t="shared" si="2"/>
        <v>81.3</v>
      </c>
      <c r="F87" s="12">
        <f t="shared" si="3"/>
        <v>197.7</v>
      </c>
    </row>
    <row r="88" spans="1:6" x14ac:dyDescent="0.35">
      <c r="A88" s="2">
        <v>38869</v>
      </c>
      <c r="B88" s="32">
        <v>198.5</v>
      </c>
      <c r="C88" s="26">
        <v>81.5</v>
      </c>
      <c r="D88" s="46" t="str">
        <f>IF(ISBLANK(C88),INDEX(LicenseeSelect!$AP$511:$AZ$511,MATCH(YEAR(EOMONTH(A88,15)),LicenseeSelect!$AP$510:$AZ$510,0))/100,"-")</f>
        <v>-</v>
      </c>
      <c r="E88" s="12">
        <f t="shared" si="2"/>
        <v>81.5</v>
      </c>
      <c r="F88" s="12">
        <f t="shared" si="3"/>
        <v>198.5</v>
      </c>
    </row>
    <row r="89" spans="1:6" x14ac:dyDescent="0.35">
      <c r="A89" s="2">
        <v>38899</v>
      </c>
      <c r="B89" s="32">
        <v>198.5</v>
      </c>
      <c r="C89" s="26">
        <v>81.5</v>
      </c>
      <c r="D89" s="46" t="str">
        <f>IF(ISBLANK(C89),INDEX(LicenseeSelect!$AP$511:$AZ$511,MATCH(YEAR(EOMONTH(A89,15)),LicenseeSelect!$AP$510:$AZ$510,0))/100,"-")</f>
        <v>-</v>
      </c>
      <c r="E89" s="12">
        <f t="shared" si="2"/>
        <v>81.5</v>
      </c>
      <c r="F89" s="12">
        <f t="shared" si="3"/>
        <v>198.5</v>
      </c>
    </row>
    <row r="90" spans="1:6" x14ac:dyDescent="0.35">
      <c r="A90" s="2">
        <v>38930</v>
      </c>
      <c r="B90" s="32">
        <v>199.2</v>
      </c>
      <c r="C90" s="26">
        <v>81.8</v>
      </c>
      <c r="D90" s="46" t="str">
        <f>IF(ISBLANK(C90),INDEX(LicenseeSelect!$AP$511:$AZ$511,MATCH(YEAR(EOMONTH(A90,15)),LicenseeSelect!$AP$510:$AZ$510,0))/100,"-")</f>
        <v>-</v>
      </c>
      <c r="E90" s="12">
        <f t="shared" si="2"/>
        <v>81.8</v>
      </c>
      <c r="F90" s="12">
        <f t="shared" si="3"/>
        <v>199.2</v>
      </c>
    </row>
    <row r="91" spans="1:6" x14ac:dyDescent="0.35">
      <c r="A91" s="2">
        <v>38961</v>
      </c>
      <c r="B91" s="32">
        <v>200.1</v>
      </c>
      <c r="C91" s="26">
        <v>81.900000000000006</v>
      </c>
      <c r="D91" s="46" t="str">
        <f>IF(ISBLANK(C91),INDEX(LicenseeSelect!$AP$511:$AZ$511,MATCH(YEAR(EOMONTH(A91,15)),LicenseeSelect!$AP$510:$AZ$510,0))/100,"-")</f>
        <v>-</v>
      </c>
      <c r="E91" s="12">
        <f t="shared" si="2"/>
        <v>81.900000000000006</v>
      </c>
      <c r="F91" s="12">
        <f t="shared" si="3"/>
        <v>200.1</v>
      </c>
    </row>
    <row r="92" spans="1:6" x14ac:dyDescent="0.35">
      <c r="A92" s="2">
        <v>38991</v>
      </c>
      <c r="B92" s="32">
        <v>200.4</v>
      </c>
      <c r="C92" s="26">
        <v>82</v>
      </c>
      <c r="D92" s="46" t="str">
        <f>IF(ISBLANK(C92),INDEX(LicenseeSelect!$AP$511:$AZ$511,MATCH(YEAR(EOMONTH(A92,15)),LicenseeSelect!$AP$510:$AZ$510,0))/100,"-")</f>
        <v>-</v>
      </c>
      <c r="E92" s="12">
        <f t="shared" si="2"/>
        <v>82</v>
      </c>
      <c r="F92" s="12">
        <f t="shared" si="3"/>
        <v>200.4</v>
      </c>
    </row>
    <row r="93" spans="1:6" x14ac:dyDescent="0.35">
      <c r="A93" s="2">
        <v>39022</v>
      </c>
      <c r="B93" s="32">
        <v>201.1</v>
      </c>
      <c r="C93" s="26">
        <v>82.2</v>
      </c>
      <c r="D93" s="46" t="str">
        <f>IF(ISBLANK(C93),INDEX(LicenseeSelect!$AP$511:$AZ$511,MATCH(YEAR(EOMONTH(A93,15)),LicenseeSelect!$AP$510:$AZ$510,0))/100,"-")</f>
        <v>-</v>
      </c>
      <c r="E93" s="12">
        <f t="shared" si="2"/>
        <v>82.2</v>
      </c>
      <c r="F93" s="12">
        <f t="shared" si="3"/>
        <v>201.1</v>
      </c>
    </row>
    <row r="94" spans="1:6" x14ac:dyDescent="0.35">
      <c r="A94" s="2">
        <v>39052</v>
      </c>
      <c r="B94" s="32">
        <v>202.7</v>
      </c>
      <c r="C94" s="26">
        <v>82.6</v>
      </c>
      <c r="D94" s="46" t="str">
        <f>IF(ISBLANK(C94),INDEX(LicenseeSelect!$AP$511:$AZ$511,MATCH(YEAR(EOMONTH(A94,15)),LicenseeSelect!$AP$510:$AZ$510,0))/100,"-")</f>
        <v>-</v>
      </c>
      <c r="E94" s="12">
        <f t="shared" si="2"/>
        <v>82.6</v>
      </c>
      <c r="F94" s="12">
        <f t="shared" si="3"/>
        <v>202.7</v>
      </c>
    </row>
    <row r="95" spans="1:6" x14ac:dyDescent="0.35">
      <c r="A95" s="2">
        <v>39083</v>
      </c>
      <c r="B95" s="32">
        <v>201.6</v>
      </c>
      <c r="C95" s="26">
        <v>82.1</v>
      </c>
      <c r="D95" s="46" t="str">
        <f>IF(ISBLANK(C95),INDEX(LicenseeSelect!$AP$511:$AZ$511,MATCH(YEAR(EOMONTH(A95,15)),LicenseeSelect!$AP$510:$AZ$510,0))/100,"-")</f>
        <v>-</v>
      </c>
      <c r="E95" s="12">
        <f t="shared" si="2"/>
        <v>82.1</v>
      </c>
      <c r="F95" s="12">
        <f t="shared" si="3"/>
        <v>201.6</v>
      </c>
    </row>
    <row r="96" spans="1:6" x14ac:dyDescent="0.35">
      <c r="A96" s="2">
        <v>39114</v>
      </c>
      <c r="B96" s="32">
        <v>203.1</v>
      </c>
      <c r="C96" s="26">
        <v>82.4</v>
      </c>
      <c r="D96" s="46" t="str">
        <f>IF(ISBLANK(C96),INDEX(LicenseeSelect!$AP$511:$AZ$511,MATCH(YEAR(EOMONTH(A96,15)),LicenseeSelect!$AP$510:$AZ$510,0))/100,"-")</f>
        <v>-</v>
      </c>
      <c r="E96" s="12">
        <f t="shared" si="2"/>
        <v>82.4</v>
      </c>
      <c r="F96" s="12">
        <f t="shared" si="3"/>
        <v>203.1</v>
      </c>
    </row>
    <row r="97" spans="1:6" x14ac:dyDescent="0.35">
      <c r="A97" s="2">
        <v>39142</v>
      </c>
      <c r="B97" s="32">
        <v>204.4</v>
      </c>
      <c r="C97" s="26">
        <v>82.8</v>
      </c>
      <c r="D97" s="46" t="str">
        <f>IF(ISBLANK(C97),INDEX(LicenseeSelect!$AP$511:$AZ$511,MATCH(YEAR(EOMONTH(A97,15)),LicenseeSelect!$AP$510:$AZ$510,0))/100,"-")</f>
        <v>-</v>
      </c>
      <c r="E97" s="12">
        <f t="shared" si="2"/>
        <v>82.8</v>
      </c>
      <c r="F97" s="12">
        <f t="shared" si="3"/>
        <v>204.4</v>
      </c>
    </row>
    <row r="98" spans="1:6" x14ac:dyDescent="0.35">
      <c r="A98" s="2">
        <v>39173</v>
      </c>
      <c r="B98" s="32">
        <v>205.4</v>
      </c>
      <c r="C98" s="26">
        <v>83.1</v>
      </c>
      <c r="D98" s="46" t="str">
        <f>IF(ISBLANK(C98),INDEX(LicenseeSelect!$AP$511:$AZ$511,MATCH(YEAR(EOMONTH(A98,15)),LicenseeSelect!$AP$510:$AZ$510,0))/100,"-")</f>
        <v>-</v>
      </c>
      <c r="E98" s="12">
        <f t="shared" si="2"/>
        <v>83.1</v>
      </c>
      <c r="F98" s="12">
        <f t="shared" si="3"/>
        <v>205.4</v>
      </c>
    </row>
    <row r="99" spans="1:6" x14ac:dyDescent="0.35">
      <c r="A99" s="2">
        <v>39203</v>
      </c>
      <c r="B99" s="32">
        <v>206.2</v>
      </c>
      <c r="C99" s="26">
        <v>83.3</v>
      </c>
      <c r="D99" s="46" t="str">
        <f>IF(ISBLANK(C99),INDEX(LicenseeSelect!$AP$511:$AZ$511,MATCH(YEAR(EOMONTH(A99,15)),LicenseeSelect!$AP$510:$AZ$510,0))/100,"-")</f>
        <v>-</v>
      </c>
      <c r="E99" s="12">
        <f t="shared" si="2"/>
        <v>83.3</v>
      </c>
      <c r="F99" s="12">
        <f t="shared" si="3"/>
        <v>206.2</v>
      </c>
    </row>
    <row r="100" spans="1:6" x14ac:dyDescent="0.35">
      <c r="A100" s="2">
        <v>39234</v>
      </c>
      <c r="B100" s="32">
        <v>207.3</v>
      </c>
      <c r="C100" s="26">
        <v>83.5</v>
      </c>
      <c r="D100" s="46" t="str">
        <f>IF(ISBLANK(C100),INDEX(LicenseeSelect!$AP$511:$AZ$511,MATCH(YEAR(EOMONTH(A100,15)),LicenseeSelect!$AP$510:$AZ$510,0))/100,"-")</f>
        <v>-</v>
      </c>
      <c r="E100" s="12">
        <f t="shared" si="2"/>
        <v>83.5</v>
      </c>
      <c r="F100" s="12">
        <f t="shared" si="3"/>
        <v>207.3</v>
      </c>
    </row>
    <row r="101" spans="1:6" x14ac:dyDescent="0.35">
      <c r="A101" s="2">
        <v>39264</v>
      </c>
      <c r="B101" s="32">
        <v>206.1</v>
      </c>
      <c r="C101" s="26">
        <v>83.1</v>
      </c>
      <c r="D101" s="46" t="str">
        <f>IF(ISBLANK(C101),INDEX(LicenseeSelect!$AP$511:$AZ$511,MATCH(YEAR(EOMONTH(A101,15)),LicenseeSelect!$AP$510:$AZ$510,0))/100,"-")</f>
        <v>-</v>
      </c>
      <c r="E101" s="12">
        <f t="shared" si="2"/>
        <v>83.1</v>
      </c>
      <c r="F101" s="12">
        <f t="shared" si="3"/>
        <v>206.1</v>
      </c>
    </row>
    <row r="102" spans="1:6" x14ac:dyDescent="0.35">
      <c r="A102" s="2">
        <v>39295</v>
      </c>
      <c r="B102" s="32">
        <v>207.3</v>
      </c>
      <c r="C102" s="26">
        <v>83.4</v>
      </c>
      <c r="D102" s="46" t="str">
        <f>IF(ISBLANK(C102),INDEX(LicenseeSelect!$AP$511:$AZ$511,MATCH(YEAR(EOMONTH(A102,15)),LicenseeSelect!$AP$510:$AZ$510,0))/100,"-")</f>
        <v>-</v>
      </c>
      <c r="E102" s="12">
        <f t="shared" si="2"/>
        <v>83.4</v>
      </c>
      <c r="F102" s="12">
        <f t="shared" si="3"/>
        <v>207.3</v>
      </c>
    </row>
    <row r="103" spans="1:6" x14ac:dyDescent="0.35">
      <c r="A103" s="2">
        <v>39326</v>
      </c>
      <c r="B103" s="32">
        <v>208</v>
      </c>
      <c r="C103" s="26">
        <v>83.5</v>
      </c>
      <c r="D103" s="46" t="str">
        <f>IF(ISBLANK(C103),INDEX(LicenseeSelect!$AP$511:$AZ$511,MATCH(YEAR(EOMONTH(A103,15)),LicenseeSelect!$AP$510:$AZ$510,0))/100,"-")</f>
        <v>-</v>
      </c>
      <c r="E103" s="12">
        <f t="shared" si="2"/>
        <v>83.5</v>
      </c>
      <c r="F103" s="12">
        <f t="shared" si="3"/>
        <v>208</v>
      </c>
    </row>
    <row r="104" spans="1:6" x14ac:dyDescent="0.35">
      <c r="A104" s="2">
        <v>39356</v>
      </c>
      <c r="B104" s="32">
        <v>208.9</v>
      </c>
      <c r="C104" s="26">
        <v>83.8</v>
      </c>
      <c r="D104" s="46" t="str">
        <f>IF(ISBLANK(C104),INDEX(LicenseeSelect!$AP$511:$AZ$511,MATCH(YEAR(EOMONTH(A104,15)),LicenseeSelect!$AP$510:$AZ$510,0))/100,"-")</f>
        <v>-</v>
      </c>
      <c r="E104" s="12">
        <f t="shared" si="2"/>
        <v>83.8</v>
      </c>
      <c r="F104" s="12">
        <f t="shared" si="3"/>
        <v>208.9</v>
      </c>
    </row>
    <row r="105" spans="1:6" x14ac:dyDescent="0.35">
      <c r="A105" s="2">
        <v>39387</v>
      </c>
      <c r="B105" s="32">
        <v>209.7</v>
      </c>
      <c r="C105" s="26">
        <v>84.1</v>
      </c>
      <c r="D105" s="46" t="str">
        <f>IF(ISBLANK(C105),INDEX(LicenseeSelect!$AP$511:$AZ$511,MATCH(YEAR(EOMONTH(A105,15)),LicenseeSelect!$AP$510:$AZ$510,0))/100,"-")</f>
        <v>-</v>
      </c>
      <c r="E105" s="12">
        <f t="shared" si="2"/>
        <v>84.1</v>
      </c>
      <c r="F105" s="12">
        <f t="shared" si="3"/>
        <v>209.7</v>
      </c>
    </row>
    <row r="106" spans="1:6" x14ac:dyDescent="0.35">
      <c r="A106" s="2">
        <v>39417</v>
      </c>
      <c r="B106" s="32">
        <v>210.9</v>
      </c>
      <c r="C106" s="26">
        <v>84.5</v>
      </c>
      <c r="D106" s="46" t="str">
        <f>IF(ISBLANK(C106),INDEX(LicenseeSelect!$AP$511:$AZ$511,MATCH(YEAR(EOMONTH(A106,15)),LicenseeSelect!$AP$510:$AZ$510,0))/100,"-")</f>
        <v>-</v>
      </c>
      <c r="E106" s="12">
        <f t="shared" si="2"/>
        <v>84.5</v>
      </c>
      <c r="F106" s="12">
        <f t="shared" si="3"/>
        <v>210.9</v>
      </c>
    </row>
    <row r="107" spans="1:6" x14ac:dyDescent="0.35">
      <c r="A107" s="2">
        <v>39448</v>
      </c>
      <c r="B107" s="32">
        <v>209.8</v>
      </c>
      <c r="C107" s="26">
        <v>84.1</v>
      </c>
      <c r="D107" s="46" t="str">
        <f>IF(ISBLANK(C107),INDEX(LicenseeSelect!$AP$511:$AZ$511,MATCH(YEAR(EOMONTH(A107,15)),LicenseeSelect!$AP$510:$AZ$510,0))/100,"-")</f>
        <v>-</v>
      </c>
      <c r="E107" s="12">
        <f t="shared" si="2"/>
        <v>84.1</v>
      </c>
      <c r="F107" s="12">
        <f t="shared" si="3"/>
        <v>209.8</v>
      </c>
    </row>
    <row r="108" spans="1:6" x14ac:dyDescent="0.35">
      <c r="A108" s="2">
        <v>39479</v>
      </c>
      <c r="B108" s="32">
        <v>211.4</v>
      </c>
      <c r="C108" s="26">
        <v>84.6</v>
      </c>
      <c r="D108" s="46" t="str">
        <f>IF(ISBLANK(C108),INDEX(LicenseeSelect!$AP$511:$AZ$511,MATCH(YEAR(EOMONTH(A108,15)),LicenseeSelect!$AP$510:$AZ$510,0))/100,"-")</f>
        <v>-</v>
      </c>
      <c r="E108" s="12">
        <f t="shared" si="2"/>
        <v>84.6</v>
      </c>
      <c r="F108" s="12">
        <f t="shared" si="3"/>
        <v>211.4</v>
      </c>
    </row>
    <row r="109" spans="1:6" x14ac:dyDescent="0.35">
      <c r="A109" s="2">
        <v>39508</v>
      </c>
      <c r="B109" s="32">
        <v>212.1</v>
      </c>
      <c r="C109" s="26">
        <v>84.9</v>
      </c>
      <c r="D109" s="46" t="str">
        <f>IF(ISBLANK(C109),INDEX(LicenseeSelect!$AP$511:$AZ$511,MATCH(YEAR(EOMONTH(A109,15)),LicenseeSelect!$AP$510:$AZ$510,0))/100,"-")</f>
        <v>-</v>
      </c>
      <c r="E109" s="12">
        <f t="shared" si="2"/>
        <v>84.9</v>
      </c>
      <c r="F109" s="12">
        <f t="shared" si="3"/>
        <v>212.1</v>
      </c>
    </row>
    <row r="110" spans="1:6" x14ac:dyDescent="0.35">
      <c r="A110" s="2">
        <v>39539</v>
      </c>
      <c r="B110" s="32">
        <v>214</v>
      </c>
      <c r="C110" s="26">
        <v>85.6</v>
      </c>
      <c r="D110" s="46" t="str">
        <f>IF(ISBLANK(C110),INDEX(LicenseeSelect!$AP$511:$AZ$511,MATCH(YEAR(EOMONTH(A110,15)),LicenseeSelect!$AP$510:$AZ$510,0))/100,"-")</f>
        <v>-</v>
      </c>
      <c r="E110" s="12">
        <f t="shared" si="2"/>
        <v>85.6</v>
      </c>
      <c r="F110" s="12">
        <f t="shared" si="3"/>
        <v>214</v>
      </c>
    </row>
    <row r="111" spans="1:6" x14ac:dyDescent="0.35">
      <c r="A111" s="2">
        <v>39569</v>
      </c>
      <c r="B111" s="32">
        <v>215.1</v>
      </c>
      <c r="C111" s="26">
        <v>86.1</v>
      </c>
      <c r="D111" s="46" t="str">
        <f>IF(ISBLANK(C111),INDEX(LicenseeSelect!$AP$511:$AZ$511,MATCH(YEAR(EOMONTH(A111,15)),LicenseeSelect!$AP$510:$AZ$510,0))/100,"-")</f>
        <v>-</v>
      </c>
      <c r="E111" s="12">
        <f t="shared" si="2"/>
        <v>86.1</v>
      </c>
      <c r="F111" s="12">
        <f t="shared" si="3"/>
        <v>215.1</v>
      </c>
    </row>
    <row r="112" spans="1:6" x14ac:dyDescent="0.35">
      <c r="A112" s="2">
        <v>39600</v>
      </c>
      <c r="B112" s="32">
        <v>216.8</v>
      </c>
      <c r="C112" s="26">
        <v>86.6</v>
      </c>
      <c r="D112" s="46" t="str">
        <f>IF(ISBLANK(C112),INDEX(LicenseeSelect!$AP$511:$AZ$511,MATCH(YEAR(EOMONTH(A112,15)),LicenseeSelect!$AP$510:$AZ$510,0))/100,"-")</f>
        <v>-</v>
      </c>
      <c r="E112" s="12">
        <f t="shared" si="2"/>
        <v>86.6</v>
      </c>
      <c r="F112" s="12">
        <f t="shared" si="3"/>
        <v>216.8</v>
      </c>
    </row>
    <row r="113" spans="1:6" x14ac:dyDescent="0.35">
      <c r="A113" s="2">
        <v>39630</v>
      </c>
      <c r="B113" s="32">
        <v>216.5</v>
      </c>
      <c r="C113" s="26">
        <v>86.6</v>
      </c>
      <c r="D113" s="46" t="str">
        <f>IF(ISBLANK(C113),INDEX(LicenseeSelect!$AP$511:$AZ$511,MATCH(YEAR(EOMONTH(A113,15)),LicenseeSelect!$AP$510:$AZ$510,0))/100,"-")</f>
        <v>-</v>
      </c>
      <c r="E113" s="12">
        <f t="shared" si="2"/>
        <v>86.6</v>
      </c>
      <c r="F113" s="12">
        <f t="shared" si="3"/>
        <v>216.5</v>
      </c>
    </row>
    <row r="114" spans="1:6" x14ac:dyDescent="0.35">
      <c r="A114" s="2">
        <v>39661</v>
      </c>
      <c r="B114" s="32">
        <v>217.2</v>
      </c>
      <c r="C114" s="26">
        <v>87.1</v>
      </c>
      <c r="D114" s="46" t="str">
        <f>IF(ISBLANK(C114),INDEX(LicenseeSelect!$AP$511:$AZ$511,MATCH(YEAR(EOMONTH(A114,15)),LicenseeSelect!$AP$510:$AZ$510,0))/100,"-")</f>
        <v>-</v>
      </c>
      <c r="E114" s="12">
        <f t="shared" si="2"/>
        <v>87.1</v>
      </c>
      <c r="F114" s="12">
        <f t="shared" si="3"/>
        <v>217.2</v>
      </c>
    </row>
    <row r="115" spans="1:6" x14ac:dyDescent="0.35">
      <c r="A115" s="2">
        <v>39692</v>
      </c>
      <c r="B115" s="32">
        <v>218.4</v>
      </c>
      <c r="C115" s="26">
        <v>87.5</v>
      </c>
      <c r="D115" s="46" t="str">
        <f>IF(ISBLANK(C115),INDEX(LicenseeSelect!$AP$511:$AZ$511,MATCH(YEAR(EOMONTH(A115,15)),LicenseeSelect!$AP$510:$AZ$510,0))/100,"-")</f>
        <v>-</v>
      </c>
      <c r="E115" s="12">
        <f t="shared" si="2"/>
        <v>87.5</v>
      </c>
      <c r="F115" s="12">
        <f t="shared" si="3"/>
        <v>218.4</v>
      </c>
    </row>
    <row r="116" spans="1:6" x14ac:dyDescent="0.35">
      <c r="A116" s="2">
        <v>39722</v>
      </c>
      <c r="B116" s="32">
        <v>217.7</v>
      </c>
      <c r="C116" s="26">
        <v>87.3</v>
      </c>
      <c r="D116" s="46" t="str">
        <f>IF(ISBLANK(C116),INDEX(LicenseeSelect!$AP$511:$AZ$511,MATCH(YEAR(EOMONTH(A116,15)),LicenseeSelect!$AP$510:$AZ$510,0))/100,"-")</f>
        <v>-</v>
      </c>
      <c r="E116" s="12">
        <f t="shared" si="2"/>
        <v>87.3</v>
      </c>
      <c r="F116" s="12">
        <f t="shared" si="3"/>
        <v>217.7</v>
      </c>
    </row>
    <row r="117" spans="1:6" x14ac:dyDescent="0.35">
      <c r="A117" s="2">
        <v>39753</v>
      </c>
      <c r="B117" s="32">
        <v>216</v>
      </c>
      <c r="C117" s="26">
        <v>87.3</v>
      </c>
      <c r="D117" s="46" t="str">
        <f>IF(ISBLANK(C117),INDEX(LicenseeSelect!$AP$511:$AZ$511,MATCH(YEAR(EOMONTH(A117,15)),LicenseeSelect!$AP$510:$AZ$510,0))/100,"-")</f>
        <v>-</v>
      </c>
      <c r="E117" s="12">
        <f t="shared" si="2"/>
        <v>87.3</v>
      </c>
      <c r="F117" s="12">
        <f t="shared" si="3"/>
        <v>216</v>
      </c>
    </row>
    <row r="118" spans="1:6" x14ac:dyDescent="0.35">
      <c r="A118" s="2">
        <v>39783</v>
      </c>
      <c r="B118" s="32">
        <v>212.9</v>
      </c>
      <c r="C118" s="26">
        <v>87.1</v>
      </c>
      <c r="D118" s="46" t="str">
        <f>IF(ISBLANK(C118),INDEX(LicenseeSelect!$AP$511:$AZ$511,MATCH(YEAR(EOMONTH(A118,15)),LicenseeSelect!$AP$510:$AZ$510,0))/100,"-")</f>
        <v>-</v>
      </c>
      <c r="E118" s="12">
        <f t="shared" si="2"/>
        <v>87.1</v>
      </c>
      <c r="F118" s="12">
        <f t="shared" si="3"/>
        <v>212.9</v>
      </c>
    </row>
    <row r="119" spans="1:6" x14ac:dyDescent="0.35">
      <c r="A119" s="2">
        <v>39814</v>
      </c>
      <c r="B119" s="32">
        <v>210.1</v>
      </c>
      <c r="C119" s="26">
        <v>86.6</v>
      </c>
      <c r="D119" s="46" t="str">
        <f>IF(ISBLANK(C119),INDEX(LicenseeSelect!$AP$511:$AZ$511,MATCH(YEAR(EOMONTH(A119,15)),LicenseeSelect!$AP$510:$AZ$510,0))/100,"-")</f>
        <v>-</v>
      </c>
      <c r="E119" s="12">
        <f t="shared" si="2"/>
        <v>86.6</v>
      </c>
      <c r="F119" s="12">
        <f t="shared" si="3"/>
        <v>210.1</v>
      </c>
    </row>
    <row r="120" spans="1:6" x14ac:dyDescent="0.35">
      <c r="A120" s="2">
        <v>39845</v>
      </c>
      <c r="B120" s="32">
        <v>211.4</v>
      </c>
      <c r="C120" s="26">
        <v>87.2</v>
      </c>
      <c r="D120" s="46" t="str">
        <f>IF(ISBLANK(C120),INDEX(LicenseeSelect!$AP$511:$AZ$511,MATCH(YEAR(EOMONTH(A120,15)),LicenseeSelect!$AP$510:$AZ$510,0))/100,"-")</f>
        <v>-</v>
      </c>
      <c r="E120" s="12">
        <f t="shared" si="2"/>
        <v>87.2</v>
      </c>
      <c r="F120" s="12">
        <f t="shared" si="3"/>
        <v>211.4</v>
      </c>
    </row>
    <row r="121" spans="1:6" x14ac:dyDescent="0.35">
      <c r="A121" s="2">
        <v>39873</v>
      </c>
      <c r="B121" s="32">
        <v>211.3</v>
      </c>
      <c r="C121" s="26">
        <v>87.3</v>
      </c>
      <c r="D121" s="46" t="str">
        <f>IF(ISBLANK(C121),INDEX(LicenseeSelect!$AP$511:$AZ$511,MATCH(YEAR(EOMONTH(A121,15)),LicenseeSelect!$AP$510:$AZ$510,0))/100,"-")</f>
        <v>-</v>
      </c>
      <c r="E121" s="12">
        <f t="shared" si="2"/>
        <v>87.3</v>
      </c>
      <c r="F121" s="12">
        <f t="shared" si="3"/>
        <v>211.3</v>
      </c>
    </row>
    <row r="122" spans="1:6" x14ac:dyDescent="0.35">
      <c r="A122" s="2">
        <v>39904</v>
      </c>
      <c r="B122" s="32">
        <v>211.5</v>
      </c>
      <c r="C122" s="26">
        <v>87.5</v>
      </c>
      <c r="D122" s="46" t="str">
        <f>IF(ISBLANK(C122),INDEX(LicenseeSelect!$AP$511:$AZ$511,MATCH(YEAR(EOMONTH(A122,15)),LicenseeSelect!$AP$510:$AZ$510,0))/100,"-")</f>
        <v>-</v>
      </c>
      <c r="E122" s="12">
        <f t="shared" si="2"/>
        <v>87.5</v>
      </c>
      <c r="F122" s="12">
        <f t="shared" si="3"/>
        <v>211.5</v>
      </c>
    </row>
    <row r="123" spans="1:6" x14ac:dyDescent="0.35">
      <c r="A123" s="2">
        <v>39934</v>
      </c>
      <c r="B123" s="32">
        <v>212.8</v>
      </c>
      <c r="C123" s="26">
        <v>87.9</v>
      </c>
      <c r="D123" s="46" t="str">
        <f>IF(ISBLANK(C123),INDEX(LicenseeSelect!$AP$511:$AZ$511,MATCH(YEAR(EOMONTH(A123,15)),LicenseeSelect!$AP$510:$AZ$510,0))/100,"-")</f>
        <v>-</v>
      </c>
      <c r="E123" s="12">
        <f t="shared" si="2"/>
        <v>87.9</v>
      </c>
      <c r="F123" s="12">
        <f t="shared" si="3"/>
        <v>212.8</v>
      </c>
    </row>
    <row r="124" spans="1:6" x14ac:dyDescent="0.35">
      <c r="A124" s="2">
        <v>39965</v>
      </c>
      <c r="B124" s="32">
        <v>213.4</v>
      </c>
      <c r="C124" s="26">
        <v>88.1</v>
      </c>
      <c r="D124" s="46" t="str">
        <f>IF(ISBLANK(C124),INDEX(LicenseeSelect!$AP$511:$AZ$511,MATCH(YEAR(EOMONTH(A124,15)),LicenseeSelect!$AP$510:$AZ$510,0))/100,"-")</f>
        <v>-</v>
      </c>
      <c r="E124" s="12">
        <f t="shared" si="2"/>
        <v>88.1</v>
      </c>
      <c r="F124" s="12">
        <f t="shared" si="3"/>
        <v>213.4</v>
      </c>
    </row>
    <row r="125" spans="1:6" x14ac:dyDescent="0.35">
      <c r="A125" s="2">
        <v>39995</v>
      </c>
      <c r="B125" s="32">
        <v>213.4</v>
      </c>
      <c r="C125" s="26">
        <v>88</v>
      </c>
      <c r="D125" s="46" t="str">
        <f>IF(ISBLANK(C125),INDEX(LicenseeSelect!$AP$511:$AZ$511,MATCH(YEAR(EOMONTH(A125,15)),LicenseeSelect!$AP$510:$AZ$510,0))/100,"-")</f>
        <v>-</v>
      </c>
      <c r="E125" s="12">
        <f t="shared" si="2"/>
        <v>88</v>
      </c>
      <c r="F125" s="12">
        <f t="shared" si="3"/>
        <v>213.4</v>
      </c>
    </row>
    <row r="126" spans="1:6" x14ac:dyDescent="0.35">
      <c r="A126" s="2">
        <v>40026</v>
      </c>
      <c r="B126" s="32">
        <v>214.4</v>
      </c>
      <c r="C126" s="26">
        <v>88.3</v>
      </c>
      <c r="D126" s="46" t="str">
        <f>IF(ISBLANK(C126),INDEX(LicenseeSelect!$AP$511:$AZ$511,MATCH(YEAR(EOMONTH(A126,15)),LicenseeSelect!$AP$510:$AZ$510,0))/100,"-")</f>
        <v>-</v>
      </c>
      <c r="E126" s="12">
        <f t="shared" si="2"/>
        <v>88.3</v>
      </c>
      <c r="F126" s="12">
        <f t="shared" si="3"/>
        <v>214.4</v>
      </c>
    </row>
    <row r="127" spans="1:6" x14ac:dyDescent="0.35">
      <c r="A127" s="2">
        <v>40057</v>
      </c>
      <c r="B127" s="32">
        <v>215.3</v>
      </c>
      <c r="C127" s="26">
        <v>88.3</v>
      </c>
      <c r="D127" s="46" t="str">
        <f>IF(ISBLANK(C127),INDEX(LicenseeSelect!$AP$511:$AZ$511,MATCH(YEAR(EOMONTH(A127,15)),LicenseeSelect!$AP$510:$AZ$510,0))/100,"-")</f>
        <v>-</v>
      </c>
      <c r="E127" s="12">
        <f t="shared" si="2"/>
        <v>88.3</v>
      </c>
      <c r="F127" s="12">
        <f t="shared" si="3"/>
        <v>215.3</v>
      </c>
    </row>
    <row r="128" spans="1:6" x14ac:dyDescent="0.35">
      <c r="A128" s="2">
        <v>40087</v>
      </c>
      <c r="B128" s="32">
        <v>216</v>
      </c>
      <c r="C128" s="26">
        <v>88.4</v>
      </c>
      <c r="D128" s="46" t="str">
        <f>IF(ISBLANK(C128),INDEX(LicenseeSelect!$AP$511:$AZ$511,MATCH(YEAR(EOMONTH(A128,15)),LicenseeSelect!$AP$510:$AZ$510,0))/100,"-")</f>
        <v>-</v>
      </c>
      <c r="E128" s="12">
        <f t="shared" si="2"/>
        <v>88.4</v>
      </c>
      <c r="F128" s="12">
        <f t="shared" si="3"/>
        <v>216</v>
      </c>
    </row>
    <row r="129" spans="1:6" x14ac:dyDescent="0.35">
      <c r="A129" s="2">
        <v>40118</v>
      </c>
      <c r="B129" s="32">
        <v>216.6</v>
      </c>
      <c r="C129" s="26">
        <v>88.6</v>
      </c>
      <c r="D129" s="46" t="str">
        <f>IF(ISBLANK(C129),INDEX(LicenseeSelect!$AP$511:$AZ$511,MATCH(YEAR(EOMONTH(A129,15)),LicenseeSelect!$AP$510:$AZ$510,0))/100,"-")</f>
        <v>-</v>
      </c>
      <c r="E129" s="12">
        <f t="shared" si="2"/>
        <v>88.6</v>
      </c>
      <c r="F129" s="12">
        <f t="shared" si="3"/>
        <v>216.6</v>
      </c>
    </row>
    <row r="130" spans="1:6" x14ac:dyDescent="0.35">
      <c r="A130" s="2">
        <v>40148</v>
      </c>
      <c r="B130" s="32">
        <v>218</v>
      </c>
      <c r="C130" s="26">
        <v>88.9</v>
      </c>
      <c r="D130" s="46" t="str">
        <f>IF(ISBLANK(C130),INDEX(LicenseeSelect!$AP$511:$AZ$511,MATCH(YEAR(EOMONTH(A130,15)),LicenseeSelect!$AP$510:$AZ$510,0))/100,"-")</f>
        <v>-</v>
      </c>
      <c r="E130" s="12">
        <f t="shared" si="2"/>
        <v>88.9</v>
      </c>
      <c r="F130" s="12">
        <f t="shared" si="3"/>
        <v>218</v>
      </c>
    </row>
    <row r="131" spans="1:6" x14ac:dyDescent="0.35">
      <c r="A131" s="2">
        <v>40179</v>
      </c>
      <c r="B131" s="32">
        <v>217.9</v>
      </c>
      <c r="C131" s="26">
        <v>88.8</v>
      </c>
      <c r="D131" s="46" t="str">
        <f>IF(ISBLANK(C131),INDEX(LicenseeSelect!$AP$511:$AZ$511,MATCH(YEAR(EOMONTH(A131,15)),LicenseeSelect!$AP$510:$AZ$510,0))/100,"-")</f>
        <v>-</v>
      </c>
      <c r="E131" s="12">
        <f t="shared" ref="E131:E194" si="4">IF(ISBLANK(C131),E130*((1+D131)^(1/12)),C131)</f>
        <v>88.8</v>
      </c>
      <c r="F131" s="12">
        <f t="shared" ref="F131:F194" si="5">IF(ISBLANK(B131),F130*(E131/E130),B131)</f>
        <v>217.9</v>
      </c>
    </row>
    <row r="132" spans="1:6" x14ac:dyDescent="0.35">
      <c r="A132" s="2">
        <v>40210</v>
      </c>
      <c r="B132" s="32">
        <v>219.2</v>
      </c>
      <c r="C132" s="26">
        <v>89</v>
      </c>
      <c r="D132" s="46" t="str">
        <f>IF(ISBLANK(C132),INDEX(LicenseeSelect!$AP$511:$AZ$511,MATCH(YEAR(EOMONTH(A132,15)),LicenseeSelect!$AP$510:$AZ$510,0))/100,"-")</f>
        <v>-</v>
      </c>
      <c r="E132" s="12">
        <f t="shared" si="4"/>
        <v>89</v>
      </c>
      <c r="F132" s="12">
        <f t="shared" si="5"/>
        <v>219.2</v>
      </c>
    </row>
    <row r="133" spans="1:6" x14ac:dyDescent="0.35">
      <c r="A133" s="2">
        <v>40238</v>
      </c>
      <c r="B133" s="32">
        <v>220.7</v>
      </c>
      <c r="C133" s="26">
        <v>89.4</v>
      </c>
      <c r="D133" s="46" t="str">
        <f>IF(ISBLANK(C133),INDEX(LicenseeSelect!$AP$511:$AZ$511,MATCH(YEAR(EOMONTH(A133,15)),LicenseeSelect!$AP$510:$AZ$510,0))/100,"-")</f>
        <v>-</v>
      </c>
      <c r="E133" s="12">
        <f t="shared" si="4"/>
        <v>89.4</v>
      </c>
      <c r="F133" s="12">
        <f t="shared" si="5"/>
        <v>220.7</v>
      </c>
    </row>
    <row r="134" spans="1:6" x14ac:dyDescent="0.35">
      <c r="A134" s="2">
        <v>40269</v>
      </c>
      <c r="B134" s="32">
        <v>222.8</v>
      </c>
      <c r="C134" s="26">
        <v>89.9</v>
      </c>
      <c r="D134" s="46" t="str">
        <f>IF(ISBLANK(C134),INDEX(LicenseeSelect!$AP$511:$AZ$511,MATCH(YEAR(EOMONTH(A134,15)),LicenseeSelect!$AP$510:$AZ$510,0))/100,"-")</f>
        <v>-</v>
      </c>
      <c r="E134" s="12">
        <f t="shared" si="4"/>
        <v>89.9</v>
      </c>
      <c r="F134" s="12">
        <f t="shared" si="5"/>
        <v>222.8</v>
      </c>
    </row>
    <row r="135" spans="1:6" x14ac:dyDescent="0.35">
      <c r="A135" s="2">
        <v>40299</v>
      </c>
      <c r="B135" s="32">
        <v>223.6</v>
      </c>
      <c r="C135" s="26">
        <v>90.1</v>
      </c>
      <c r="D135" s="46" t="str">
        <f>IF(ISBLANK(C135),INDEX(LicenseeSelect!$AP$511:$AZ$511,MATCH(YEAR(EOMONTH(A135,15)),LicenseeSelect!$AP$510:$AZ$510,0))/100,"-")</f>
        <v>-</v>
      </c>
      <c r="E135" s="12">
        <f t="shared" si="4"/>
        <v>90.1</v>
      </c>
      <c r="F135" s="12">
        <f t="shared" si="5"/>
        <v>223.6</v>
      </c>
    </row>
    <row r="136" spans="1:6" x14ac:dyDescent="0.35">
      <c r="A136" s="2">
        <v>40330</v>
      </c>
      <c r="B136" s="32">
        <v>224.1</v>
      </c>
      <c r="C136" s="26">
        <v>90.2</v>
      </c>
      <c r="D136" s="46" t="str">
        <f>IF(ISBLANK(C136),INDEX(LicenseeSelect!$AP$511:$AZ$511,MATCH(YEAR(EOMONTH(A136,15)),LicenseeSelect!$AP$510:$AZ$510,0))/100,"-")</f>
        <v>-</v>
      </c>
      <c r="E136" s="12">
        <f t="shared" si="4"/>
        <v>90.2</v>
      </c>
      <c r="F136" s="12">
        <f t="shared" si="5"/>
        <v>224.1</v>
      </c>
    </row>
    <row r="137" spans="1:6" x14ac:dyDescent="0.35">
      <c r="A137" s="2">
        <v>40360</v>
      </c>
      <c r="B137" s="32">
        <v>223.6</v>
      </c>
      <c r="C137" s="26">
        <v>90</v>
      </c>
      <c r="D137" s="46" t="str">
        <f>IF(ISBLANK(C137),INDEX(LicenseeSelect!$AP$511:$AZ$511,MATCH(YEAR(EOMONTH(A137,15)),LicenseeSelect!$AP$510:$AZ$510,0))/100,"-")</f>
        <v>-</v>
      </c>
      <c r="E137" s="12">
        <f t="shared" si="4"/>
        <v>90</v>
      </c>
      <c r="F137" s="12">
        <f t="shared" si="5"/>
        <v>223.6</v>
      </c>
    </row>
    <row r="138" spans="1:6" x14ac:dyDescent="0.35">
      <c r="A138" s="2">
        <v>40391</v>
      </c>
      <c r="B138" s="32">
        <v>224.5</v>
      </c>
      <c r="C138" s="26">
        <v>90.4</v>
      </c>
      <c r="D138" s="46" t="str">
        <f>IF(ISBLANK(C138),INDEX(LicenseeSelect!$AP$511:$AZ$511,MATCH(YEAR(EOMONTH(A138,15)),LicenseeSelect!$AP$510:$AZ$510,0))/100,"-")</f>
        <v>-</v>
      </c>
      <c r="E138" s="12">
        <f t="shared" si="4"/>
        <v>90.4</v>
      </c>
      <c r="F138" s="12">
        <f t="shared" si="5"/>
        <v>224.5</v>
      </c>
    </row>
    <row r="139" spans="1:6" x14ac:dyDescent="0.35">
      <c r="A139" s="2">
        <v>40422</v>
      </c>
      <c r="B139" s="32">
        <v>225.3</v>
      </c>
      <c r="C139" s="26">
        <v>90.4</v>
      </c>
      <c r="D139" s="46" t="str">
        <f>IF(ISBLANK(C139),INDEX(LicenseeSelect!$AP$511:$AZ$511,MATCH(YEAR(EOMONTH(A139,15)),LicenseeSelect!$AP$510:$AZ$510,0))/100,"-")</f>
        <v>-</v>
      </c>
      <c r="E139" s="12">
        <f t="shared" si="4"/>
        <v>90.4</v>
      </c>
      <c r="F139" s="12">
        <f t="shared" si="5"/>
        <v>225.3</v>
      </c>
    </row>
    <row r="140" spans="1:6" x14ac:dyDescent="0.35">
      <c r="A140" s="2">
        <v>40452</v>
      </c>
      <c r="B140" s="32">
        <v>225.8</v>
      </c>
      <c r="C140" s="26">
        <v>90.6</v>
      </c>
      <c r="D140" s="46" t="str">
        <f>IF(ISBLANK(C140),INDEX(LicenseeSelect!$AP$511:$AZ$511,MATCH(YEAR(EOMONTH(A140,15)),LicenseeSelect!$AP$510:$AZ$510,0))/100,"-")</f>
        <v>-</v>
      </c>
      <c r="E140" s="12">
        <f t="shared" si="4"/>
        <v>90.6</v>
      </c>
      <c r="F140" s="12">
        <f t="shared" si="5"/>
        <v>225.8</v>
      </c>
    </row>
    <row r="141" spans="1:6" x14ac:dyDescent="0.35">
      <c r="A141" s="2">
        <v>40483</v>
      </c>
      <c r="B141" s="32">
        <v>226.8</v>
      </c>
      <c r="C141" s="26">
        <v>90.9</v>
      </c>
      <c r="D141" s="46" t="str">
        <f>IF(ISBLANK(C141),INDEX(LicenseeSelect!$AP$511:$AZ$511,MATCH(YEAR(EOMONTH(A141,15)),LicenseeSelect!$AP$510:$AZ$510,0))/100,"-")</f>
        <v>-</v>
      </c>
      <c r="E141" s="12">
        <f t="shared" si="4"/>
        <v>90.9</v>
      </c>
      <c r="F141" s="12">
        <f t="shared" si="5"/>
        <v>226.8</v>
      </c>
    </row>
    <row r="142" spans="1:6" x14ac:dyDescent="0.35">
      <c r="A142" s="2">
        <v>40513</v>
      </c>
      <c r="B142" s="32">
        <v>228.4</v>
      </c>
      <c r="C142" s="26">
        <v>91.7</v>
      </c>
      <c r="D142" s="46" t="str">
        <f>IF(ISBLANK(C142),INDEX(LicenseeSelect!$AP$511:$AZ$511,MATCH(YEAR(EOMONTH(A142,15)),LicenseeSelect!$AP$510:$AZ$510,0))/100,"-")</f>
        <v>-</v>
      </c>
      <c r="E142" s="12">
        <f t="shared" si="4"/>
        <v>91.7</v>
      </c>
      <c r="F142" s="12">
        <f t="shared" si="5"/>
        <v>228.4</v>
      </c>
    </row>
    <row r="143" spans="1:6" x14ac:dyDescent="0.35">
      <c r="A143" s="2">
        <v>40544</v>
      </c>
      <c r="B143" s="32">
        <v>229</v>
      </c>
      <c r="C143" s="26">
        <v>91.8</v>
      </c>
      <c r="D143" s="46" t="str">
        <f>IF(ISBLANK(C143),INDEX(LicenseeSelect!$AP$511:$AZ$511,MATCH(YEAR(EOMONTH(A143,15)),LicenseeSelect!$AP$510:$AZ$510,0))/100,"-")</f>
        <v>-</v>
      </c>
      <c r="E143" s="12">
        <f t="shared" si="4"/>
        <v>91.8</v>
      </c>
      <c r="F143" s="12">
        <f t="shared" si="5"/>
        <v>229</v>
      </c>
    </row>
    <row r="144" spans="1:6" x14ac:dyDescent="0.35">
      <c r="A144" s="2">
        <v>40575</v>
      </c>
      <c r="B144" s="32">
        <v>231.3</v>
      </c>
      <c r="C144" s="26">
        <v>92.3</v>
      </c>
      <c r="D144" s="46" t="str">
        <f>IF(ISBLANK(C144),INDEX(LicenseeSelect!$AP$511:$AZ$511,MATCH(YEAR(EOMONTH(A144,15)),LicenseeSelect!$AP$510:$AZ$510,0))/100,"-")</f>
        <v>-</v>
      </c>
      <c r="E144" s="12">
        <f t="shared" si="4"/>
        <v>92.3</v>
      </c>
      <c r="F144" s="12">
        <f t="shared" si="5"/>
        <v>231.3</v>
      </c>
    </row>
    <row r="145" spans="1:6" x14ac:dyDescent="0.35">
      <c r="A145" s="2">
        <v>40603</v>
      </c>
      <c r="B145" s="32">
        <v>232.5</v>
      </c>
      <c r="C145" s="26">
        <v>92.6</v>
      </c>
      <c r="D145" s="46" t="str">
        <f>IF(ISBLANK(C145),INDEX(LicenseeSelect!$AP$511:$AZ$511,MATCH(YEAR(EOMONTH(A145,15)),LicenseeSelect!$AP$510:$AZ$510,0))/100,"-")</f>
        <v>-</v>
      </c>
      <c r="E145" s="12">
        <f t="shared" si="4"/>
        <v>92.6</v>
      </c>
      <c r="F145" s="12">
        <f t="shared" si="5"/>
        <v>232.5</v>
      </c>
    </row>
    <row r="146" spans="1:6" x14ac:dyDescent="0.35">
      <c r="A146" s="2">
        <v>40634</v>
      </c>
      <c r="B146" s="32">
        <v>234.4</v>
      </c>
      <c r="C146" s="26">
        <v>93.3</v>
      </c>
      <c r="D146" s="46" t="str">
        <f>IF(ISBLANK(C146),INDEX(LicenseeSelect!$AP$511:$AZ$511,MATCH(YEAR(EOMONTH(A146,15)),LicenseeSelect!$AP$510:$AZ$510,0))/100,"-")</f>
        <v>-</v>
      </c>
      <c r="E146" s="12">
        <f t="shared" si="4"/>
        <v>93.3</v>
      </c>
      <c r="F146" s="12">
        <f t="shared" si="5"/>
        <v>234.4</v>
      </c>
    </row>
    <row r="147" spans="1:6" x14ac:dyDescent="0.35">
      <c r="A147" s="2">
        <v>40664</v>
      </c>
      <c r="B147" s="32">
        <v>235.2</v>
      </c>
      <c r="C147" s="26">
        <v>93.5</v>
      </c>
      <c r="D147" s="46" t="str">
        <f>IF(ISBLANK(C147),INDEX(LicenseeSelect!$AP$511:$AZ$511,MATCH(YEAR(EOMONTH(A147,15)),LicenseeSelect!$AP$510:$AZ$510,0))/100,"-")</f>
        <v>-</v>
      </c>
      <c r="E147" s="12">
        <f t="shared" si="4"/>
        <v>93.5</v>
      </c>
      <c r="F147" s="12">
        <f t="shared" si="5"/>
        <v>235.2</v>
      </c>
    </row>
    <row r="148" spans="1:6" x14ac:dyDescent="0.35">
      <c r="A148" s="2">
        <v>40695</v>
      </c>
      <c r="B148" s="32">
        <v>235.2</v>
      </c>
      <c r="C148" s="26">
        <v>93.5</v>
      </c>
      <c r="D148" s="46" t="str">
        <f>IF(ISBLANK(C148),INDEX(LicenseeSelect!$AP$511:$AZ$511,MATCH(YEAR(EOMONTH(A148,15)),LicenseeSelect!$AP$510:$AZ$510,0))/100,"-")</f>
        <v>-</v>
      </c>
      <c r="E148" s="12">
        <f t="shared" si="4"/>
        <v>93.5</v>
      </c>
      <c r="F148" s="12">
        <f t="shared" si="5"/>
        <v>235.2</v>
      </c>
    </row>
    <row r="149" spans="1:6" x14ac:dyDescent="0.35">
      <c r="A149" s="2">
        <v>40725</v>
      </c>
      <c r="B149" s="32">
        <v>234.7</v>
      </c>
      <c r="C149" s="26">
        <v>93.5</v>
      </c>
      <c r="D149" s="46" t="str">
        <f>IF(ISBLANK(C149),INDEX(LicenseeSelect!$AP$511:$AZ$511,MATCH(YEAR(EOMONTH(A149,15)),LicenseeSelect!$AP$510:$AZ$510,0))/100,"-")</f>
        <v>-</v>
      </c>
      <c r="E149" s="12">
        <f t="shared" si="4"/>
        <v>93.5</v>
      </c>
      <c r="F149" s="12">
        <f t="shared" si="5"/>
        <v>234.7</v>
      </c>
    </row>
    <row r="150" spans="1:6" x14ac:dyDescent="0.35">
      <c r="A150" s="2">
        <v>40756</v>
      </c>
      <c r="B150" s="32">
        <v>236.1</v>
      </c>
      <c r="C150" s="26">
        <v>93.9</v>
      </c>
      <c r="D150" s="46" t="str">
        <f>IF(ISBLANK(C150),INDEX(LicenseeSelect!$AP$511:$AZ$511,MATCH(YEAR(EOMONTH(A150,15)),LicenseeSelect!$AP$510:$AZ$510,0))/100,"-")</f>
        <v>-</v>
      </c>
      <c r="E150" s="12">
        <f t="shared" si="4"/>
        <v>93.9</v>
      </c>
      <c r="F150" s="12">
        <f t="shared" si="5"/>
        <v>236.1</v>
      </c>
    </row>
    <row r="151" spans="1:6" x14ac:dyDescent="0.35">
      <c r="A151" s="2">
        <v>40787</v>
      </c>
      <c r="B151" s="32">
        <v>237.9</v>
      </c>
      <c r="C151" s="26">
        <v>94.5</v>
      </c>
      <c r="D151" s="46" t="str">
        <f>IF(ISBLANK(C151),INDEX(LicenseeSelect!$AP$511:$AZ$511,MATCH(YEAR(EOMONTH(A151,15)),LicenseeSelect!$AP$510:$AZ$510,0))/100,"-")</f>
        <v>-</v>
      </c>
      <c r="E151" s="12">
        <f t="shared" si="4"/>
        <v>94.5</v>
      </c>
      <c r="F151" s="12">
        <f t="shared" si="5"/>
        <v>237.9</v>
      </c>
    </row>
    <row r="152" spans="1:6" x14ac:dyDescent="0.35">
      <c r="A152" s="2">
        <v>40817</v>
      </c>
      <c r="B152" s="32">
        <v>238</v>
      </c>
      <c r="C152" s="26">
        <v>94.5</v>
      </c>
      <c r="D152" s="46" t="str">
        <f>IF(ISBLANK(C152),INDEX(LicenseeSelect!$AP$511:$AZ$511,MATCH(YEAR(EOMONTH(A152,15)),LicenseeSelect!$AP$510:$AZ$510,0))/100,"-")</f>
        <v>-</v>
      </c>
      <c r="E152" s="12">
        <f t="shared" si="4"/>
        <v>94.5</v>
      </c>
      <c r="F152" s="12">
        <f t="shared" si="5"/>
        <v>238</v>
      </c>
    </row>
    <row r="153" spans="1:6" x14ac:dyDescent="0.35">
      <c r="A153" s="2">
        <v>40848</v>
      </c>
      <c r="B153" s="32">
        <v>238.5</v>
      </c>
      <c r="C153" s="26">
        <v>94.7</v>
      </c>
      <c r="D153" s="46" t="str">
        <f>IF(ISBLANK(C153),INDEX(LicenseeSelect!$AP$511:$AZ$511,MATCH(YEAR(EOMONTH(A153,15)),LicenseeSelect!$AP$510:$AZ$510,0))/100,"-")</f>
        <v>-</v>
      </c>
      <c r="E153" s="12">
        <f t="shared" si="4"/>
        <v>94.7</v>
      </c>
      <c r="F153" s="12">
        <f t="shared" si="5"/>
        <v>238.5</v>
      </c>
    </row>
    <row r="154" spans="1:6" x14ac:dyDescent="0.35">
      <c r="A154" s="2">
        <v>40878</v>
      </c>
      <c r="B154" s="32">
        <v>239.4</v>
      </c>
      <c r="C154" s="26">
        <v>95</v>
      </c>
      <c r="D154" s="46" t="str">
        <f>IF(ISBLANK(C154),INDEX(LicenseeSelect!$AP$511:$AZ$511,MATCH(YEAR(EOMONTH(A154,15)),LicenseeSelect!$AP$510:$AZ$510,0))/100,"-")</f>
        <v>-</v>
      </c>
      <c r="E154" s="12">
        <f t="shared" si="4"/>
        <v>95</v>
      </c>
      <c r="F154" s="12">
        <f t="shared" si="5"/>
        <v>239.4</v>
      </c>
    </row>
    <row r="155" spans="1:6" x14ac:dyDescent="0.35">
      <c r="A155" s="2">
        <v>40909</v>
      </c>
      <c r="B155" s="32">
        <v>238</v>
      </c>
      <c r="C155" s="26">
        <v>94.7</v>
      </c>
      <c r="D155" s="46" t="str">
        <f>IF(ISBLANK(C155),INDEX(LicenseeSelect!$AP$511:$AZ$511,MATCH(YEAR(EOMONTH(A155,15)),LicenseeSelect!$AP$510:$AZ$510,0))/100,"-")</f>
        <v>-</v>
      </c>
      <c r="E155" s="12">
        <f t="shared" si="4"/>
        <v>94.7</v>
      </c>
      <c r="F155" s="12">
        <f t="shared" si="5"/>
        <v>238</v>
      </c>
    </row>
    <row r="156" spans="1:6" x14ac:dyDescent="0.35">
      <c r="A156" s="2">
        <v>40940</v>
      </c>
      <c r="B156" s="32">
        <v>239.9</v>
      </c>
      <c r="C156" s="26">
        <v>95.2</v>
      </c>
      <c r="D156" s="46" t="str">
        <f>IF(ISBLANK(C156),INDEX(LicenseeSelect!$AP$511:$AZ$511,MATCH(YEAR(EOMONTH(A156,15)),LicenseeSelect!$AP$510:$AZ$510,0))/100,"-")</f>
        <v>-</v>
      </c>
      <c r="E156" s="12">
        <f t="shared" si="4"/>
        <v>95.2</v>
      </c>
      <c r="F156" s="12">
        <f t="shared" si="5"/>
        <v>239.9</v>
      </c>
    </row>
    <row r="157" spans="1:6" x14ac:dyDescent="0.35">
      <c r="A157" s="2">
        <v>40969</v>
      </c>
      <c r="B157" s="32">
        <v>240.8</v>
      </c>
      <c r="C157" s="26">
        <v>95.4</v>
      </c>
      <c r="D157" s="46" t="str">
        <f>IF(ISBLANK(C157),INDEX(LicenseeSelect!$AP$511:$AZ$511,MATCH(YEAR(EOMONTH(A157,15)),LicenseeSelect!$AP$510:$AZ$510,0))/100,"-")</f>
        <v>-</v>
      </c>
      <c r="E157" s="12">
        <f t="shared" si="4"/>
        <v>95.4</v>
      </c>
      <c r="F157" s="12">
        <f t="shared" si="5"/>
        <v>240.8</v>
      </c>
    </row>
    <row r="158" spans="1:6" x14ac:dyDescent="0.35">
      <c r="A158" s="2">
        <v>41000</v>
      </c>
      <c r="B158" s="32">
        <v>242.5</v>
      </c>
      <c r="C158" s="26">
        <v>95.9</v>
      </c>
      <c r="D158" s="46" t="str">
        <f>IF(ISBLANK(C158),INDEX(LicenseeSelect!$AP$511:$AZ$511,MATCH(YEAR(EOMONTH(A158,15)),LicenseeSelect!$AP$510:$AZ$510,0))/100,"-")</f>
        <v>-</v>
      </c>
      <c r="E158" s="12">
        <f t="shared" si="4"/>
        <v>95.9</v>
      </c>
      <c r="F158" s="12">
        <f t="shared" si="5"/>
        <v>242.5</v>
      </c>
    </row>
    <row r="159" spans="1:6" x14ac:dyDescent="0.35">
      <c r="A159" s="2">
        <v>41030</v>
      </c>
      <c r="B159" s="32">
        <v>242.4</v>
      </c>
      <c r="C159" s="26">
        <v>95.9</v>
      </c>
      <c r="D159" s="46" t="str">
        <f>IF(ISBLANK(C159),INDEX(LicenseeSelect!$AP$511:$AZ$511,MATCH(YEAR(EOMONTH(A159,15)),LicenseeSelect!$AP$510:$AZ$510,0))/100,"-")</f>
        <v>-</v>
      </c>
      <c r="E159" s="12">
        <f t="shared" si="4"/>
        <v>95.9</v>
      </c>
      <c r="F159" s="12">
        <f t="shared" si="5"/>
        <v>242.4</v>
      </c>
    </row>
    <row r="160" spans="1:6" x14ac:dyDescent="0.35">
      <c r="A160" s="2">
        <v>41061</v>
      </c>
      <c r="B160" s="32">
        <v>241.8</v>
      </c>
      <c r="C160" s="26">
        <v>95.6</v>
      </c>
      <c r="D160" s="46" t="str">
        <f>IF(ISBLANK(C160),INDEX(LicenseeSelect!$AP$511:$AZ$511,MATCH(YEAR(EOMONTH(A160,15)),LicenseeSelect!$AP$510:$AZ$510,0))/100,"-")</f>
        <v>-</v>
      </c>
      <c r="E160" s="12">
        <f t="shared" si="4"/>
        <v>95.6</v>
      </c>
      <c r="F160" s="12">
        <f t="shared" si="5"/>
        <v>241.8</v>
      </c>
    </row>
    <row r="161" spans="1:6" x14ac:dyDescent="0.35">
      <c r="A161" s="2">
        <v>41091</v>
      </c>
      <c r="B161" s="32">
        <v>242.1</v>
      </c>
      <c r="C161" s="26">
        <v>95.7</v>
      </c>
      <c r="D161" s="46" t="str">
        <f>IF(ISBLANK(C161),INDEX(LicenseeSelect!$AP$511:$AZ$511,MATCH(YEAR(EOMONTH(A161,15)),LicenseeSelect!$AP$510:$AZ$510,0))/100,"-")</f>
        <v>-</v>
      </c>
      <c r="E161" s="12">
        <f t="shared" si="4"/>
        <v>95.7</v>
      </c>
      <c r="F161" s="12">
        <f t="shared" si="5"/>
        <v>242.1</v>
      </c>
    </row>
    <row r="162" spans="1:6" x14ac:dyDescent="0.35">
      <c r="A162" s="2">
        <v>41122</v>
      </c>
      <c r="B162" s="32">
        <v>243</v>
      </c>
      <c r="C162" s="26">
        <v>96.1</v>
      </c>
      <c r="D162" s="46" t="str">
        <f>IF(ISBLANK(C162),INDEX(LicenseeSelect!$AP$511:$AZ$511,MATCH(YEAR(EOMONTH(A162,15)),LicenseeSelect!$AP$510:$AZ$510,0))/100,"-")</f>
        <v>-</v>
      </c>
      <c r="E162" s="12">
        <f t="shared" si="4"/>
        <v>96.1</v>
      </c>
      <c r="F162" s="12">
        <f t="shared" si="5"/>
        <v>243</v>
      </c>
    </row>
    <row r="163" spans="1:6" x14ac:dyDescent="0.35">
      <c r="A163" s="2">
        <v>41153</v>
      </c>
      <c r="B163" s="32">
        <v>244.2</v>
      </c>
      <c r="C163" s="26">
        <v>96.4</v>
      </c>
      <c r="D163" s="46" t="str">
        <f>IF(ISBLANK(C163),INDEX(LicenseeSelect!$AP$511:$AZ$511,MATCH(YEAR(EOMONTH(A163,15)),LicenseeSelect!$AP$510:$AZ$510,0))/100,"-")</f>
        <v>-</v>
      </c>
      <c r="E163" s="12">
        <f t="shared" si="4"/>
        <v>96.4</v>
      </c>
      <c r="F163" s="12">
        <f t="shared" si="5"/>
        <v>244.2</v>
      </c>
    </row>
    <row r="164" spans="1:6" x14ac:dyDescent="0.35">
      <c r="A164" s="2">
        <v>41183</v>
      </c>
      <c r="B164" s="32">
        <v>245.6</v>
      </c>
      <c r="C164" s="26">
        <v>96.8</v>
      </c>
      <c r="D164" s="46" t="str">
        <f>IF(ISBLANK(C164),INDEX(LicenseeSelect!$AP$511:$AZ$511,MATCH(YEAR(EOMONTH(A164,15)),LicenseeSelect!$AP$510:$AZ$510,0))/100,"-")</f>
        <v>-</v>
      </c>
      <c r="E164" s="12">
        <f t="shared" si="4"/>
        <v>96.8</v>
      </c>
      <c r="F164" s="12">
        <f t="shared" si="5"/>
        <v>245.6</v>
      </c>
    </row>
    <row r="165" spans="1:6" x14ac:dyDescent="0.35">
      <c r="A165" s="2">
        <v>41214</v>
      </c>
      <c r="B165" s="32">
        <v>245.6</v>
      </c>
      <c r="C165" s="26">
        <v>97</v>
      </c>
      <c r="D165" s="46" t="str">
        <f>IF(ISBLANK(C165),INDEX(LicenseeSelect!$AP$511:$AZ$511,MATCH(YEAR(EOMONTH(A165,15)),LicenseeSelect!$AP$510:$AZ$510,0))/100,"-")</f>
        <v>-</v>
      </c>
      <c r="E165" s="12">
        <f t="shared" si="4"/>
        <v>97</v>
      </c>
      <c r="F165" s="12">
        <f t="shared" si="5"/>
        <v>245.6</v>
      </c>
    </row>
    <row r="166" spans="1:6" x14ac:dyDescent="0.35">
      <c r="A166" s="2">
        <v>41244</v>
      </c>
      <c r="B166" s="32">
        <v>246.8</v>
      </c>
      <c r="C166" s="26">
        <v>97.3</v>
      </c>
      <c r="D166" s="46" t="str">
        <f>IF(ISBLANK(C166),INDEX(LicenseeSelect!$AP$511:$AZ$511,MATCH(YEAR(EOMONTH(A166,15)),LicenseeSelect!$AP$510:$AZ$510,0))/100,"-")</f>
        <v>-</v>
      </c>
      <c r="E166" s="12">
        <f t="shared" si="4"/>
        <v>97.3</v>
      </c>
      <c r="F166" s="12">
        <f t="shared" si="5"/>
        <v>246.8</v>
      </c>
    </row>
    <row r="167" spans="1:6" x14ac:dyDescent="0.35">
      <c r="A167" s="2">
        <v>41275</v>
      </c>
      <c r="B167" s="32">
        <v>245.8</v>
      </c>
      <c r="C167" s="26">
        <v>97</v>
      </c>
      <c r="D167" s="46" t="str">
        <f>IF(ISBLANK(C167),INDEX(LicenseeSelect!$AP$511:$AZ$511,MATCH(YEAR(EOMONTH(A167,15)),LicenseeSelect!$AP$510:$AZ$510,0))/100,"-")</f>
        <v>-</v>
      </c>
      <c r="E167" s="12">
        <f t="shared" si="4"/>
        <v>97</v>
      </c>
      <c r="F167" s="12">
        <f t="shared" si="5"/>
        <v>245.8</v>
      </c>
    </row>
    <row r="168" spans="1:6" x14ac:dyDescent="0.35">
      <c r="A168" s="2">
        <v>41306</v>
      </c>
      <c r="B168" s="32">
        <v>247.6</v>
      </c>
      <c r="C168" s="26">
        <v>97.5</v>
      </c>
      <c r="D168" s="46" t="str">
        <f>IF(ISBLANK(C168),INDEX(LicenseeSelect!$AP$511:$AZ$511,MATCH(YEAR(EOMONTH(A168,15)),LicenseeSelect!$AP$510:$AZ$510,0))/100,"-")</f>
        <v>-</v>
      </c>
      <c r="E168" s="12">
        <f t="shared" si="4"/>
        <v>97.5</v>
      </c>
      <c r="F168" s="12">
        <f t="shared" si="5"/>
        <v>247.6</v>
      </c>
    </row>
    <row r="169" spans="1:6" x14ac:dyDescent="0.35">
      <c r="A169" s="2">
        <v>41334</v>
      </c>
      <c r="B169" s="32">
        <v>248.7</v>
      </c>
      <c r="C169" s="26">
        <v>97.8</v>
      </c>
      <c r="D169" s="46" t="str">
        <f>IF(ISBLANK(C169),INDEX(LicenseeSelect!$AP$511:$AZ$511,MATCH(YEAR(EOMONTH(A169,15)),LicenseeSelect!$AP$510:$AZ$510,0))/100,"-")</f>
        <v>-</v>
      </c>
      <c r="E169" s="12">
        <f t="shared" si="4"/>
        <v>97.8</v>
      </c>
      <c r="F169" s="12">
        <f t="shared" si="5"/>
        <v>248.7</v>
      </c>
    </row>
    <row r="170" spans="1:6" x14ac:dyDescent="0.35">
      <c r="A170" s="2">
        <v>41365</v>
      </c>
      <c r="B170" s="32">
        <v>249.5</v>
      </c>
      <c r="C170" s="26">
        <v>98</v>
      </c>
      <c r="D170" s="46" t="str">
        <f>IF(ISBLANK(C170),INDEX(LicenseeSelect!$AP$511:$AZ$511,MATCH(YEAR(EOMONTH(A170,15)),LicenseeSelect!$AP$510:$AZ$510,0))/100,"-")</f>
        <v>-</v>
      </c>
      <c r="E170" s="12">
        <f t="shared" si="4"/>
        <v>98</v>
      </c>
      <c r="F170" s="12">
        <f t="shared" si="5"/>
        <v>249.5</v>
      </c>
    </row>
    <row r="171" spans="1:6" x14ac:dyDescent="0.35">
      <c r="A171" s="2">
        <v>41395</v>
      </c>
      <c r="B171" s="32">
        <v>250</v>
      </c>
      <c r="C171" s="26">
        <v>98.2</v>
      </c>
      <c r="D171" s="46" t="str">
        <f>IF(ISBLANK(C171),INDEX(LicenseeSelect!$AP$511:$AZ$511,MATCH(YEAR(EOMONTH(A171,15)),LicenseeSelect!$AP$510:$AZ$510,0))/100,"-")</f>
        <v>-</v>
      </c>
      <c r="E171" s="12">
        <f t="shared" si="4"/>
        <v>98.2</v>
      </c>
      <c r="F171" s="12">
        <f t="shared" si="5"/>
        <v>250</v>
      </c>
    </row>
    <row r="172" spans="1:6" x14ac:dyDescent="0.35">
      <c r="A172" s="2">
        <v>41426</v>
      </c>
      <c r="B172" s="32">
        <v>249.7</v>
      </c>
      <c r="C172" s="26">
        <v>98</v>
      </c>
      <c r="D172" s="46" t="str">
        <f>IF(ISBLANK(C172),INDEX(LicenseeSelect!$AP$511:$AZ$511,MATCH(YEAR(EOMONTH(A172,15)),LicenseeSelect!$AP$510:$AZ$510,0))/100,"-")</f>
        <v>-</v>
      </c>
      <c r="E172" s="12">
        <f t="shared" si="4"/>
        <v>98</v>
      </c>
      <c r="F172" s="12">
        <f t="shared" si="5"/>
        <v>249.7</v>
      </c>
    </row>
    <row r="173" spans="1:6" x14ac:dyDescent="0.35">
      <c r="A173" s="2">
        <v>41456</v>
      </c>
      <c r="B173" s="32">
        <v>249.7</v>
      </c>
      <c r="C173" s="26">
        <v>98</v>
      </c>
      <c r="D173" s="46" t="str">
        <f>IF(ISBLANK(C173),INDEX(LicenseeSelect!$AP$511:$AZ$511,MATCH(YEAR(EOMONTH(A173,15)),LicenseeSelect!$AP$510:$AZ$510,0))/100,"-")</f>
        <v>-</v>
      </c>
      <c r="E173" s="12">
        <f t="shared" si="4"/>
        <v>98</v>
      </c>
      <c r="F173" s="12">
        <f t="shared" si="5"/>
        <v>249.7</v>
      </c>
    </row>
    <row r="174" spans="1:6" x14ac:dyDescent="0.35">
      <c r="A174" s="2">
        <v>41487</v>
      </c>
      <c r="B174" s="32">
        <v>251</v>
      </c>
      <c r="C174" s="26">
        <v>98.4</v>
      </c>
      <c r="D174" s="46" t="str">
        <f>IF(ISBLANK(C174),INDEX(LicenseeSelect!$AP$511:$AZ$511,MATCH(YEAR(EOMONTH(A174,15)),LicenseeSelect!$AP$510:$AZ$510,0))/100,"-")</f>
        <v>-</v>
      </c>
      <c r="E174" s="12">
        <f t="shared" si="4"/>
        <v>98.4</v>
      </c>
      <c r="F174" s="12">
        <f t="shared" si="5"/>
        <v>251</v>
      </c>
    </row>
    <row r="175" spans="1:6" x14ac:dyDescent="0.35">
      <c r="A175" s="2">
        <v>41518</v>
      </c>
      <c r="B175" s="32">
        <v>251.9</v>
      </c>
      <c r="C175" s="26">
        <v>98.7</v>
      </c>
      <c r="D175" s="46" t="str">
        <f>IF(ISBLANK(C175),INDEX(LicenseeSelect!$AP$511:$AZ$511,MATCH(YEAR(EOMONTH(A175,15)),LicenseeSelect!$AP$510:$AZ$510,0))/100,"-")</f>
        <v>-</v>
      </c>
      <c r="E175" s="12">
        <f t="shared" si="4"/>
        <v>98.7</v>
      </c>
      <c r="F175" s="12">
        <f t="shared" si="5"/>
        <v>251.9</v>
      </c>
    </row>
    <row r="176" spans="1:6" x14ac:dyDescent="0.35">
      <c r="A176" s="2">
        <v>41548</v>
      </c>
      <c r="B176" s="32">
        <v>251.9</v>
      </c>
      <c r="C176" s="26">
        <v>98.8</v>
      </c>
      <c r="D176" s="46" t="str">
        <f>IF(ISBLANK(C176),INDEX(LicenseeSelect!$AP$511:$AZ$511,MATCH(YEAR(EOMONTH(A176,15)),LicenseeSelect!$AP$510:$AZ$510,0))/100,"-")</f>
        <v>-</v>
      </c>
      <c r="E176" s="12">
        <f t="shared" si="4"/>
        <v>98.8</v>
      </c>
      <c r="F176" s="12">
        <f t="shared" si="5"/>
        <v>251.9</v>
      </c>
    </row>
    <row r="177" spans="1:6" x14ac:dyDescent="0.35">
      <c r="A177" s="2">
        <v>41579</v>
      </c>
      <c r="B177" s="32">
        <v>252.1</v>
      </c>
      <c r="C177" s="26">
        <v>98.8</v>
      </c>
      <c r="D177" s="46" t="str">
        <f>IF(ISBLANK(C177),INDEX(LicenseeSelect!$AP$511:$AZ$511,MATCH(YEAR(EOMONTH(A177,15)),LicenseeSelect!$AP$510:$AZ$510,0))/100,"-")</f>
        <v>-</v>
      </c>
      <c r="E177" s="12">
        <f t="shared" si="4"/>
        <v>98.8</v>
      </c>
      <c r="F177" s="12">
        <f t="shared" si="5"/>
        <v>252.1</v>
      </c>
    </row>
    <row r="178" spans="1:6" x14ac:dyDescent="0.35">
      <c r="A178" s="2">
        <v>41609</v>
      </c>
      <c r="B178" s="32">
        <v>253.4</v>
      </c>
      <c r="C178" s="26">
        <v>99.2</v>
      </c>
      <c r="D178" s="46" t="str">
        <f>IF(ISBLANK(C178),INDEX(LicenseeSelect!$AP$511:$AZ$511,MATCH(YEAR(EOMONTH(A178,15)),LicenseeSelect!$AP$510:$AZ$510,0))/100,"-")</f>
        <v>-</v>
      </c>
      <c r="E178" s="12">
        <f t="shared" si="4"/>
        <v>99.2</v>
      </c>
      <c r="F178" s="12">
        <f t="shared" si="5"/>
        <v>253.4</v>
      </c>
    </row>
    <row r="179" spans="1:6" x14ac:dyDescent="0.35">
      <c r="A179" s="2">
        <v>41640</v>
      </c>
      <c r="B179" s="32">
        <v>252.6</v>
      </c>
      <c r="C179" s="26">
        <v>98.7</v>
      </c>
      <c r="D179" s="46" t="str">
        <f>IF(ISBLANK(C179),INDEX(LicenseeSelect!$AP$511:$AZ$511,MATCH(YEAR(EOMONTH(A179,15)),LicenseeSelect!$AP$510:$AZ$510,0))/100,"-")</f>
        <v>-</v>
      </c>
      <c r="E179" s="12">
        <f t="shared" si="4"/>
        <v>98.7</v>
      </c>
      <c r="F179" s="12">
        <f t="shared" si="5"/>
        <v>252.6</v>
      </c>
    </row>
    <row r="180" spans="1:6" x14ac:dyDescent="0.35">
      <c r="A180" s="2">
        <v>41671</v>
      </c>
      <c r="B180" s="32">
        <v>254.2</v>
      </c>
      <c r="C180" s="26">
        <v>99.1</v>
      </c>
      <c r="D180" s="46" t="str">
        <f>IF(ISBLANK(C180),INDEX(LicenseeSelect!$AP$511:$AZ$511,MATCH(YEAR(EOMONTH(A180,15)),LicenseeSelect!$AP$510:$AZ$510,0))/100,"-")</f>
        <v>-</v>
      </c>
      <c r="E180" s="12">
        <f t="shared" si="4"/>
        <v>99.1</v>
      </c>
      <c r="F180" s="12">
        <f t="shared" si="5"/>
        <v>254.2</v>
      </c>
    </row>
    <row r="181" spans="1:6" x14ac:dyDescent="0.35">
      <c r="A181" s="2">
        <v>41699</v>
      </c>
      <c r="B181" s="32">
        <v>254.8</v>
      </c>
      <c r="C181" s="26">
        <v>99.3</v>
      </c>
      <c r="D181" s="46" t="str">
        <f>IF(ISBLANK(C181),INDEX(LicenseeSelect!$AP$511:$AZ$511,MATCH(YEAR(EOMONTH(A181,15)),LicenseeSelect!$AP$510:$AZ$510,0))/100,"-")</f>
        <v>-</v>
      </c>
      <c r="E181" s="12">
        <f t="shared" si="4"/>
        <v>99.3</v>
      </c>
      <c r="F181" s="12">
        <f t="shared" si="5"/>
        <v>254.8</v>
      </c>
    </row>
    <row r="182" spans="1:6" x14ac:dyDescent="0.35">
      <c r="A182" s="2">
        <v>41730</v>
      </c>
      <c r="B182" s="32">
        <v>255.7</v>
      </c>
      <c r="C182" s="26">
        <v>99.6</v>
      </c>
      <c r="D182" s="46" t="str">
        <f>IF(ISBLANK(C182),INDEX(LicenseeSelect!$AP$511:$AZ$511,MATCH(YEAR(EOMONTH(A182,15)),LicenseeSelect!$AP$510:$AZ$510,0))/100,"-")</f>
        <v>-</v>
      </c>
      <c r="E182" s="12">
        <f t="shared" si="4"/>
        <v>99.6</v>
      </c>
      <c r="F182" s="12">
        <f t="shared" si="5"/>
        <v>255.7</v>
      </c>
    </row>
    <row r="183" spans="1:6" x14ac:dyDescent="0.35">
      <c r="A183" s="2">
        <v>41760</v>
      </c>
      <c r="B183" s="32">
        <v>255.9</v>
      </c>
      <c r="C183" s="26">
        <v>99.6</v>
      </c>
      <c r="D183" s="46" t="str">
        <f>IF(ISBLANK(C183),INDEX(LicenseeSelect!$AP$511:$AZ$511,MATCH(YEAR(EOMONTH(A183,15)),LicenseeSelect!$AP$510:$AZ$510,0))/100,"-")</f>
        <v>-</v>
      </c>
      <c r="E183" s="12">
        <f t="shared" si="4"/>
        <v>99.6</v>
      </c>
      <c r="F183" s="12">
        <f t="shared" si="5"/>
        <v>255.9</v>
      </c>
    </row>
    <row r="184" spans="1:6" x14ac:dyDescent="0.35">
      <c r="A184" s="2">
        <v>41791</v>
      </c>
      <c r="B184" s="32">
        <v>256.3</v>
      </c>
      <c r="C184" s="26">
        <v>99.8</v>
      </c>
      <c r="D184" s="46" t="str">
        <f>IF(ISBLANK(C184),INDEX(LicenseeSelect!$AP$511:$AZ$511,MATCH(YEAR(EOMONTH(A184,15)),LicenseeSelect!$AP$510:$AZ$510,0))/100,"-")</f>
        <v>-</v>
      </c>
      <c r="E184" s="12">
        <f t="shared" si="4"/>
        <v>99.8</v>
      </c>
      <c r="F184" s="12">
        <f t="shared" si="5"/>
        <v>256.3</v>
      </c>
    </row>
    <row r="185" spans="1:6" x14ac:dyDescent="0.35">
      <c r="A185" s="2">
        <v>41821</v>
      </c>
      <c r="B185" s="32">
        <v>256</v>
      </c>
      <c r="C185" s="26">
        <v>99.6</v>
      </c>
      <c r="D185" s="46" t="str">
        <f>IF(ISBLANK(C185),INDEX(LicenseeSelect!$AP$511:$AZ$511,MATCH(YEAR(EOMONTH(A185,15)),LicenseeSelect!$AP$510:$AZ$510,0))/100,"-")</f>
        <v>-</v>
      </c>
      <c r="E185" s="12">
        <f t="shared" si="4"/>
        <v>99.6</v>
      </c>
      <c r="F185" s="12">
        <f t="shared" si="5"/>
        <v>256</v>
      </c>
    </row>
    <row r="186" spans="1:6" x14ac:dyDescent="0.35">
      <c r="A186" s="2">
        <v>41852</v>
      </c>
      <c r="B186" s="32">
        <v>257</v>
      </c>
      <c r="C186" s="26">
        <v>99.9</v>
      </c>
      <c r="D186" s="46" t="str">
        <f>IF(ISBLANK(C186),INDEX(LicenseeSelect!$AP$511:$AZ$511,MATCH(YEAR(EOMONTH(A186,15)),LicenseeSelect!$AP$510:$AZ$510,0))/100,"-")</f>
        <v>-</v>
      </c>
      <c r="E186" s="12">
        <f t="shared" si="4"/>
        <v>99.9</v>
      </c>
      <c r="F186" s="12">
        <f t="shared" si="5"/>
        <v>257</v>
      </c>
    </row>
    <row r="187" spans="1:6" x14ac:dyDescent="0.35">
      <c r="A187" s="2">
        <v>41883</v>
      </c>
      <c r="B187" s="32">
        <v>257.60000000000002</v>
      </c>
      <c r="C187" s="26">
        <v>100</v>
      </c>
      <c r="D187" s="46" t="str">
        <f>IF(ISBLANK(C187),INDEX(LicenseeSelect!$AP$511:$AZ$511,MATCH(YEAR(EOMONTH(A187,15)),LicenseeSelect!$AP$510:$AZ$510,0))/100,"-")</f>
        <v>-</v>
      </c>
      <c r="E187" s="12">
        <f t="shared" si="4"/>
        <v>100</v>
      </c>
      <c r="F187" s="12">
        <f t="shared" si="5"/>
        <v>257.60000000000002</v>
      </c>
    </row>
    <row r="188" spans="1:6" x14ac:dyDescent="0.35">
      <c r="A188" s="2">
        <v>41913</v>
      </c>
      <c r="B188" s="32">
        <v>257.7</v>
      </c>
      <c r="C188" s="26">
        <v>100.1</v>
      </c>
      <c r="D188" s="46" t="str">
        <f>IF(ISBLANK(C188),INDEX(LicenseeSelect!$AP$511:$AZ$511,MATCH(YEAR(EOMONTH(A188,15)),LicenseeSelect!$AP$510:$AZ$510,0))/100,"-")</f>
        <v>-</v>
      </c>
      <c r="E188" s="12">
        <f t="shared" si="4"/>
        <v>100.1</v>
      </c>
      <c r="F188" s="12">
        <f t="shared" si="5"/>
        <v>257.7</v>
      </c>
    </row>
    <row r="189" spans="1:6" x14ac:dyDescent="0.35">
      <c r="A189" s="2">
        <v>41944</v>
      </c>
      <c r="B189" s="32">
        <v>257.10000000000002</v>
      </c>
      <c r="C189" s="26">
        <v>99.9</v>
      </c>
      <c r="D189" s="46" t="str">
        <f>IF(ISBLANK(C189),INDEX(LicenseeSelect!$AP$511:$AZ$511,MATCH(YEAR(EOMONTH(A189,15)),LicenseeSelect!$AP$510:$AZ$510,0))/100,"-")</f>
        <v>-</v>
      </c>
      <c r="E189" s="12">
        <f t="shared" si="4"/>
        <v>99.9</v>
      </c>
      <c r="F189" s="12">
        <f t="shared" si="5"/>
        <v>257.10000000000002</v>
      </c>
    </row>
    <row r="190" spans="1:6" x14ac:dyDescent="0.35">
      <c r="A190" s="2">
        <v>41974</v>
      </c>
      <c r="B190" s="32">
        <v>257.5</v>
      </c>
      <c r="C190" s="26">
        <v>99.9</v>
      </c>
      <c r="D190" s="46" t="str">
        <f>IF(ISBLANK(C190),INDEX(LicenseeSelect!$AP$511:$AZ$511,MATCH(YEAR(EOMONTH(A190,15)),LicenseeSelect!$AP$510:$AZ$510,0))/100,"-")</f>
        <v>-</v>
      </c>
      <c r="E190" s="12">
        <f t="shared" si="4"/>
        <v>99.9</v>
      </c>
      <c r="F190" s="12">
        <f t="shared" si="5"/>
        <v>257.5</v>
      </c>
    </row>
    <row r="191" spans="1:6" x14ac:dyDescent="0.35">
      <c r="A191" s="2">
        <v>42005</v>
      </c>
      <c r="B191" s="32">
        <v>255.4</v>
      </c>
      <c r="C191" s="26">
        <v>99.2</v>
      </c>
      <c r="D191" s="46" t="str">
        <f>IF(ISBLANK(C191),INDEX(LicenseeSelect!$AP$511:$AZ$511,MATCH(YEAR(EOMONTH(A191,15)),LicenseeSelect!$AP$510:$AZ$510,0))/100,"-")</f>
        <v>-</v>
      </c>
      <c r="E191" s="12">
        <f t="shared" si="4"/>
        <v>99.2</v>
      </c>
      <c r="F191" s="12">
        <f t="shared" si="5"/>
        <v>255.4</v>
      </c>
    </row>
    <row r="192" spans="1:6" x14ac:dyDescent="0.35">
      <c r="A192" s="2">
        <v>42036</v>
      </c>
      <c r="B192" s="32">
        <v>256.7</v>
      </c>
      <c r="C192" s="26">
        <v>99.5</v>
      </c>
      <c r="D192" s="46" t="str">
        <f>IF(ISBLANK(C192),INDEX(LicenseeSelect!$AP$511:$AZ$511,MATCH(YEAR(EOMONTH(A192,15)),LicenseeSelect!$AP$510:$AZ$510,0))/100,"-")</f>
        <v>-</v>
      </c>
      <c r="E192" s="12">
        <f t="shared" si="4"/>
        <v>99.5</v>
      </c>
      <c r="F192" s="12">
        <f t="shared" si="5"/>
        <v>256.7</v>
      </c>
    </row>
    <row r="193" spans="1:6" x14ac:dyDescent="0.35">
      <c r="A193" s="2">
        <v>42064</v>
      </c>
      <c r="B193" s="32">
        <v>257.10000000000002</v>
      </c>
      <c r="C193" s="26">
        <v>99.6</v>
      </c>
      <c r="D193" s="46" t="str">
        <f>IF(ISBLANK(C193),INDEX(LicenseeSelect!$AP$511:$AZ$511,MATCH(YEAR(EOMONTH(A193,15)),LicenseeSelect!$AP$510:$AZ$510,0))/100,"-")</f>
        <v>-</v>
      </c>
      <c r="E193" s="12">
        <f t="shared" si="4"/>
        <v>99.6</v>
      </c>
      <c r="F193" s="12">
        <f t="shared" si="5"/>
        <v>257.10000000000002</v>
      </c>
    </row>
    <row r="194" spans="1:6" x14ac:dyDescent="0.35">
      <c r="A194" s="2">
        <v>42095</v>
      </c>
      <c r="B194" s="32">
        <v>258</v>
      </c>
      <c r="C194" s="26">
        <v>99.9</v>
      </c>
      <c r="D194" s="46" t="str">
        <f>IF(ISBLANK(C194),INDEX(LicenseeSelect!$AP$511:$AZ$511,MATCH(YEAR(EOMONTH(A194,15)),LicenseeSelect!$AP$510:$AZ$510,0))/100,"-")</f>
        <v>-</v>
      </c>
      <c r="E194" s="12">
        <f t="shared" si="4"/>
        <v>99.9</v>
      </c>
      <c r="F194" s="12">
        <f t="shared" si="5"/>
        <v>258</v>
      </c>
    </row>
    <row r="195" spans="1:6" x14ac:dyDescent="0.35">
      <c r="A195" s="2">
        <v>42125</v>
      </c>
      <c r="B195" s="32">
        <v>258.5</v>
      </c>
      <c r="C195" s="26">
        <v>100.1</v>
      </c>
      <c r="D195" s="46" t="str">
        <f>IF(ISBLANK(C195),INDEX(LicenseeSelect!$AP$511:$AZ$511,MATCH(YEAR(EOMONTH(A195,15)),LicenseeSelect!$AP$510:$AZ$510,0))/100,"-")</f>
        <v>-</v>
      </c>
      <c r="E195" s="12">
        <f t="shared" ref="E195:E258" si="6">IF(ISBLANK(C195),E194*((1+D195)^(1/12)),C195)</f>
        <v>100.1</v>
      </c>
      <c r="F195" s="12">
        <f t="shared" ref="F195:F258" si="7">IF(ISBLANK(B195),F194*(E195/E194),B195)</f>
        <v>258.5</v>
      </c>
    </row>
    <row r="196" spans="1:6" x14ac:dyDescent="0.35">
      <c r="A196" s="2">
        <v>42156</v>
      </c>
      <c r="B196" s="32">
        <v>258.89999999999998</v>
      </c>
      <c r="C196" s="26">
        <v>100.1</v>
      </c>
      <c r="D196" s="46" t="str">
        <f>IF(ISBLANK(C196),INDEX(LicenseeSelect!$AP$511:$AZ$511,MATCH(YEAR(EOMONTH(A196,15)),LicenseeSelect!$AP$510:$AZ$510,0))/100,"-")</f>
        <v>-</v>
      </c>
      <c r="E196" s="12">
        <f t="shared" si="6"/>
        <v>100.1</v>
      </c>
      <c r="F196" s="12">
        <f t="shared" si="7"/>
        <v>258.89999999999998</v>
      </c>
    </row>
    <row r="197" spans="1:6" x14ac:dyDescent="0.35">
      <c r="A197" s="2">
        <v>42186</v>
      </c>
      <c r="B197" s="32">
        <v>258.60000000000002</v>
      </c>
      <c r="C197" s="26">
        <v>100</v>
      </c>
      <c r="D197" s="46" t="str">
        <f>IF(ISBLANK(C197),INDEX(LicenseeSelect!$AP$511:$AZ$511,MATCH(YEAR(EOMONTH(A197,15)),LicenseeSelect!$AP$510:$AZ$510,0))/100,"-")</f>
        <v>-</v>
      </c>
      <c r="E197" s="12">
        <f t="shared" si="6"/>
        <v>100</v>
      </c>
      <c r="F197" s="12">
        <f t="shared" si="7"/>
        <v>258.60000000000002</v>
      </c>
    </row>
    <row r="198" spans="1:6" x14ac:dyDescent="0.35">
      <c r="A198" s="2">
        <v>42217</v>
      </c>
      <c r="B198" s="32">
        <v>259.8</v>
      </c>
      <c r="C198" s="26">
        <v>100.3</v>
      </c>
      <c r="D198" s="46" t="str">
        <f>IF(ISBLANK(C198),INDEX(LicenseeSelect!$AP$511:$AZ$511,MATCH(YEAR(EOMONTH(A198,15)),LicenseeSelect!$AP$510:$AZ$510,0))/100,"-")</f>
        <v>-</v>
      </c>
      <c r="E198" s="12">
        <f t="shared" si="6"/>
        <v>100.3</v>
      </c>
      <c r="F198" s="12">
        <f t="shared" si="7"/>
        <v>259.8</v>
      </c>
    </row>
    <row r="199" spans="1:6" x14ac:dyDescent="0.35">
      <c r="A199" s="2">
        <v>42248</v>
      </c>
      <c r="B199" s="32">
        <v>259.60000000000002</v>
      </c>
      <c r="C199" s="26">
        <v>100.2</v>
      </c>
      <c r="D199" s="46" t="str">
        <f>IF(ISBLANK(C199),INDEX(LicenseeSelect!$AP$511:$AZ$511,MATCH(YEAR(EOMONTH(A199,15)),LicenseeSelect!$AP$510:$AZ$510,0))/100,"-")</f>
        <v>-</v>
      </c>
      <c r="E199" s="12">
        <f t="shared" si="6"/>
        <v>100.2</v>
      </c>
      <c r="F199" s="12">
        <f t="shared" si="7"/>
        <v>259.60000000000002</v>
      </c>
    </row>
    <row r="200" spans="1:6" x14ac:dyDescent="0.35">
      <c r="A200" s="2">
        <v>42278</v>
      </c>
      <c r="B200" s="32">
        <v>259.5</v>
      </c>
      <c r="C200" s="26">
        <v>100.3</v>
      </c>
      <c r="D200" s="46" t="str">
        <f>IF(ISBLANK(C200),INDEX(LicenseeSelect!$AP$511:$AZ$511,MATCH(YEAR(EOMONTH(A200,15)),LicenseeSelect!$AP$510:$AZ$510,0))/100,"-")</f>
        <v>-</v>
      </c>
      <c r="E200" s="12">
        <f t="shared" si="6"/>
        <v>100.3</v>
      </c>
      <c r="F200" s="12">
        <f t="shared" si="7"/>
        <v>259.5</v>
      </c>
    </row>
    <row r="201" spans="1:6" x14ac:dyDescent="0.35">
      <c r="A201" s="2">
        <v>42309</v>
      </c>
      <c r="B201" s="32">
        <v>259.8</v>
      </c>
      <c r="C201" s="26">
        <v>100.3</v>
      </c>
      <c r="D201" s="46" t="str">
        <f>IF(ISBLANK(C201),INDEX(LicenseeSelect!$AP$511:$AZ$511,MATCH(YEAR(EOMONTH(A201,15)),LicenseeSelect!$AP$510:$AZ$510,0))/100,"-")</f>
        <v>-</v>
      </c>
      <c r="E201" s="12">
        <f t="shared" si="6"/>
        <v>100.3</v>
      </c>
      <c r="F201" s="12">
        <f t="shared" si="7"/>
        <v>259.8</v>
      </c>
    </row>
    <row r="202" spans="1:6" x14ac:dyDescent="0.35">
      <c r="A202" s="2">
        <v>42339</v>
      </c>
      <c r="B202" s="32">
        <v>260.60000000000002</v>
      </c>
      <c r="C202" s="26">
        <v>100.4</v>
      </c>
      <c r="D202" s="46" t="str">
        <f>IF(ISBLANK(C202),INDEX(LicenseeSelect!$AP$511:$AZ$511,MATCH(YEAR(EOMONTH(A202,15)),LicenseeSelect!$AP$510:$AZ$510,0))/100,"-")</f>
        <v>-</v>
      </c>
      <c r="E202" s="12">
        <f t="shared" si="6"/>
        <v>100.4</v>
      </c>
      <c r="F202" s="12">
        <f t="shared" si="7"/>
        <v>260.60000000000002</v>
      </c>
    </row>
    <row r="203" spans="1:6" x14ac:dyDescent="0.35">
      <c r="A203" s="2">
        <v>42370</v>
      </c>
      <c r="B203" s="32">
        <v>258.8</v>
      </c>
      <c r="C203" s="26">
        <v>99.9</v>
      </c>
      <c r="D203" s="46" t="str">
        <f>IF(ISBLANK(C203),INDEX(LicenseeSelect!$AP$511:$AZ$511,MATCH(YEAR(EOMONTH(A203,15)),LicenseeSelect!$AP$510:$AZ$510,0))/100,"-")</f>
        <v>-</v>
      </c>
      <c r="E203" s="12">
        <f t="shared" si="6"/>
        <v>99.9</v>
      </c>
      <c r="F203" s="12">
        <f t="shared" si="7"/>
        <v>258.8</v>
      </c>
    </row>
    <row r="204" spans="1:6" x14ac:dyDescent="0.35">
      <c r="A204" s="2">
        <v>42401</v>
      </c>
      <c r="B204" s="32">
        <v>260</v>
      </c>
      <c r="C204" s="26">
        <v>100.1</v>
      </c>
      <c r="D204" s="46" t="str">
        <f>IF(ISBLANK(C204),INDEX(LicenseeSelect!$AP$511:$AZ$511,MATCH(YEAR(EOMONTH(A204,15)),LicenseeSelect!$AP$510:$AZ$510,0))/100,"-")</f>
        <v>-</v>
      </c>
      <c r="E204" s="12">
        <f t="shared" si="6"/>
        <v>100.1</v>
      </c>
      <c r="F204" s="12">
        <f t="shared" si="7"/>
        <v>260</v>
      </c>
    </row>
    <row r="205" spans="1:6" x14ac:dyDescent="0.35">
      <c r="A205" s="2">
        <v>42430</v>
      </c>
      <c r="B205" s="32">
        <v>261.10000000000002</v>
      </c>
      <c r="C205" s="26">
        <v>100.4</v>
      </c>
      <c r="D205" s="46" t="str">
        <f>IF(ISBLANK(C205),INDEX(LicenseeSelect!$AP$511:$AZ$511,MATCH(YEAR(EOMONTH(A205,15)),LicenseeSelect!$AP$510:$AZ$510,0))/100,"-")</f>
        <v>-</v>
      </c>
      <c r="E205" s="12">
        <f t="shared" si="6"/>
        <v>100.4</v>
      </c>
      <c r="F205" s="12">
        <f t="shared" si="7"/>
        <v>261.10000000000002</v>
      </c>
    </row>
    <row r="206" spans="1:6" x14ac:dyDescent="0.35">
      <c r="A206" s="2">
        <v>42461</v>
      </c>
      <c r="B206" s="32">
        <v>261.39999999999998</v>
      </c>
      <c r="C206" s="26">
        <v>100.6</v>
      </c>
      <c r="D206" s="46" t="str">
        <f>IF(ISBLANK(C206),INDEX(LicenseeSelect!$AP$511:$AZ$511,MATCH(YEAR(EOMONTH(A206,15)),LicenseeSelect!$AP$510:$AZ$510,0))/100,"-")</f>
        <v>-</v>
      </c>
      <c r="E206" s="12">
        <f t="shared" si="6"/>
        <v>100.6</v>
      </c>
      <c r="F206" s="12">
        <f t="shared" si="7"/>
        <v>261.39999999999998</v>
      </c>
    </row>
    <row r="207" spans="1:6" x14ac:dyDescent="0.35">
      <c r="A207" s="2">
        <v>42491</v>
      </c>
      <c r="B207" s="32">
        <v>262.10000000000002</v>
      </c>
      <c r="C207" s="26">
        <v>100.8</v>
      </c>
      <c r="D207" s="46" t="str">
        <f>IF(ISBLANK(C207),INDEX(LicenseeSelect!$AP$511:$AZ$511,MATCH(YEAR(EOMONTH(A207,15)),LicenseeSelect!$AP$510:$AZ$510,0))/100,"-")</f>
        <v>-</v>
      </c>
      <c r="E207" s="12">
        <f t="shared" si="6"/>
        <v>100.8</v>
      </c>
      <c r="F207" s="12">
        <f t="shared" si="7"/>
        <v>262.10000000000002</v>
      </c>
    </row>
    <row r="208" spans="1:6" x14ac:dyDescent="0.35">
      <c r="A208" s="2">
        <v>42522</v>
      </c>
      <c r="B208" s="32">
        <v>263.10000000000002</v>
      </c>
      <c r="C208" s="26">
        <v>101</v>
      </c>
      <c r="D208" s="46" t="str">
        <f>IF(ISBLANK(C208),INDEX(LicenseeSelect!$AP$511:$AZ$511,MATCH(YEAR(EOMONTH(A208,15)),LicenseeSelect!$AP$510:$AZ$510,0))/100,"-")</f>
        <v>-</v>
      </c>
      <c r="E208" s="12">
        <f t="shared" si="6"/>
        <v>101</v>
      </c>
      <c r="F208" s="12">
        <f t="shared" si="7"/>
        <v>263.10000000000002</v>
      </c>
    </row>
    <row r="209" spans="1:6" x14ac:dyDescent="0.35">
      <c r="A209" s="2">
        <v>42552</v>
      </c>
      <c r="B209" s="32">
        <v>263.39999999999998</v>
      </c>
      <c r="C209" s="26">
        <v>100.9</v>
      </c>
      <c r="D209" s="46" t="str">
        <f>IF(ISBLANK(C209),INDEX(LicenseeSelect!$AP$511:$AZ$511,MATCH(YEAR(EOMONTH(A209,15)),LicenseeSelect!$AP$510:$AZ$510,0))/100,"-")</f>
        <v>-</v>
      </c>
      <c r="E209" s="12">
        <f t="shared" si="6"/>
        <v>100.9</v>
      </c>
      <c r="F209" s="12">
        <f t="shared" si="7"/>
        <v>263.39999999999998</v>
      </c>
    </row>
    <row r="210" spans="1:6" x14ac:dyDescent="0.35">
      <c r="A210" s="2">
        <v>42583</v>
      </c>
      <c r="B210" s="32">
        <v>264.39999999999998</v>
      </c>
      <c r="C210" s="26">
        <v>101.2</v>
      </c>
      <c r="D210" s="46" t="str">
        <f>IF(ISBLANK(C210),INDEX(LicenseeSelect!$AP$511:$AZ$511,MATCH(YEAR(EOMONTH(A210,15)),LicenseeSelect!$AP$510:$AZ$510,0))/100,"-")</f>
        <v>-</v>
      </c>
      <c r="E210" s="12">
        <f t="shared" si="6"/>
        <v>101.2</v>
      </c>
      <c r="F210" s="12">
        <f t="shared" si="7"/>
        <v>264.39999999999998</v>
      </c>
    </row>
    <row r="211" spans="1:6" x14ac:dyDescent="0.35">
      <c r="A211" s="2">
        <v>42614</v>
      </c>
      <c r="B211" s="32">
        <v>264.89999999999998</v>
      </c>
      <c r="C211" s="26">
        <v>101.5</v>
      </c>
      <c r="D211" s="46" t="str">
        <f>IF(ISBLANK(C211),INDEX(LicenseeSelect!$AP$511:$AZ$511,MATCH(YEAR(EOMONTH(A211,15)),LicenseeSelect!$AP$510:$AZ$510,0))/100,"-")</f>
        <v>-</v>
      </c>
      <c r="E211" s="12">
        <f t="shared" si="6"/>
        <v>101.5</v>
      </c>
      <c r="F211" s="12">
        <f t="shared" si="7"/>
        <v>264.89999999999998</v>
      </c>
    </row>
    <row r="212" spans="1:6" x14ac:dyDescent="0.35">
      <c r="A212" s="2">
        <v>42644</v>
      </c>
      <c r="B212" s="32">
        <v>264.8</v>
      </c>
      <c r="C212" s="26">
        <v>101.6</v>
      </c>
      <c r="D212" s="46" t="str">
        <f>IF(ISBLANK(C212),INDEX(LicenseeSelect!$AP$511:$AZ$511,MATCH(YEAR(EOMONTH(A212,15)),LicenseeSelect!$AP$510:$AZ$510,0))/100,"-")</f>
        <v>-</v>
      </c>
      <c r="E212" s="12">
        <f t="shared" si="6"/>
        <v>101.6</v>
      </c>
      <c r="F212" s="12">
        <f t="shared" si="7"/>
        <v>264.8</v>
      </c>
    </row>
    <row r="213" spans="1:6" x14ac:dyDescent="0.35">
      <c r="A213" s="2">
        <v>42675</v>
      </c>
      <c r="B213" s="32">
        <v>265.5</v>
      </c>
      <c r="C213" s="26">
        <v>101.8</v>
      </c>
      <c r="D213" s="46" t="str">
        <f>IF(ISBLANK(C213),INDEX(LicenseeSelect!$AP$511:$AZ$511,MATCH(YEAR(EOMONTH(A213,15)),LicenseeSelect!$AP$510:$AZ$510,0))/100,"-")</f>
        <v>-</v>
      </c>
      <c r="E213" s="12">
        <f t="shared" si="6"/>
        <v>101.8</v>
      </c>
      <c r="F213" s="12">
        <f t="shared" si="7"/>
        <v>265.5</v>
      </c>
    </row>
    <row r="214" spans="1:6" x14ac:dyDescent="0.35">
      <c r="A214" s="2">
        <v>42705</v>
      </c>
      <c r="B214" s="32">
        <v>267.10000000000002</v>
      </c>
      <c r="C214" s="26">
        <v>102.2</v>
      </c>
      <c r="D214" s="46" t="str">
        <f>IF(ISBLANK(C214),INDEX(LicenseeSelect!$AP$511:$AZ$511,MATCH(YEAR(EOMONTH(A214,15)),LicenseeSelect!$AP$510:$AZ$510,0))/100,"-")</f>
        <v>-</v>
      </c>
      <c r="E214" s="12">
        <f t="shared" si="6"/>
        <v>102.2</v>
      </c>
      <c r="F214" s="12">
        <f t="shared" si="7"/>
        <v>267.10000000000002</v>
      </c>
    </row>
    <row r="215" spans="1:6" x14ac:dyDescent="0.35">
      <c r="A215" s="2">
        <v>42736</v>
      </c>
      <c r="B215" s="32">
        <v>265.5</v>
      </c>
      <c r="C215" s="26">
        <v>101.8</v>
      </c>
      <c r="D215" s="46" t="str">
        <f>IF(ISBLANK(C215),INDEX(LicenseeSelect!$AP$511:$AZ$511,MATCH(YEAR(EOMONTH(A215,15)),LicenseeSelect!$AP$510:$AZ$510,0))/100,"-")</f>
        <v>-</v>
      </c>
      <c r="E215" s="12">
        <f t="shared" si="6"/>
        <v>101.8</v>
      </c>
      <c r="F215" s="12">
        <f t="shared" si="7"/>
        <v>265.5</v>
      </c>
    </row>
    <row r="216" spans="1:6" x14ac:dyDescent="0.35">
      <c r="A216" s="2">
        <v>42767</v>
      </c>
      <c r="B216" s="32">
        <v>268.39999999999998</v>
      </c>
      <c r="C216" s="26">
        <v>102.4</v>
      </c>
      <c r="D216" s="46" t="str">
        <f>IF(ISBLANK(C216),INDEX(LicenseeSelect!$AP$511:$AZ$511,MATCH(YEAR(EOMONTH(A216,15)),LicenseeSelect!$AP$510:$AZ$510,0))/100,"-")</f>
        <v>-</v>
      </c>
      <c r="E216" s="12">
        <f t="shared" si="6"/>
        <v>102.4</v>
      </c>
      <c r="F216" s="12">
        <f t="shared" si="7"/>
        <v>268.39999999999998</v>
      </c>
    </row>
    <row r="217" spans="1:6" x14ac:dyDescent="0.35">
      <c r="A217" s="2">
        <v>42795</v>
      </c>
      <c r="B217" s="32">
        <v>269.3</v>
      </c>
      <c r="C217" s="26">
        <v>102.7</v>
      </c>
      <c r="D217" s="46" t="str">
        <f>IF(ISBLANK(C217),INDEX(LicenseeSelect!$AP$511:$AZ$511,MATCH(YEAR(EOMONTH(A217,15)),LicenseeSelect!$AP$510:$AZ$510,0))/100,"-")</f>
        <v>-</v>
      </c>
      <c r="E217" s="12">
        <f t="shared" si="6"/>
        <v>102.7</v>
      </c>
      <c r="F217" s="12">
        <f t="shared" si="7"/>
        <v>269.3</v>
      </c>
    </row>
    <row r="218" spans="1:6" x14ac:dyDescent="0.35">
      <c r="A218" s="2">
        <v>42826</v>
      </c>
      <c r="B218" s="32">
        <v>270.60000000000002</v>
      </c>
      <c r="C218" s="26">
        <v>103.2</v>
      </c>
      <c r="D218" s="46" t="str">
        <f>IF(ISBLANK(C218),INDEX(LicenseeSelect!$AP$511:$AZ$511,MATCH(YEAR(EOMONTH(A218,15)),LicenseeSelect!$AP$510:$AZ$510,0))/100,"-")</f>
        <v>-</v>
      </c>
      <c r="E218" s="12">
        <f t="shared" si="6"/>
        <v>103.2</v>
      </c>
      <c r="F218" s="12">
        <f t="shared" si="7"/>
        <v>270.60000000000002</v>
      </c>
    </row>
    <row r="219" spans="1:6" x14ac:dyDescent="0.35">
      <c r="A219" s="2">
        <v>42856</v>
      </c>
      <c r="B219" s="32">
        <v>271.7</v>
      </c>
      <c r="C219" s="26">
        <v>103.5</v>
      </c>
      <c r="D219" s="46" t="str">
        <f>IF(ISBLANK(C219),INDEX(LicenseeSelect!$AP$511:$AZ$511,MATCH(YEAR(EOMONTH(A219,15)),LicenseeSelect!$AP$510:$AZ$510,0))/100,"-")</f>
        <v>-</v>
      </c>
      <c r="E219" s="12">
        <f t="shared" si="6"/>
        <v>103.5</v>
      </c>
      <c r="F219" s="12">
        <f t="shared" si="7"/>
        <v>271.7</v>
      </c>
    </row>
    <row r="220" spans="1:6" x14ac:dyDescent="0.35">
      <c r="A220" s="2">
        <v>42887</v>
      </c>
      <c r="B220" s="32">
        <v>272.3</v>
      </c>
      <c r="C220" s="26">
        <v>103.5</v>
      </c>
      <c r="D220" s="46" t="str">
        <f>IF(ISBLANK(C220),INDEX(LicenseeSelect!$AP$511:$AZ$511,MATCH(YEAR(EOMONTH(A220,15)),LicenseeSelect!$AP$510:$AZ$510,0))/100,"-")</f>
        <v>-</v>
      </c>
      <c r="E220" s="12">
        <f t="shared" si="6"/>
        <v>103.5</v>
      </c>
      <c r="F220" s="12">
        <f t="shared" si="7"/>
        <v>272.3</v>
      </c>
    </row>
    <row r="221" spans="1:6" x14ac:dyDescent="0.35">
      <c r="A221" s="2">
        <v>42917</v>
      </c>
      <c r="B221" s="32">
        <v>272.89999999999998</v>
      </c>
      <c r="C221" s="26">
        <v>103.5</v>
      </c>
      <c r="D221" s="46" t="str">
        <f>IF(ISBLANK(C221),INDEX(LicenseeSelect!$AP$511:$AZ$511,MATCH(YEAR(EOMONTH(A221,15)),LicenseeSelect!$AP$510:$AZ$510,0))/100,"-")</f>
        <v>-</v>
      </c>
      <c r="E221" s="12">
        <f t="shared" si="6"/>
        <v>103.5</v>
      </c>
      <c r="F221" s="12">
        <f t="shared" si="7"/>
        <v>272.89999999999998</v>
      </c>
    </row>
    <row r="222" spans="1:6" x14ac:dyDescent="0.35">
      <c r="A222" s="2">
        <v>42948</v>
      </c>
      <c r="B222" s="32">
        <v>274.7</v>
      </c>
      <c r="C222" s="26">
        <v>104</v>
      </c>
      <c r="D222" s="46" t="str">
        <f>IF(ISBLANK(C222),INDEX(LicenseeSelect!$AP$511:$AZ$511,MATCH(YEAR(EOMONTH(A222,15)),LicenseeSelect!$AP$510:$AZ$510,0))/100,"-")</f>
        <v>-</v>
      </c>
      <c r="E222" s="12">
        <f t="shared" si="6"/>
        <v>104</v>
      </c>
      <c r="F222" s="12">
        <f t="shared" si="7"/>
        <v>274.7</v>
      </c>
    </row>
    <row r="223" spans="1:6" x14ac:dyDescent="0.35">
      <c r="A223" s="2">
        <v>42979</v>
      </c>
      <c r="B223" s="32">
        <v>275.10000000000002</v>
      </c>
      <c r="C223" s="26">
        <v>104.3</v>
      </c>
      <c r="D223" s="46" t="str">
        <f>IF(ISBLANK(C223),INDEX(LicenseeSelect!$AP$511:$AZ$511,MATCH(YEAR(EOMONTH(A223,15)),LicenseeSelect!$AP$510:$AZ$510,0))/100,"-")</f>
        <v>-</v>
      </c>
      <c r="E223" s="12">
        <f t="shared" si="6"/>
        <v>104.3</v>
      </c>
      <c r="F223" s="12">
        <f t="shared" si="7"/>
        <v>275.10000000000002</v>
      </c>
    </row>
    <row r="224" spans="1:6" x14ac:dyDescent="0.35">
      <c r="A224" s="2">
        <v>43009</v>
      </c>
      <c r="B224" s="32">
        <v>275.3</v>
      </c>
      <c r="C224" s="26">
        <v>104.4</v>
      </c>
      <c r="D224" s="46" t="str">
        <f>IF(ISBLANK(C224),INDEX(LicenseeSelect!$AP$511:$AZ$511,MATCH(YEAR(EOMONTH(A224,15)),LicenseeSelect!$AP$510:$AZ$510,0))/100,"-")</f>
        <v>-</v>
      </c>
      <c r="E224" s="12">
        <f t="shared" si="6"/>
        <v>104.4</v>
      </c>
      <c r="F224" s="12">
        <f t="shared" si="7"/>
        <v>275.3</v>
      </c>
    </row>
    <row r="225" spans="1:6" x14ac:dyDescent="0.35">
      <c r="A225" s="2">
        <v>43040</v>
      </c>
      <c r="B225" s="32">
        <v>275.8</v>
      </c>
      <c r="C225" s="26">
        <v>104.7</v>
      </c>
      <c r="D225" s="46" t="str">
        <f>IF(ISBLANK(C225),INDEX(LicenseeSelect!$AP$511:$AZ$511,MATCH(YEAR(EOMONTH(A225,15)),LicenseeSelect!$AP$510:$AZ$510,0))/100,"-")</f>
        <v>-</v>
      </c>
      <c r="E225" s="12">
        <f t="shared" si="6"/>
        <v>104.7</v>
      </c>
      <c r="F225" s="12">
        <f t="shared" si="7"/>
        <v>275.8</v>
      </c>
    </row>
    <row r="226" spans="1:6" x14ac:dyDescent="0.35">
      <c r="A226" s="2">
        <v>43070</v>
      </c>
      <c r="B226" s="32">
        <v>278.10000000000002</v>
      </c>
      <c r="C226" s="26">
        <v>105</v>
      </c>
      <c r="D226" s="46" t="str">
        <f>IF(ISBLANK(C226),INDEX(LicenseeSelect!$AP$511:$AZ$511,MATCH(YEAR(EOMONTH(A226,15)),LicenseeSelect!$AP$510:$AZ$510,0))/100,"-")</f>
        <v>-</v>
      </c>
      <c r="E226" s="12">
        <f t="shared" si="6"/>
        <v>105</v>
      </c>
      <c r="F226" s="12">
        <f t="shared" si="7"/>
        <v>278.10000000000002</v>
      </c>
    </row>
    <row r="227" spans="1:6" x14ac:dyDescent="0.35">
      <c r="A227" s="2">
        <v>43101</v>
      </c>
      <c r="B227" s="32">
        <v>276</v>
      </c>
      <c r="C227" s="26">
        <v>104.5</v>
      </c>
      <c r="D227" s="46" t="str">
        <f>IF(ISBLANK(C227),INDEX(LicenseeSelect!$AP$511:$AZ$511,MATCH(YEAR(EOMONTH(A227,15)),LicenseeSelect!$AP$510:$AZ$510,0))/100,"-")</f>
        <v>-</v>
      </c>
      <c r="E227" s="12">
        <f t="shared" si="6"/>
        <v>104.5</v>
      </c>
      <c r="F227" s="12">
        <f t="shared" si="7"/>
        <v>276</v>
      </c>
    </row>
    <row r="228" spans="1:6" x14ac:dyDescent="0.35">
      <c r="A228" s="2">
        <v>43132</v>
      </c>
      <c r="B228" s="32">
        <v>278.10000000000002</v>
      </c>
      <c r="C228" s="26">
        <v>104.9</v>
      </c>
      <c r="D228" s="46" t="str">
        <f>IF(ISBLANK(C228),INDEX(LicenseeSelect!$AP$511:$AZ$511,MATCH(YEAR(EOMONTH(A228,15)),LicenseeSelect!$AP$510:$AZ$510,0))/100,"-")</f>
        <v>-</v>
      </c>
      <c r="E228" s="12">
        <f t="shared" si="6"/>
        <v>104.9</v>
      </c>
      <c r="F228" s="12">
        <f t="shared" si="7"/>
        <v>278.10000000000002</v>
      </c>
    </row>
    <row r="229" spans="1:6" x14ac:dyDescent="0.35">
      <c r="A229" s="2">
        <v>43160</v>
      </c>
      <c r="B229" s="32">
        <v>278.3</v>
      </c>
      <c r="C229" s="26">
        <v>105.1</v>
      </c>
      <c r="D229" s="46" t="str">
        <f>IF(ISBLANK(C229),INDEX(LicenseeSelect!$AP$511:$AZ$511,MATCH(YEAR(EOMONTH(A229,15)),LicenseeSelect!$AP$510:$AZ$510,0))/100,"-")</f>
        <v>-</v>
      </c>
      <c r="E229" s="12">
        <f t="shared" si="6"/>
        <v>105.1</v>
      </c>
      <c r="F229" s="12">
        <f t="shared" si="7"/>
        <v>278.3</v>
      </c>
    </row>
    <row r="230" spans="1:6" x14ac:dyDescent="0.35">
      <c r="A230" s="2">
        <v>43191</v>
      </c>
      <c r="B230" s="32">
        <v>279.7</v>
      </c>
      <c r="C230" s="26">
        <v>105.5</v>
      </c>
      <c r="D230" s="46" t="str">
        <f>IF(ISBLANK(C230),INDEX(LicenseeSelect!$AP$511:$AZ$511,MATCH(YEAR(EOMONTH(A230,15)),LicenseeSelect!$AP$510:$AZ$510,0))/100,"-")</f>
        <v>-</v>
      </c>
      <c r="E230" s="12">
        <f t="shared" si="6"/>
        <v>105.5</v>
      </c>
      <c r="F230" s="12">
        <f t="shared" si="7"/>
        <v>279.7</v>
      </c>
    </row>
    <row r="231" spans="1:6" x14ac:dyDescent="0.35">
      <c r="A231" s="2">
        <v>43221</v>
      </c>
      <c r="B231" s="32">
        <v>280.7</v>
      </c>
      <c r="C231" s="26">
        <v>105.9</v>
      </c>
      <c r="D231" s="46" t="str">
        <f>IF(ISBLANK(C231),INDEX(LicenseeSelect!$AP$511:$AZ$511,MATCH(YEAR(EOMONTH(A231,15)),LicenseeSelect!$AP$510:$AZ$510,0))/100,"-")</f>
        <v>-</v>
      </c>
      <c r="E231" s="12">
        <f t="shared" si="6"/>
        <v>105.9</v>
      </c>
      <c r="F231" s="12">
        <f t="shared" si="7"/>
        <v>280.7</v>
      </c>
    </row>
    <row r="232" spans="1:6" x14ac:dyDescent="0.35">
      <c r="A232" s="2">
        <v>43252</v>
      </c>
      <c r="B232" s="32">
        <v>281.5</v>
      </c>
      <c r="C232" s="26">
        <v>105.9</v>
      </c>
      <c r="D232" s="46" t="str">
        <f>IF(ISBLANK(C232),INDEX(LicenseeSelect!$AP$511:$AZ$511,MATCH(YEAR(EOMONTH(A232,15)),LicenseeSelect!$AP$510:$AZ$510,0))/100,"-")</f>
        <v>-</v>
      </c>
      <c r="E232" s="12">
        <f t="shared" si="6"/>
        <v>105.9</v>
      </c>
      <c r="F232" s="12">
        <f t="shared" si="7"/>
        <v>281.5</v>
      </c>
    </row>
    <row r="233" spans="1:6" x14ac:dyDescent="0.35">
      <c r="A233" s="2">
        <v>43282</v>
      </c>
      <c r="B233" s="32">
        <v>281.7</v>
      </c>
      <c r="C233" s="26">
        <v>105.9</v>
      </c>
      <c r="D233" s="46" t="str">
        <f>IF(ISBLANK(C233),INDEX(LicenseeSelect!$AP$511:$AZ$511,MATCH(YEAR(EOMONTH(A233,15)),LicenseeSelect!$AP$510:$AZ$510,0))/100,"-")</f>
        <v>-</v>
      </c>
      <c r="E233" s="12">
        <f t="shared" si="6"/>
        <v>105.9</v>
      </c>
      <c r="F233" s="12">
        <f t="shared" si="7"/>
        <v>281.7</v>
      </c>
    </row>
    <row r="234" spans="1:6" x14ac:dyDescent="0.35">
      <c r="A234" s="2">
        <v>43313</v>
      </c>
      <c r="B234" s="32">
        <v>284.2</v>
      </c>
      <c r="C234" s="26">
        <v>106.5</v>
      </c>
      <c r="D234" s="46" t="str">
        <f>IF(ISBLANK(C234),INDEX(LicenseeSelect!$AP$511:$AZ$511,MATCH(YEAR(EOMONTH(A234,15)),LicenseeSelect!$AP$510:$AZ$510,0))/100,"-")</f>
        <v>-</v>
      </c>
      <c r="E234" s="12">
        <f t="shared" si="6"/>
        <v>106.5</v>
      </c>
      <c r="F234" s="12">
        <f t="shared" si="7"/>
        <v>284.2</v>
      </c>
    </row>
    <row r="235" spans="1:6" x14ac:dyDescent="0.35">
      <c r="A235" s="2">
        <v>43344</v>
      </c>
      <c r="B235" s="32">
        <v>284.10000000000002</v>
      </c>
      <c r="C235" s="26">
        <v>106.6</v>
      </c>
      <c r="D235" s="46" t="str">
        <f>IF(ISBLANK(C235),INDEX(LicenseeSelect!$AP$511:$AZ$511,MATCH(YEAR(EOMONTH(A235,15)),LicenseeSelect!$AP$510:$AZ$510,0))/100,"-")</f>
        <v>-</v>
      </c>
      <c r="E235" s="12">
        <f t="shared" si="6"/>
        <v>106.6</v>
      </c>
      <c r="F235" s="12">
        <f t="shared" si="7"/>
        <v>284.10000000000002</v>
      </c>
    </row>
    <row r="236" spans="1:6" x14ac:dyDescent="0.35">
      <c r="A236" s="2">
        <v>43374</v>
      </c>
      <c r="B236" s="32">
        <v>284.5</v>
      </c>
      <c r="C236" s="26">
        <v>106.7</v>
      </c>
      <c r="D236" s="46" t="str">
        <f>IF(ISBLANK(C236),INDEX(LicenseeSelect!$AP$511:$AZ$511,MATCH(YEAR(EOMONTH(A236,15)),LicenseeSelect!$AP$510:$AZ$510,0))/100,"-")</f>
        <v>-</v>
      </c>
      <c r="E236" s="12">
        <f t="shared" si="6"/>
        <v>106.7</v>
      </c>
      <c r="F236" s="12">
        <f t="shared" si="7"/>
        <v>284.5</v>
      </c>
    </row>
    <row r="237" spans="1:6" x14ac:dyDescent="0.35">
      <c r="A237" s="2">
        <v>43405</v>
      </c>
      <c r="B237" s="32">
        <v>284.60000000000002</v>
      </c>
      <c r="C237" s="26">
        <v>106.9</v>
      </c>
      <c r="D237" s="46" t="str">
        <f>IF(ISBLANK(C237),INDEX(LicenseeSelect!$AP$511:$AZ$511,MATCH(YEAR(EOMONTH(A237,15)),LicenseeSelect!$AP$510:$AZ$510,0))/100,"-")</f>
        <v>-</v>
      </c>
      <c r="E237" s="12">
        <f t="shared" si="6"/>
        <v>106.9</v>
      </c>
      <c r="F237" s="12">
        <f t="shared" si="7"/>
        <v>284.60000000000002</v>
      </c>
    </row>
    <row r="238" spans="1:6" x14ac:dyDescent="0.35">
      <c r="A238" s="2">
        <v>43435</v>
      </c>
      <c r="B238" s="32">
        <v>285.60000000000002</v>
      </c>
      <c r="C238" s="26">
        <v>107.1</v>
      </c>
      <c r="D238" s="46" t="str">
        <f>IF(ISBLANK(C238),INDEX(LicenseeSelect!$AP$511:$AZ$511,MATCH(YEAR(EOMONTH(A238,15)),LicenseeSelect!$AP$510:$AZ$510,0))/100,"-")</f>
        <v>-</v>
      </c>
      <c r="E238" s="12">
        <f t="shared" si="6"/>
        <v>107.1</v>
      </c>
      <c r="F238" s="12">
        <f t="shared" si="7"/>
        <v>285.60000000000002</v>
      </c>
    </row>
    <row r="239" spans="1:6" x14ac:dyDescent="0.35">
      <c r="A239" s="2">
        <v>43466</v>
      </c>
      <c r="B239" s="32">
        <v>283</v>
      </c>
      <c r="C239" s="26">
        <v>106.4</v>
      </c>
      <c r="D239" s="46" t="str">
        <f>IF(ISBLANK(C239),INDEX(LicenseeSelect!$AP$511:$AZ$511,MATCH(YEAR(EOMONTH(A239,15)),LicenseeSelect!$AP$510:$AZ$510,0))/100,"-")</f>
        <v>-</v>
      </c>
      <c r="E239" s="12">
        <f t="shared" si="6"/>
        <v>106.4</v>
      </c>
      <c r="F239" s="12">
        <f t="shared" si="7"/>
        <v>283</v>
      </c>
    </row>
    <row r="240" spans="1:6" x14ac:dyDescent="0.35">
      <c r="A240" s="2">
        <v>43497</v>
      </c>
      <c r="B240" s="32">
        <v>285</v>
      </c>
      <c r="C240" s="26">
        <v>106.8</v>
      </c>
      <c r="D240" s="46" t="str">
        <f>IF(ISBLANK(C240),INDEX(LicenseeSelect!$AP$511:$AZ$511,MATCH(YEAR(EOMONTH(A240,15)),LicenseeSelect!$AP$510:$AZ$510,0))/100,"-")</f>
        <v>-</v>
      </c>
      <c r="E240" s="12">
        <f t="shared" si="6"/>
        <v>106.8</v>
      </c>
      <c r="F240" s="12">
        <f t="shared" si="7"/>
        <v>285</v>
      </c>
    </row>
    <row r="241" spans="1:6" x14ac:dyDescent="0.35">
      <c r="A241" s="2">
        <v>43525</v>
      </c>
      <c r="B241" s="32">
        <v>285.10000000000002</v>
      </c>
      <c r="C241" s="26">
        <v>107</v>
      </c>
      <c r="D241" s="46" t="str">
        <f>IF(ISBLANK(C241),INDEX(LicenseeSelect!$AP$511:$AZ$511,MATCH(YEAR(EOMONTH(A241,15)),LicenseeSelect!$AP$510:$AZ$510,0))/100,"-")</f>
        <v>-</v>
      </c>
      <c r="E241" s="12">
        <f t="shared" si="6"/>
        <v>107</v>
      </c>
      <c r="F241" s="12">
        <f t="shared" si="7"/>
        <v>285.10000000000002</v>
      </c>
    </row>
    <row r="242" spans="1:6" x14ac:dyDescent="0.35">
      <c r="A242" s="2">
        <v>43556</v>
      </c>
      <c r="B242" s="32">
        <v>288.2</v>
      </c>
      <c r="C242" s="26">
        <v>107.6</v>
      </c>
      <c r="D242" s="46" t="str">
        <f>IF(ISBLANK(C242),INDEX(LicenseeSelect!$AP$511:$AZ$511,MATCH(YEAR(EOMONTH(A242,15)),LicenseeSelect!$AP$510:$AZ$510,0))/100,"-")</f>
        <v>-</v>
      </c>
      <c r="E242" s="12">
        <f t="shared" si="6"/>
        <v>107.6</v>
      </c>
      <c r="F242" s="12">
        <f t="shared" si="7"/>
        <v>288.2</v>
      </c>
    </row>
    <row r="243" spans="1:6" x14ac:dyDescent="0.35">
      <c r="A243" s="2">
        <v>43586</v>
      </c>
      <c r="B243" s="32">
        <v>289.2</v>
      </c>
      <c r="C243" s="26">
        <v>107.9</v>
      </c>
      <c r="D243" s="46" t="str">
        <f>IF(ISBLANK(C243),INDEX(LicenseeSelect!$AP$511:$AZ$511,MATCH(YEAR(EOMONTH(A243,15)),LicenseeSelect!$AP$510:$AZ$510,0))/100,"-")</f>
        <v>-</v>
      </c>
      <c r="E243" s="12">
        <f t="shared" si="6"/>
        <v>107.9</v>
      </c>
      <c r="F243" s="12">
        <f t="shared" si="7"/>
        <v>289.2</v>
      </c>
    </row>
    <row r="244" spans="1:6" x14ac:dyDescent="0.35">
      <c r="A244" s="2">
        <v>43617</v>
      </c>
      <c r="B244" s="32">
        <v>289.60000000000002</v>
      </c>
      <c r="C244" s="26">
        <v>107.9</v>
      </c>
      <c r="D244" s="46" t="str">
        <f>IF(ISBLANK(C244),INDEX(LicenseeSelect!$AP$511:$AZ$511,MATCH(YEAR(EOMONTH(A244,15)),LicenseeSelect!$AP$510:$AZ$510,0))/100,"-")</f>
        <v>-</v>
      </c>
      <c r="E244" s="12">
        <f t="shared" si="6"/>
        <v>107.9</v>
      </c>
      <c r="F244" s="12">
        <f t="shared" si="7"/>
        <v>289.60000000000002</v>
      </c>
    </row>
    <row r="245" spans="1:6" x14ac:dyDescent="0.35">
      <c r="A245" s="2">
        <v>43647</v>
      </c>
      <c r="B245" s="32">
        <v>289.5</v>
      </c>
      <c r="C245" s="26">
        <v>108</v>
      </c>
      <c r="D245" s="46" t="str">
        <f>IF(ISBLANK(C245),INDEX(LicenseeSelect!$AP$511:$AZ$511,MATCH(YEAR(EOMONTH(A245,15)),LicenseeSelect!$AP$510:$AZ$510,0))/100,"-")</f>
        <v>-</v>
      </c>
      <c r="E245" s="12">
        <f t="shared" si="6"/>
        <v>108</v>
      </c>
      <c r="F245" s="12">
        <f t="shared" si="7"/>
        <v>289.5</v>
      </c>
    </row>
    <row r="246" spans="1:6" x14ac:dyDescent="0.35">
      <c r="A246" s="2">
        <v>43678</v>
      </c>
      <c r="B246" s="32">
        <v>291.7</v>
      </c>
      <c r="C246" s="26">
        <v>108.3</v>
      </c>
      <c r="D246" s="46" t="str">
        <f>IF(ISBLANK(C246),INDEX(LicenseeSelect!$AP$511:$AZ$511,MATCH(YEAR(EOMONTH(A246,15)),LicenseeSelect!$AP$510:$AZ$510,0))/100,"-")</f>
        <v>-</v>
      </c>
      <c r="E246" s="12">
        <f t="shared" si="6"/>
        <v>108.3</v>
      </c>
      <c r="F246" s="12">
        <f t="shared" si="7"/>
        <v>291.7</v>
      </c>
    </row>
    <row r="247" spans="1:6" x14ac:dyDescent="0.35">
      <c r="A247" s="2">
        <v>43709</v>
      </c>
      <c r="B247" s="32">
        <v>291</v>
      </c>
      <c r="C247" s="26">
        <v>108.4</v>
      </c>
      <c r="D247" s="46" t="str">
        <f>IF(ISBLANK(C247),INDEX(LicenseeSelect!$AP$511:$AZ$511,MATCH(YEAR(EOMONTH(A247,15)),LicenseeSelect!$AP$510:$AZ$510,0))/100,"-")</f>
        <v>-</v>
      </c>
      <c r="E247" s="12">
        <f t="shared" si="6"/>
        <v>108.4</v>
      </c>
      <c r="F247" s="12">
        <f t="shared" si="7"/>
        <v>291</v>
      </c>
    </row>
    <row r="248" spans="1:6" x14ac:dyDescent="0.35">
      <c r="A248" s="2">
        <v>43739</v>
      </c>
      <c r="B248" s="32">
        <v>290.39999999999998</v>
      </c>
      <c r="C248" s="26">
        <v>108.3</v>
      </c>
      <c r="D248" s="46" t="str">
        <f>IF(ISBLANK(C248),INDEX(LicenseeSelect!$AP$511:$AZ$511,MATCH(YEAR(EOMONTH(A248,15)),LicenseeSelect!$AP$510:$AZ$510,0))/100,"-")</f>
        <v>-</v>
      </c>
      <c r="E248" s="12">
        <f t="shared" si="6"/>
        <v>108.3</v>
      </c>
      <c r="F248" s="12">
        <f t="shared" si="7"/>
        <v>290.39999999999998</v>
      </c>
    </row>
    <row r="249" spans="1:6" x14ac:dyDescent="0.35">
      <c r="A249" s="2">
        <v>43770</v>
      </c>
      <c r="B249" s="32">
        <v>291</v>
      </c>
      <c r="C249" s="26">
        <v>108.5</v>
      </c>
      <c r="D249" s="46" t="str">
        <f>IF(ISBLANK(C249),INDEX(LicenseeSelect!$AP$511:$AZ$511,MATCH(YEAR(EOMONTH(A249,15)),LicenseeSelect!$AP$510:$AZ$510,0))/100,"-")</f>
        <v>-</v>
      </c>
      <c r="E249" s="12">
        <f t="shared" si="6"/>
        <v>108.5</v>
      </c>
      <c r="F249" s="12">
        <f t="shared" si="7"/>
        <v>291</v>
      </c>
    </row>
    <row r="250" spans="1:6" x14ac:dyDescent="0.35">
      <c r="A250" s="2">
        <v>43800</v>
      </c>
      <c r="B250" s="32">
        <v>291.89999999999998</v>
      </c>
      <c r="C250" s="26">
        <v>108.5</v>
      </c>
      <c r="D250" s="46" t="str">
        <f>IF(ISBLANK(C250),INDEX(LicenseeSelect!$AP$511:$AZ$511,MATCH(YEAR(EOMONTH(A250,15)),LicenseeSelect!$AP$510:$AZ$510,0))/100,"-")</f>
        <v>-</v>
      </c>
      <c r="E250" s="12">
        <f t="shared" si="6"/>
        <v>108.5</v>
      </c>
      <c r="F250" s="12">
        <f t="shared" si="7"/>
        <v>291.89999999999998</v>
      </c>
    </row>
    <row r="251" spans="1:6" x14ac:dyDescent="0.35">
      <c r="A251" s="2">
        <v>43831</v>
      </c>
      <c r="B251" s="32">
        <v>290.60000000000002</v>
      </c>
      <c r="C251" s="26">
        <v>108.3</v>
      </c>
      <c r="D251" s="46" t="str">
        <f>IF(ISBLANK(C251),INDEX(LicenseeSelect!$AP$511:$AZ$511,MATCH(YEAR(EOMONTH(A251,15)),LicenseeSelect!$AP$510:$AZ$510,0))/100,"-")</f>
        <v>-</v>
      </c>
      <c r="E251" s="12">
        <f t="shared" si="6"/>
        <v>108.3</v>
      </c>
      <c r="F251" s="12">
        <f t="shared" si="7"/>
        <v>290.60000000000002</v>
      </c>
    </row>
    <row r="252" spans="1:6" x14ac:dyDescent="0.35">
      <c r="A252" s="2">
        <v>43862</v>
      </c>
      <c r="B252" s="32">
        <v>292</v>
      </c>
      <c r="C252" s="26">
        <v>108.6</v>
      </c>
      <c r="D252" s="46" t="str">
        <f>IF(ISBLANK(C252),INDEX(LicenseeSelect!$AP$511:$AZ$511,MATCH(YEAR(EOMONTH(A252,15)),LicenseeSelect!$AP$510:$AZ$510,0))/100,"-")</f>
        <v>-</v>
      </c>
      <c r="E252" s="12">
        <f t="shared" si="6"/>
        <v>108.6</v>
      </c>
      <c r="F252" s="12">
        <f t="shared" si="7"/>
        <v>292</v>
      </c>
    </row>
    <row r="253" spans="1:6" x14ac:dyDescent="0.35">
      <c r="A253" s="2">
        <v>43891</v>
      </c>
      <c r="B253" s="32">
        <v>292.60000000000002</v>
      </c>
      <c r="C253" s="26">
        <v>108.6</v>
      </c>
      <c r="D253" s="46" t="str">
        <f>IF(ISBLANK(C253),INDEX(LicenseeSelect!$AP$511:$AZ$511,MATCH(YEAR(EOMONTH(A253,15)),LicenseeSelect!$AP$510:$AZ$510,0))/100,"-")</f>
        <v>-</v>
      </c>
      <c r="E253" s="12">
        <f t="shared" si="6"/>
        <v>108.6</v>
      </c>
      <c r="F253" s="12">
        <f t="shared" si="7"/>
        <v>292.60000000000002</v>
      </c>
    </row>
    <row r="254" spans="1:6" x14ac:dyDescent="0.35">
      <c r="A254" s="2">
        <v>43922</v>
      </c>
      <c r="B254" s="32">
        <v>292.60000000000002</v>
      </c>
      <c r="C254" s="26">
        <v>108.6</v>
      </c>
      <c r="D254" s="46" t="str">
        <f>IF(ISBLANK(C254),INDEX(LicenseeSelect!$AP$511:$AZ$511,MATCH(YEAR(EOMONTH(A254,15)),LicenseeSelect!$AP$510:$AZ$510,0))/100,"-")</f>
        <v>-</v>
      </c>
      <c r="E254" s="12">
        <f t="shared" si="6"/>
        <v>108.6</v>
      </c>
      <c r="F254" s="12">
        <f t="shared" si="7"/>
        <v>292.60000000000002</v>
      </c>
    </row>
    <row r="255" spans="1:6" x14ac:dyDescent="0.35">
      <c r="A255" s="2">
        <v>43952</v>
      </c>
      <c r="B255" s="32">
        <v>292.2</v>
      </c>
      <c r="C255" s="26">
        <v>108.6</v>
      </c>
      <c r="D255" s="46" t="str">
        <f>IF(ISBLANK(C255),INDEX(LicenseeSelect!$AP$511:$AZ$511,MATCH(YEAR(EOMONTH(A255,15)),LicenseeSelect!$AP$510:$AZ$510,0))/100,"-")</f>
        <v>-</v>
      </c>
      <c r="E255" s="12">
        <f t="shared" si="6"/>
        <v>108.6</v>
      </c>
      <c r="F255" s="12">
        <f t="shared" si="7"/>
        <v>292.2</v>
      </c>
    </row>
    <row r="256" spans="1:6" x14ac:dyDescent="0.35">
      <c r="A256" s="2">
        <v>43983</v>
      </c>
      <c r="B256" s="32">
        <v>292.7</v>
      </c>
      <c r="C256" s="26">
        <v>108.8</v>
      </c>
      <c r="D256" s="46" t="str">
        <f>IF(ISBLANK(C256),INDEX(LicenseeSelect!$AP$511:$AZ$511,MATCH(YEAR(EOMONTH(A256,15)),LicenseeSelect!$AP$510:$AZ$510,0))/100,"-")</f>
        <v>-</v>
      </c>
      <c r="E256" s="12">
        <f t="shared" si="6"/>
        <v>108.8</v>
      </c>
      <c r="F256" s="12">
        <f t="shared" si="7"/>
        <v>292.7</v>
      </c>
    </row>
    <row r="257" spans="1:6" x14ac:dyDescent="0.35">
      <c r="A257" s="2">
        <v>44013</v>
      </c>
      <c r="B257" s="32">
        <v>294.2</v>
      </c>
      <c r="C257" s="26">
        <v>109.2</v>
      </c>
      <c r="D257" s="46" t="str">
        <f>IF(ISBLANK(C257),INDEX(LicenseeSelect!$AP$511:$AZ$511,MATCH(YEAR(EOMONTH(A257,15)),LicenseeSelect!$AP$510:$AZ$510,0))/100,"-")</f>
        <v>-</v>
      </c>
      <c r="E257" s="12">
        <f t="shared" si="6"/>
        <v>109.2</v>
      </c>
      <c r="F257" s="12">
        <f t="shared" si="7"/>
        <v>294.2</v>
      </c>
    </row>
    <row r="258" spans="1:6" x14ac:dyDescent="0.35">
      <c r="A258" s="2">
        <v>44044</v>
      </c>
      <c r="B258" s="32">
        <v>293.3</v>
      </c>
      <c r="C258" s="26">
        <v>108.8</v>
      </c>
      <c r="D258" s="46" t="str">
        <f>IF(ISBLANK(C258),INDEX(LicenseeSelect!$AP$511:$AZ$511,MATCH(YEAR(EOMONTH(A258,15)),LicenseeSelect!$AP$510:$AZ$510,0))/100,"-")</f>
        <v>-</v>
      </c>
      <c r="E258" s="12">
        <f t="shared" si="6"/>
        <v>108.8</v>
      </c>
      <c r="F258" s="12">
        <f t="shared" si="7"/>
        <v>293.3</v>
      </c>
    </row>
    <row r="259" spans="1:6" x14ac:dyDescent="0.35">
      <c r="A259" s="2">
        <v>44075</v>
      </c>
      <c r="B259" s="32">
        <v>294.3</v>
      </c>
      <c r="C259" s="26">
        <v>109.2</v>
      </c>
      <c r="D259" s="46" t="str">
        <f>IF(ISBLANK(C259),INDEX(LicenseeSelect!$AP$511:$AZ$511,MATCH(YEAR(EOMONTH(A259,15)),LicenseeSelect!$AP$510:$AZ$510,0))/100,"-")</f>
        <v>-</v>
      </c>
      <c r="E259" s="12">
        <f t="shared" ref="E259:E322" si="8">IF(ISBLANK(C259),E258*((1+D259)^(1/12)),C259)</f>
        <v>109.2</v>
      </c>
      <c r="F259" s="12">
        <f t="shared" ref="F259:F322" si="9">IF(ISBLANK(B259),F258*(E259/E258),B259)</f>
        <v>294.3</v>
      </c>
    </row>
    <row r="260" spans="1:6" x14ac:dyDescent="0.35">
      <c r="A260" s="2">
        <v>44105</v>
      </c>
      <c r="B260" s="32">
        <v>294.3</v>
      </c>
      <c r="C260" s="26">
        <v>109.2</v>
      </c>
      <c r="D260" s="46" t="str">
        <f>IF(ISBLANK(C260),INDEX(LicenseeSelect!$AP$511:$AZ$511,MATCH(YEAR(EOMONTH(A260,15)),LicenseeSelect!$AP$510:$AZ$510,0))/100,"-")</f>
        <v>-</v>
      </c>
      <c r="E260" s="12">
        <f t="shared" si="8"/>
        <v>109.2</v>
      </c>
      <c r="F260" s="12">
        <f t="shared" si="9"/>
        <v>294.3</v>
      </c>
    </row>
    <row r="261" spans="1:6" x14ac:dyDescent="0.35">
      <c r="A261" s="2">
        <v>44136</v>
      </c>
      <c r="B261" s="32">
        <v>293.5</v>
      </c>
      <c r="C261" s="26">
        <v>109.1</v>
      </c>
      <c r="D261" s="46" t="str">
        <f>IF(ISBLANK(C261),INDEX(LicenseeSelect!$AP$511:$AZ$511,MATCH(YEAR(EOMONTH(A261,15)),LicenseeSelect!$AP$510:$AZ$510,0))/100,"-")</f>
        <v>-</v>
      </c>
      <c r="E261" s="12">
        <f t="shared" si="8"/>
        <v>109.1</v>
      </c>
      <c r="F261" s="12">
        <f t="shared" si="9"/>
        <v>293.5</v>
      </c>
    </row>
    <row r="262" spans="1:6" x14ac:dyDescent="0.35">
      <c r="A262" s="2">
        <v>44166</v>
      </c>
      <c r="B262" s="32">
        <v>295.39999999999998</v>
      </c>
      <c r="C262" s="26">
        <v>109.4</v>
      </c>
      <c r="D262" s="46" t="str">
        <f>IF(ISBLANK(C262),INDEX(LicenseeSelect!$AP$511:$AZ$511,MATCH(YEAR(EOMONTH(A262,15)),LicenseeSelect!$AP$510:$AZ$510,0))/100,"-")</f>
        <v>-</v>
      </c>
      <c r="E262" s="12">
        <f t="shared" si="8"/>
        <v>109.4</v>
      </c>
      <c r="F262" s="12">
        <f t="shared" si="9"/>
        <v>295.39999999999998</v>
      </c>
    </row>
    <row r="263" spans="1:6" x14ac:dyDescent="0.35">
      <c r="A263" s="2">
        <v>44197</v>
      </c>
      <c r="B263" s="32">
        <v>294.60000000000002</v>
      </c>
      <c r="C263" s="26">
        <v>109.3</v>
      </c>
      <c r="D263" s="46" t="str">
        <f>IF(ISBLANK(C263),INDEX(LicenseeSelect!$AP$511:$AZ$511,MATCH(YEAR(EOMONTH(A263,15)),LicenseeSelect!$AP$510:$AZ$510,0))/100,"-")</f>
        <v>-</v>
      </c>
      <c r="E263" s="12">
        <f t="shared" si="8"/>
        <v>109.3</v>
      </c>
      <c r="F263" s="12">
        <f t="shared" si="9"/>
        <v>294.60000000000002</v>
      </c>
    </row>
    <row r="264" spans="1:6" x14ac:dyDescent="0.35">
      <c r="A264" s="2">
        <v>44228</v>
      </c>
      <c r="B264" s="32">
        <v>296</v>
      </c>
      <c r="C264" s="26">
        <v>109.4</v>
      </c>
      <c r="D264" s="46" t="str">
        <f>IF(ISBLANK(C264),INDEX(LicenseeSelect!$AP$511:$AZ$511,MATCH(YEAR(EOMONTH(A264,15)),LicenseeSelect!$AP$510:$AZ$510,0))/100,"-")</f>
        <v>-</v>
      </c>
      <c r="E264" s="12">
        <f t="shared" si="8"/>
        <v>109.4</v>
      </c>
      <c r="F264" s="12">
        <f t="shared" si="9"/>
        <v>296</v>
      </c>
    </row>
    <row r="265" spans="1:6" x14ac:dyDescent="0.35">
      <c r="A265" s="2">
        <v>44256</v>
      </c>
      <c r="B265" s="32">
        <v>296.89999999999998</v>
      </c>
      <c r="C265" s="26">
        <v>109.7</v>
      </c>
      <c r="D265" s="46" t="str">
        <f>IF(ISBLANK(C265),INDEX(LicenseeSelect!$AP$511:$AZ$511,MATCH(YEAR(EOMONTH(A265,15)),LicenseeSelect!$AP$510:$AZ$510,0))/100,"-")</f>
        <v>-</v>
      </c>
      <c r="E265" s="12">
        <f t="shared" si="8"/>
        <v>109.7</v>
      </c>
      <c r="F265" s="12">
        <f t="shared" si="9"/>
        <v>296.89999999999998</v>
      </c>
    </row>
    <row r="266" spans="1:6" x14ac:dyDescent="0.35">
      <c r="A266" s="2">
        <v>44287</v>
      </c>
      <c r="B266" s="32">
        <v>299.94726526891526</v>
      </c>
      <c r="C266" s="26">
        <v>110.4</v>
      </c>
      <c r="D266" s="46" t="str">
        <f>IF(ISBLANK(C266),INDEX(LicenseeSelect!$AP$511:$AZ$511,MATCH(YEAR(EOMONTH(A266,15)),LicenseeSelect!$AP$510:$AZ$510,0))/100,"-")</f>
        <v>-</v>
      </c>
      <c r="E266" s="12">
        <f t="shared" si="8"/>
        <v>110.4</v>
      </c>
      <c r="F266" s="12">
        <f t="shared" si="9"/>
        <v>299.94726526891526</v>
      </c>
    </row>
    <row r="267" spans="1:6" x14ac:dyDescent="0.35">
      <c r="A267" s="2">
        <v>44317</v>
      </c>
      <c r="C267" s="26">
        <v>111</v>
      </c>
      <c r="D267" s="46" t="str">
        <f>IF(ISBLANK(C267),INDEX(LicenseeSelect!$AP$511:$AZ$511,MATCH(YEAR(EOMONTH(A267,15)),LicenseeSelect!$AP$510:$AZ$510,0))/100,"-")</f>
        <v>-</v>
      </c>
      <c r="E267" s="12">
        <f t="shared" si="8"/>
        <v>111</v>
      </c>
      <c r="F267" s="12">
        <f t="shared" si="9"/>
        <v>301.57741344972453</v>
      </c>
    </row>
    <row r="268" spans="1:6" x14ac:dyDescent="0.35">
      <c r="A268" s="2">
        <v>44348</v>
      </c>
      <c r="C268" s="26">
        <v>111.4</v>
      </c>
      <c r="D268" s="46" t="str">
        <f>IF(ISBLANK(C268),INDEX(LicenseeSelect!$AP$511:$AZ$511,MATCH(YEAR(EOMONTH(A268,15)),LicenseeSelect!$AP$510:$AZ$510,0))/100,"-")</f>
        <v>-</v>
      </c>
      <c r="E268" s="12">
        <f t="shared" si="8"/>
        <v>111.4</v>
      </c>
      <c r="F268" s="12">
        <f t="shared" si="9"/>
        <v>302.66417890359742</v>
      </c>
    </row>
    <row r="269" spans="1:6" x14ac:dyDescent="0.35">
      <c r="A269" s="2">
        <v>44378</v>
      </c>
      <c r="C269" s="26">
        <v>111.4</v>
      </c>
      <c r="D269" s="46" t="str">
        <f>IF(ISBLANK(C269),INDEX(LicenseeSelect!$AP$511:$AZ$511,MATCH(YEAR(EOMONTH(A269,15)),LicenseeSelect!$AP$510:$AZ$510,0))/100,"-")</f>
        <v>-</v>
      </c>
      <c r="E269" s="12">
        <f t="shared" si="8"/>
        <v>111.4</v>
      </c>
      <c r="F269" s="12">
        <f t="shared" si="9"/>
        <v>302.66417890359742</v>
      </c>
    </row>
    <row r="270" spans="1:6" x14ac:dyDescent="0.35">
      <c r="A270" s="2">
        <v>44409</v>
      </c>
      <c r="C270" s="26">
        <v>112.1</v>
      </c>
      <c r="D270" s="46" t="str">
        <f>IF(ISBLANK(C270),INDEX(LicenseeSelect!$AP$511:$AZ$511,MATCH(YEAR(EOMONTH(A270,15)),LicenseeSelect!$AP$510:$AZ$510,0))/100,"-")</f>
        <v>-</v>
      </c>
      <c r="E270" s="12">
        <f t="shared" si="8"/>
        <v>112.1</v>
      </c>
      <c r="F270" s="12">
        <f t="shared" si="9"/>
        <v>304.56601844787491</v>
      </c>
    </row>
    <row r="271" spans="1:6" x14ac:dyDescent="0.35">
      <c r="A271" s="2">
        <v>44440</v>
      </c>
      <c r="C271" s="26">
        <v>112.4</v>
      </c>
      <c r="D271" s="46" t="str">
        <f>IF(ISBLANK(C271),INDEX(LicenseeSelect!$AP$511:$AZ$511,MATCH(YEAR(EOMONTH(A271,15)),LicenseeSelect!$AP$510:$AZ$510,0))/100,"-")</f>
        <v>-</v>
      </c>
      <c r="E271" s="12">
        <f t="shared" si="8"/>
        <v>112.4</v>
      </c>
      <c r="F271" s="12">
        <f t="shared" si="9"/>
        <v>305.38109253827957</v>
      </c>
    </row>
    <row r="272" spans="1:6" x14ac:dyDescent="0.35">
      <c r="A272" s="2">
        <v>44470</v>
      </c>
      <c r="C272" s="26">
        <v>113.4</v>
      </c>
      <c r="D272" s="46" t="str">
        <f>IF(ISBLANK(C272),INDEX(LicenseeSelect!$AP$511:$AZ$511,MATCH(YEAR(EOMONTH(A272,15)),LicenseeSelect!$AP$510:$AZ$510,0))/100,"-")</f>
        <v>-</v>
      </c>
      <c r="E272" s="12">
        <f t="shared" si="8"/>
        <v>113.4</v>
      </c>
      <c r="F272" s="12">
        <f t="shared" si="9"/>
        <v>308.09800617296179</v>
      </c>
    </row>
    <row r="273" spans="1:6" x14ac:dyDescent="0.35">
      <c r="A273" s="2">
        <v>44501</v>
      </c>
      <c r="C273" s="26">
        <v>114.1</v>
      </c>
      <c r="D273" s="46" t="str">
        <f>IF(ISBLANK(C273),INDEX(LicenseeSelect!$AP$511:$AZ$511,MATCH(YEAR(EOMONTH(A273,15)),LicenseeSelect!$AP$510:$AZ$510,0))/100,"-")</f>
        <v>-</v>
      </c>
      <c r="E273" s="12">
        <f t="shared" si="8"/>
        <v>114.1</v>
      </c>
      <c r="F273" s="12">
        <f t="shared" si="9"/>
        <v>309.99984571723928</v>
      </c>
    </row>
    <row r="274" spans="1:6" x14ac:dyDescent="0.35">
      <c r="A274" s="2">
        <v>44531</v>
      </c>
      <c r="C274" s="26">
        <v>114.7</v>
      </c>
      <c r="D274" s="46" t="str">
        <f>IF(ISBLANK(C274),INDEX(LicenseeSelect!$AP$511:$AZ$511,MATCH(YEAR(EOMONTH(A274,15)),LicenseeSelect!$AP$510:$AZ$510,0))/100,"-")</f>
        <v>-</v>
      </c>
      <c r="E274" s="12">
        <f t="shared" si="8"/>
        <v>114.7</v>
      </c>
      <c r="F274" s="12">
        <f t="shared" si="9"/>
        <v>311.62999389804861</v>
      </c>
    </row>
    <row r="275" spans="1:6" x14ac:dyDescent="0.35">
      <c r="A275" s="2">
        <v>44562</v>
      </c>
      <c r="C275" s="26">
        <v>114.6</v>
      </c>
      <c r="D275" s="46" t="str">
        <f>IF(ISBLANK(C275),INDEX(LicenseeSelect!$AP$511:$AZ$511,MATCH(YEAR(EOMONTH(A275,15)),LicenseeSelect!$AP$510:$AZ$510,0))/100,"-")</f>
        <v>-</v>
      </c>
      <c r="E275" s="12">
        <f t="shared" si="8"/>
        <v>114.6</v>
      </c>
      <c r="F275" s="12">
        <f t="shared" si="9"/>
        <v>311.35830253458039</v>
      </c>
    </row>
    <row r="276" spans="1:6" x14ac:dyDescent="0.35">
      <c r="A276" s="2">
        <v>44593</v>
      </c>
      <c r="C276" s="26">
        <v>115.4</v>
      </c>
      <c r="D276" s="46" t="str">
        <f>IF(ISBLANK(C276),INDEX(LicenseeSelect!$AP$511:$AZ$511,MATCH(YEAR(EOMONTH(A276,15)),LicenseeSelect!$AP$510:$AZ$510,0))/100,"-")</f>
        <v>-</v>
      </c>
      <c r="E276" s="12">
        <f t="shared" si="8"/>
        <v>115.4</v>
      </c>
      <c r="F276" s="12">
        <f t="shared" si="9"/>
        <v>313.53183344232622</v>
      </c>
    </row>
    <row r="277" spans="1:6" x14ac:dyDescent="0.35">
      <c r="A277" s="2">
        <v>44621</v>
      </c>
      <c r="C277" s="26">
        <v>116.5</v>
      </c>
      <c r="D277" s="46" t="str">
        <f>IF(ISBLANK(C277),INDEX(LicenseeSelect!$AP$511:$AZ$511,MATCH(YEAR(EOMONTH(A277,15)),LicenseeSelect!$AP$510:$AZ$510,0))/100,"-")</f>
        <v>-</v>
      </c>
      <c r="E277" s="12">
        <f t="shared" si="8"/>
        <v>116.5</v>
      </c>
      <c r="F277" s="12">
        <f t="shared" si="9"/>
        <v>316.5204384404766</v>
      </c>
    </row>
    <row r="278" spans="1:6" x14ac:dyDescent="0.35">
      <c r="A278" s="2">
        <v>44652</v>
      </c>
      <c r="C278" s="26">
        <v>119</v>
      </c>
      <c r="D278" s="46" t="str">
        <f>IF(ISBLANK(C278),INDEX(LicenseeSelect!$AP$511:$AZ$511,MATCH(YEAR(EOMONTH(A278,15)),LicenseeSelect!$AP$510:$AZ$510,0))/100,"-")</f>
        <v>-</v>
      </c>
      <c r="E278" s="12">
        <f t="shared" si="8"/>
        <v>119</v>
      </c>
      <c r="F278" s="12">
        <f t="shared" si="9"/>
        <v>323.31272252718207</v>
      </c>
    </row>
    <row r="279" spans="1:6" x14ac:dyDescent="0.35">
      <c r="A279" s="2">
        <v>44682</v>
      </c>
      <c r="C279" s="26">
        <v>119.7</v>
      </c>
      <c r="D279" s="46" t="str">
        <f>IF(ISBLANK(C279),INDEX(LicenseeSelect!$AP$511:$AZ$511,MATCH(YEAR(EOMONTH(A279,15)),LicenseeSelect!$AP$510:$AZ$510,0))/100,"-")</f>
        <v>-</v>
      </c>
      <c r="E279" s="12">
        <f t="shared" si="8"/>
        <v>119.7</v>
      </c>
      <c r="F279" s="12">
        <f t="shared" si="9"/>
        <v>325.21456207145962</v>
      </c>
    </row>
    <row r="280" spans="1:6" x14ac:dyDescent="0.35">
      <c r="A280" s="2">
        <v>44713</v>
      </c>
      <c r="C280" s="26">
        <v>120.5</v>
      </c>
      <c r="D280" s="46" t="str">
        <f>IF(ISBLANK(C280),INDEX(LicenseeSelect!$AP$511:$AZ$511,MATCH(YEAR(EOMONTH(A280,15)),LicenseeSelect!$AP$510:$AZ$510,0))/100,"-")</f>
        <v>-</v>
      </c>
      <c r="E280" s="12">
        <f t="shared" si="8"/>
        <v>120.5</v>
      </c>
      <c r="F280" s="12">
        <f t="shared" si="9"/>
        <v>327.3880929792054</v>
      </c>
    </row>
    <row r="281" spans="1:6" x14ac:dyDescent="0.35">
      <c r="A281" s="2">
        <v>44743</v>
      </c>
      <c r="C281" s="26">
        <v>121.2</v>
      </c>
      <c r="D281" s="46" t="str">
        <f>IF(ISBLANK(C281),INDEX(LicenseeSelect!$AP$511:$AZ$511,MATCH(YEAR(EOMONTH(A281,15)),LicenseeSelect!$AP$510:$AZ$510,0))/100,"-")</f>
        <v>-</v>
      </c>
      <c r="E281" s="12">
        <f t="shared" si="8"/>
        <v>121.2</v>
      </c>
      <c r="F281" s="12">
        <f t="shared" si="9"/>
        <v>329.28993252348295</v>
      </c>
    </row>
    <row r="282" spans="1:6" x14ac:dyDescent="0.35">
      <c r="A282" s="2">
        <v>44774</v>
      </c>
      <c r="C282" s="26">
        <v>121.8</v>
      </c>
      <c r="D282" s="46" t="str">
        <f>IF(ISBLANK(C282),INDEX(LicenseeSelect!$AP$511:$AZ$511,MATCH(YEAR(EOMONTH(A282,15)),LicenseeSelect!$AP$510:$AZ$510,0))/100,"-")</f>
        <v>-</v>
      </c>
      <c r="E282" s="12">
        <f t="shared" si="8"/>
        <v>121.8</v>
      </c>
      <c r="F282" s="12">
        <f t="shared" si="9"/>
        <v>330.92008070429227</v>
      </c>
    </row>
    <row r="283" spans="1:6" x14ac:dyDescent="0.35">
      <c r="A283" s="2">
        <v>44805</v>
      </c>
      <c r="C283" s="26">
        <v>122.3</v>
      </c>
      <c r="D283" s="46" t="str">
        <f>IF(ISBLANK(C283),INDEX(LicenseeSelect!$AP$511:$AZ$511,MATCH(YEAR(EOMONTH(A283,15)),LicenseeSelect!$AP$510:$AZ$510,0))/100,"-")</f>
        <v>-</v>
      </c>
      <c r="E283" s="12">
        <f t="shared" si="8"/>
        <v>122.3</v>
      </c>
      <c r="F283" s="12">
        <f t="shared" si="9"/>
        <v>332.27853752163338</v>
      </c>
    </row>
    <row r="284" spans="1:6" x14ac:dyDescent="0.35">
      <c r="A284" s="2">
        <v>44835</v>
      </c>
      <c r="C284" s="26">
        <v>124.3</v>
      </c>
      <c r="D284" s="46" t="str">
        <f>IF(ISBLANK(C284),INDEX(LicenseeSelect!$AP$511:$AZ$511,MATCH(YEAR(EOMONTH(A284,15)),LicenseeSelect!$AP$510:$AZ$510,0))/100,"-")</f>
        <v>-</v>
      </c>
      <c r="E284" s="12">
        <f t="shared" si="8"/>
        <v>124.3</v>
      </c>
      <c r="F284" s="12">
        <f t="shared" si="9"/>
        <v>337.71236479099775</v>
      </c>
    </row>
    <row r="285" spans="1:6" x14ac:dyDescent="0.35">
      <c r="A285" s="2">
        <v>44866</v>
      </c>
      <c r="C285" s="26">
        <v>124.8</v>
      </c>
      <c r="D285" s="46" t="str">
        <f>IF(ISBLANK(C285),INDEX(LicenseeSelect!$AP$511:$AZ$511,MATCH(YEAR(EOMONTH(A285,15)),LicenseeSelect!$AP$510:$AZ$510,0))/100,"-")</f>
        <v>-</v>
      </c>
      <c r="E285" s="12">
        <f t="shared" si="8"/>
        <v>124.8</v>
      </c>
      <c r="F285" s="12">
        <f t="shared" si="9"/>
        <v>339.07082160833886</v>
      </c>
    </row>
    <row r="286" spans="1:6" x14ac:dyDescent="0.35">
      <c r="A286" s="2">
        <v>44896</v>
      </c>
      <c r="C286" s="26">
        <v>125.3</v>
      </c>
      <c r="D286" s="46" t="str">
        <f>IF(ISBLANK(C286),INDEX(LicenseeSelect!$AP$511:$AZ$511,MATCH(YEAR(EOMONTH(A286,15)),LicenseeSelect!$AP$510:$AZ$510,0))/100,"-")</f>
        <v>-</v>
      </c>
      <c r="E286" s="12">
        <f t="shared" si="8"/>
        <v>125.3</v>
      </c>
      <c r="F286" s="12">
        <f t="shared" si="9"/>
        <v>340.42927842567997</v>
      </c>
    </row>
    <row r="287" spans="1:6" x14ac:dyDescent="0.35">
      <c r="A287" s="2">
        <v>44927</v>
      </c>
      <c r="C287" s="26">
        <v>124.8</v>
      </c>
      <c r="D287" s="46" t="str">
        <f>IF(ISBLANK(C287),INDEX(LicenseeSelect!$AP$511:$AZ$511,MATCH(YEAR(EOMONTH(A287,15)),LicenseeSelect!$AP$510:$AZ$510,0))/100,"-")</f>
        <v>-</v>
      </c>
      <c r="E287" s="12">
        <f t="shared" si="8"/>
        <v>124.8</v>
      </c>
      <c r="F287" s="12">
        <f t="shared" si="9"/>
        <v>339.07082160833886</v>
      </c>
    </row>
    <row r="288" spans="1:6" x14ac:dyDescent="0.35">
      <c r="A288" s="2">
        <v>44958</v>
      </c>
      <c r="C288" s="26">
        <v>126</v>
      </c>
      <c r="D288" s="46" t="str">
        <f>IF(ISBLANK(C288),INDEX(LicenseeSelect!$AP$511:$AZ$511,MATCH(YEAR(EOMONTH(A288,15)),LicenseeSelect!$AP$510:$AZ$510,0))/100,"-")</f>
        <v>-</v>
      </c>
      <c r="E288" s="12">
        <f t="shared" si="8"/>
        <v>126</v>
      </c>
      <c r="F288" s="12">
        <f t="shared" si="9"/>
        <v>342.33111796995752</v>
      </c>
    </row>
    <row r="289" spans="1:6" x14ac:dyDescent="0.35">
      <c r="A289" s="2">
        <v>44986</v>
      </c>
      <c r="C289" s="26">
        <v>126.8</v>
      </c>
      <c r="D289" s="46" t="str">
        <f>IF(ISBLANK(C289),INDEX(LicenseeSelect!$AP$511:$AZ$511,MATCH(YEAR(EOMONTH(A289,15)),LicenseeSelect!$AP$510:$AZ$510,0))/100,"-")</f>
        <v>-</v>
      </c>
      <c r="E289" s="12">
        <f t="shared" si="8"/>
        <v>126.8</v>
      </c>
      <c r="F289" s="12">
        <f t="shared" si="9"/>
        <v>344.50464887770329</v>
      </c>
    </row>
    <row r="290" spans="1:6" x14ac:dyDescent="0.35">
      <c r="A290" s="2">
        <v>45017</v>
      </c>
      <c r="C290" s="26">
        <v>128.30000000000001</v>
      </c>
      <c r="D290" s="46" t="str">
        <f>IF(ISBLANK(C290),INDEX(LicenseeSelect!$AP$511:$AZ$511,MATCH(YEAR(EOMONTH(A290,15)),LicenseeSelect!$AP$510:$AZ$510,0))/100,"-")</f>
        <v>-</v>
      </c>
      <c r="E290" s="12">
        <f t="shared" si="8"/>
        <v>128.30000000000001</v>
      </c>
      <c r="F290" s="12">
        <f t="shared" si="9"/>
        <v>348.58001932972667</v>
      </c>
    </row>
    <row r="291" spans="1:6" x14ac:dyDescent="0.35">
      <c r="A291" s="2">
        <v>45047</v>
      </c>
      <c r="C291" s="26">
        <v>129.1</v>
      </c>
      <c r="D291" s="46" t="str">
        <f>IF(ISBLANK(C291),INDEX(LicenseeSelect!$AP$511:$AZ$511,MATCH(YEAR(EOMONTH(A291,15)),LicenseeSelect!$AP$510:$AZ$510,0))/100,"-")</f>
        <v>-</v>
      </c>
      <c r="E291" s="12">
        <f t="shared" si="8"/>
        <v>129.1</v>
      </c>
      <c r="F291" s="12">
        <f t="shared" si="9"/>
        <v>350.75355023747244</v>
      </c>
    </row>
    <row r="292" spans="1:6" x14ac:dyDescent="0.35">
      <c r="A292" s="2">
        <v>45078</v>
      </c>
      <c r="C292" s="26">
        <v>129.4</v>
      </c>
      <c r="D292" s="46" t="str">
        <f>IF(ISBLANK(C292),INDEX(LicenseeSelect!$AP$511:$AZ$511,MATCH(YEAR(EOMONTH(A292,15)),LicenseeSelect!$AP$510:$AZ$510,0))/100,"-")</f>
        <v>-</v>
      </c>
      <c r="E292" s="12">
        <f t="shared" si="8"/>
        <v>129.4</v>
      </c>
      <c r="F292" s="12">
        <f t="shared" si="9"/>
        <v>351.56862432787716</v>
      </c>
    </row>
    <row r="293" spans="1:6" x14ac:dyDescent="0.35">
      <c r="A293" s="2">
        <v>45108</v>
      </c>
      <c r="C293" s="26">
        <v>129</v>
      </c>
      <c r="D293" s="46" t="str">
        <f>IF(ISBLANK(C293),INDEX(LicenseeSelect!$AP$511:$AZ$511,MATCH(YEAR(EOMONTH(A293,15)),LicenseeSelect!$AP$510:$AZ$510,0))/100,"-")</f>
        <v>-</v>
      </c>
      <c r="E293" s="12">
        <f t="shared" si="8"/>
        <v>129</v>
      </c>
      <c r="F293" s="12">
        <f t="shared" si="9"/>
        <v>350.48185887400427</v>
      </c>
    </row>
    <row r="294" spans="1:6" x14ac:dyDescent="0.35">
      <c r="A294" s="2">
        <v>45139</v>
      </c>
      <c r="C294" s="26">
        <v>129.4</v>
      </c>
      <c r="D294" s="46" t="str">
        <f>IF(ISBLANK(C294),INDEX(LicenseeSelect!$AP$511:$AZ$511,MATCH(YEAR(EOMONTH(A294,15)),LicenseeSelect!$AP$510:$AZ$510,0))/100,"-")</f>
        <v>-</v>
      </c>
      <c r="E294" s="12">
        <f t="shared" si="8"/>
        <v>129.4</v>
      </c>
      <c r="F294" s="12">
        <f t="shared" si="9"/>
        <v>351.56862432787722</v>
      </c>
    </row>
    <row r="295" spans="1:6" x14ac:dyDescent="0.35">
      <c r="A295" s="2">
        <v>45170</v>
      </c>
      <c r="C295" s="26">
        <v>130.1</v>
      </c>
      <c r="D295" s="46" t="str">
        <f>IF(ISBLANK(C295),INDEX(LicenseeSelect!$AP$511:$AZ$511,MATCH(YEAR(EOMONTH(A295,15)),LicenseeSelect!$AP$510:$AZ$510,0))/100,"-")</f>
        <v>-</v>
      </c>
      <c r="E295" s="12">
        <f t="shared" si="8"/>
        <v>130.1</v>
      </c>
      <c r="F295" s="12">
        <f t="shared" si="9"/>
        <v>353.47046387215471</v>
      </c>
    </row>
    <row r="296" spans="1:6" x14ac:dyDescent="0.35">
      <c r="A296" s="2">
        <v>45200</v>
      </c>
      <c r="C296" s="26">
        <v>130.19999999999999</v>
      </c>
      <c r="D296" s="46" t="str">
        <f>IF(ISBLANK(C296),INDEX(LicenseeSelect!$AP$511:$AZ$511,MATCH(YEAR(EOMONTH(A296,15)),LicenseeSelect!$AP$510:$AZ$510,0))/100,"-")</f>
        <v>-</v>
      </c>
      <c r="E296" s="12">
        <f t="shared" si="8"/>
        <v>130.19999999999999</v>
      </c>
      <c r="F296" s="12">
        <f t="shared" si="9"/>
        <v>353.74215523562287</v>
      </c>
    </row>
    <row r="297" spans="1:6" x14ac:dyDescent="0.35">
      <c r="A297" s="2">
        <v>45231</v>
      </c>
      <c r="C297" s="26">
        <v>130</v>
      </c>
      <c r="D297" s="46" t="str">
        <f>IF(ISBLANK(C297),INDEX(LicenseeSelect!$AP$511:$AZ$511,MATCH(YEAR(EOMONTH(A297,15)),LicenseeSelect!$AP$510:$AZ$510,0))/100,"-")</f>
        <v>-</v>
      </c>
      <c r="E297" s="12">
        <f t="shared" si="8"/>
        <v>130</v>
      </c>
      <c r="F297" s="12">
        <f t="shared" si="9"/>
        <v>353.19877250868649</v>
      </c>
    </row>
    <row r="298" spans="1:6" x14ac:dyDescent="0.35">
      <c r="A298" s="2">
        <v>45261</v>
      </c>
      <c r="C298" s="26">
        <v>130.5</v>
      </c>
      <c r="D298" s="46" t="str">
        <f>IF(ISBLANK(C298),INDEX(LicenseeSelect!$AP$511:$AZ$511,MATCH(YEAR(EOMONTH(A298,15)),LicenseeSelect!$AP$510:$AZ$510,0))/100,"-")</f>
        <v>-</v>
      </c>
      <c r="E298" s="12">
        <f t="shared" si="8"/>
        <v>130.5</v>
      </c>
      <c r="F298" s="12">
        <f t="shared" si="9"/>
        <v>354.5572293260276</v>
      </c>
    </row>
    <row r="299" spans="1:6" x14ac:dyDescent="0.35">
      <c r="A299" s="2">
        <v>45292</v>
      </c>
      <c r="C299" s="26">
        <v>130</v>
      </c>
      <c r="D299" s="46" t="str">
        <f>IF(ISBLANK(C299),INDEX(LicenseeSelect!$AP$511:$AZ$511,MATCH(YEAR(EOMONTH(A299,15)),LicenseeSelect!$AP$510:$AZ$510,0))/100,"-")</f>
        <v>-</v>
      </c>
      <c r="E299" s="12">
        <f t="shared" si="8"/>
        <v>130</v>
      </c>
      <c r="F299" s="12">
        <f t="shared" si="9"/>
        <v>353.19877250868649</v>
      </c>
    </row>
    <row r="300" spans="1:6" x14ac:dyDescent="0.35">
      <c r="A300" s="2">
        <v>45323</v>
      </c>
      <c r="C300" s="26">
        <v>130.80000000000001</v>
      </c>
      <c r="D300" s="46" t="str">
        <f>IF(ISBLANK(C300),INDEX(LicenseeSelect!$AP$511:$AZ$511,MATCH(YEAR(EOMONTH(A300,15)),LicenseeSelect!$AP$510:$AZ$510,0))/100,"-")</f>
        <v>-</v>
      </c>
      <c r="E300" s="12">
        <f t="shared" si="8"/>
        <v>130.80000000000001</v>
      </c>
      <c r="F300" s="12">
        <f t="shared" si="9"/>
        <v>355.37230341643226</v>
      </c>
    </row>
    <row r="301" spans="1:6" x14ac:dyDescent="0.35">
      <c r="A301" s="2">
        <v>45352</v>
      </c>
      <c r="C301" s="26">
        <v>131.6</v>
      </c>
      <c r="D301" s="46" t="str">
        <f>IF(ISBLANK(C301),INDEX(LicenseeSelect!$AP$511:$AZ$511,MATCH(YEAR(EOMONTH(A301,15)),LicenseeSelect!$AP$510:$AZ$510,0))/100,"-")</f>
        <v>-</v>
      </c>
      <c r="E301" s="12">
        <f t="shared" si="8"/>
        <v>131.6</v>
      </c>
      <c r="F301" s="12">
        <f t="shared" si="9"/>
        <v>357.54583432417797</v>
      </c>
    </row>
    <row r="302" spans="1:6" x14ac:dyDescent="0.35">
      <c r="A302" s="2">
        <v>45383</v>
      </c>
      <c r="C302" s="26">
        <v>132.19999999999999</v>
      </c>
      <c r="D302" s="46" t="str">
        <f>IF(ISBLANK(C302),INDEX(LicenseeSelect!$AP$511:$AZ$511,MATCH(YEAR(EOMONTH(A302,15)),LicenseeSelect!$AP$510:$AZ$510,0))/100,"-")</f>
        <v>-</v>
      </c>
      <c r="E302" s="12">
        <f t="shared" si="8"/>
        <v>132.19999999999999</v>
      </c>
      <c r="F302" s="12">
        <f t="shared" si="9"/>
        <v>359.17598250498725</v>
      </c>
    </row>
    <row r="303" spans="1:6" x14ac:dyDescent="0.35">
      <c r="A303" s="2">
        <v>45413</v>
      </c>
      <c r="C303" s="26">
        <v>132.69999999999999</v>
      </c>
      <c r="D303" s="46" t="str">
        <f>IF(ISBLANK(C303),INDEX(LicenseeSelect!$AP$511:$AZ$511,MATCH(YEAR(EOMONTH(A303,15)),LicenseeSelect!$AP$510:$AZ$510,0))/100,"-")</f>
        <v>-</v>
      </c>
      <c r="E303" s="12">
        <f t="shared" si="8"/>
        <v>132.69999999999999</v>
      </c>
      <c r="F303" s="12">
        <f t="shared" si="9"/>
        <v>360.53443932232835</v>
      </c>
    </row>
    <row r="304" spans="1:6" x14ac:dyDescent="0.35">
      <c r="A304" s="2">
        <v>45444</v>
      </c>
      <c r="C304" s="26">
        <v>133</v>
      </c>
      <c r="D304" s="46" t="str">
        <f>IF(ISBLANK(C304),INDEX(LicenseeSelect!$AP$511:$AZ$511,MATCH(YEAR(EOMONTH(A304,15)),LicenseeSelect!$AP$510:$AZ$510,0))/100,"-")</f>
        <v>-</v>
      </c>
      <c r="E304" s="12">
        <f t="shared" si="8"/>
        <v>133</v>
      </c>
      <c r="F304" s="12">
        <f t="shared" si="9"/>
        <v>361.34951341273307</v>
      </c>
    </row>
    <row r="305" spans="1:6" x14ac:dyDescent="0.35">
      <c r="A305" s="2">
        <v>45474</v>
      </c>
      <c r="C305" s="26">
        <v>132.9</v>
      </c>
      <c r="D305" s="46" t="str">
        <f>IF(ISBLANK(C305),INDEX(LicenseeSelect!$AP$511:$AZ$511,MATCH(YEAR(EOMONTH(A305,15)),LicenseeSelect!$AP$510:$AZ$510,0))/100,"-")</f>
        <v>-</v>
      </c>
      <c r="E305" s="12">
        <f t="shared" si="8"/>
        <v>132.9</v>
      </c>
      <c r="F305" s="12">
        <f t="shared" si="9"/>
        <v>361.07782204926485</v>
      </c>
    </row>
    <row r="306" spans="1:6" x14ac:dyDescent="0.35">
      <c r="A306" s="2">
        <v>45505</v>
      </c>
      <c r="C306" s="26">
        <v>133.4</v>
      </c>
      <c r="D306" s="46" t="str">
        <f>IF(ISBLANK(C306),INDEX(LicenseeSelect!$AP$511:$AZ$511,MATCH(YEAR(EOMONTH(A306,15)),LicenseeSelect!$AP$510:$AZ$510,0))/100,"-")</f>
        <v>-</v>
      </c>
      <c r="E306" s="12">
        <f t="shared" si="8"/>
        <v>133.4</v>
      </c>
      <c r="F306" s="12">
        <f t="shared" si="9"/>
        <v>362.43627886660596</v>
      </c>
    </row>
    <row r="307" spans="1:6" x14ac:dyDescent="0.35">
      <c r="A307" s="2">
        <v>45536</v>
      </c>
      <c r="C307" s="26">
        <v>133.5</v>
      </c>
      <c r="D307" s="46" t="str">
        <f>IF(ISBLANK(C307),INDEX(LicenseeSelect!$AP$511:$AZ$511,MATCH(YEAR(EOMONTH(A307,15)),LicenseeSelect!$AP$510:$AZ$510,0))/100,"-")</f>
        <v>-</v>
      </c>
      <c r="E307" s="12">
        <f t="shared" si="8"/>
        <v>133.5</v>
      </c>
      <c r="F307" s="12">
        <f t="shared" si="9"/>
        <v>362.70797023007412</v>
      </c>
    </row>
    <row r="308" spans="1:6" x14ac:dyDescent="0.35">
      <c r="A308" s="2">
        <v>45566</v>
      </c>
      <c r="C308" s="26">
        <v>134.30000000000001</v>
      </c>
      <c r="D308" s="46" t="str">
        <f>IF(ISBLANK(C308),INDEX(LicenseeSelect!$AP$511:$AZ$511,MATCH(YEAR(EOMONTH(A308,15)),LicenseeSelect!$AP$510:$AZ$510,0))/100,"-")</f>
        <v>-</v>
      </c>
      <c r="E308" s="12">
        <f t="shared" si="8"/>
        <v>134.30000000000001</v>
      </c>
      <c r="F308" s="12">
        <f t="shared" si="9"/>
        <v>364.88150113781995</v>
      </c>
    </row>
    <row r="309" spans="1:6" x14ac:dyDescent="0.35">
      <c r="A309" s="2">
        <v>45597</v>
      </c>
      <c r="C309" s="26">
        <v>134.6</v>
      </c>
      <c r="D309" s="46" t="str">
        <f>IF(ISBLANK(C309),INDEX(LicenseeSelect!$AP$511:$AZ$511,MATCH(YEAR(EOMONTH(A309,15)),LicenseeSelect!$AP$510:$AZ$510,0))/100,"-")</f>
        <v>-</v>
      </c>
      <c r="E309" s="12">
        <f t="shared" si="8"/>
        <v>134.6</v>
      </c>
      <c r="F309" s="12">
        <f t="shared" si="9"/>
        <v>365.69657522822456</v>
      </c>
    </row>
    <row r="310" spans="1:6" x14ac:dyDescent="0.35">
      <c r="A310" s="2">
        <v>45627</v>
      </c>
      <c r="C310" s="26">
        <v>135.1</v>
      </c>
      <c r="D310" s="46" t="str">
        <f>IF(ISBLANK(C310),INDEX(LicenseeSelect!$AP$511:$AZ$511,MATCH(YEAR(EOMONTH(A310,15)),LicenseeSelect!$AP$510:$AZ$510,0))/100,"-")</f>
        <v>-</v>
      </c>
      <c r="E310" s="12">
        <f t="shared" si="8"/>
        <v>135.1</v>
      </c>
      <c r="F310" s="12">
        <f t="shared" si="9"/>
        <v>367.05503204556567</v>
      </c>
    </row>
    <row r="311" spans="1:6" x14ac:dyDescent="0.35">
      <c r="A311" s="2">
        <v>45658</v>
      </c>
      <c r="C311" s="26">
        <v>135.1</v>
      </c>
      <c r="D311" s="46" t="str">
        <f>IF(ISBLANK(C311),INDEX(LicenseeSelect!$AP$511:$AZ$511,MATCH(YEAR(EOMONTH(A311,15)),LicenseeSelect!$AP$510:$AZ$510,0))/100,"-")</f>
        <v>-</v>
      </c>
      <c r="E311" s="12">
        <f t="shared" si="8"/>
        <v>135.1</v>
      </c>
      <c r="F311" s="12">
        <f t="shared" si="9"/>
        <v>367.05503204556567</v>
      </c>
    </row>
    <row r="312" spans="1:6" x14ac:dyDescent="0.35">
      <c r="A312" s="2">
        <v>45689</v>
      </c>
      <c r="C312" s="26">
        <v>135.6</v>
      </c>
      <c r="D312" s="46" t="str">
        <f>IF(ISBLANK(C312),INDEX(LicenseeSelect!$AP$511:$AZ$511,MATCH(YEAR(EOMONTH(A312,15)),LicenseeSelect!$AP$510:$AZ$510,0))/100,"-")</f>
        <v>-</v>
      </c>
      <c r="E312" s="12">
        <f t="shared" si="8"/>
        <v>135.6</v>
      </c>
      <c r="F312" s="12">
        <f t="shared" si="9"/>
        <v>368.41348886290677</v>
      </c>
    </row>
    <row r="313" spans="1:6" x14ac:dyDescent="0.35">
      <c r="A313" s="2">
        <v>45717</v>
      </c>
      <c r="C313" s="26">
        <v>136.1</v>
      </c>
      <c r="D313" s="46" t="str">
        <f>IF(ISBLANK(C313),INDEX(LicenseeSelect!$AP$511:$AZ$511,MATCH(YEAR(EOMONTH(A313,15)),LicenseeSelect!$AP$510:$AZ$510,0))/100,"-")</f>
        <v>-</v>
      </c>
      <c r="E313" s="12">
        <f t="shared" si="8"/>
        <v>136.1</v>
      </c>
      <c r="F313" s="12">
        <f t="shared" si="9"/>
        <v>369.77194568024788</v>
      </c>
    </row>
    <row r="314" spans="1:6" x14ac:dyDescent="0.35">
      <c r="A314" s="2">
        <v>45748</v>
      </c>
      <c r="C314" s="26">
        <v>137.69999999999999</v>
      </c>
      <c r="D314" s="46" t="str">
        <f>IF(ISBLANK(C314),INDEX(LicenseeSelect!$AP$511:$AZ$511,MATCH(YEAR(EOMONTH(A314,15)),LicenseeSelect!$AP$510:$AZ$510,0))/100,"-")</f>
        <v>-</v>
      </c>
      <c r="E314" s="12">
        <f t="shared" si="8"/>
        <v>137.69999999999999</v>
      </c>
      <c r="F314" s="12">
        <f t="shared" si="9"/>
        <v>374.11900749573937</v>
      </c>
    </row>
    <row r="315" spans="1:6" x14ac:dyDescent="0.35">
      <c r="A315" s="2">
        <v>45778</v>
      </c>
      <c r="C315" s="26">
        <v>138</v>
      </c>
      <c r="D315" s="46" t="str">
        <f>IF(ISBLANK(C315),INDEX(LicenseeSelect!$AP$511:$AZ$511,MATCH(YEAR(EOMONTH(A315,15)),LicenseeSelect!$AP$510:$AZ$510,0))/100,"-")</f>
        <v>-</v>
      </c>
      <c r="E315" s="12">
        <f t="shared" si="8"/>
        <v>138</v>
      </c>
      <c r="F315" s="12">
        <f t="shared" si="9"/>
        <v>374.93408158614409</v>
      </c>
    </row>
    <row r="316" spans="1:6" x14ac:dyDescent="0.35">
      <c r="A316" s="2">
        <v>45809</v>
      </c>
      <c r="C316" s="26">
        <v>138.4</v>
      </c>
      <c r="D316" s="46" t="str">
        <f>IF(ISBLANK(C316),INDEX(LicenseeSelect!$AP$511:$AZ$511,MATCH(YEAR(EOMONTH(A316,15)),LicenseeSelect!$AP$510:$AZ$510,0))/100,"-")</f>
        <v>-</v>
      </c>
      <c r="E316" s="12">
        <f t="shared" si="8"/>
        <v>138.4</v>
      </c>
      <c r="F316" s="12">
        <f t="shared" si="9"/>
        <v>376.02084704001697</v>
      </c>
    </row>
    <row r="317" spans="1:6" x14ac:dyDescent="0.35">
      <c r="A317" s="2">
        <v>45839</v>
      </c>
      <c r="C317" s="26">
        <v>138.5</v>
      </c>
      <c r="D317" s="46" t="str">
        <f>IF(ISBLANK(C317),INDEX(LicenseeSelect!$AP$511:$AZ$511,MATCH(YEAR(EOMONTH(A317,15)),LicenseeSelect!$AP$510:$AZ$510,0))/100,"-")</f>
        <v>-</v>
      </c>
      <c r="E317" s="12">
        <f t="shared" si="8"/>
        <v>138.5</v>
      </c>
      <c r="F317" s="12">
        <f t="shared" si="9"/>
        <v>376.29253840348514</v>
      </c>
    </row>
    <row r="318" spans="1:6" x14ac:dyDescent="0.35">
      <c r="A318" s="2">
        <v>45870</v>
      </c>
      <c r="C318" s="26">
        <v>138.9</v>
      </c>
      <c r="D318" s="46" t="str">
        <f>IF(ISBLANK(C318),INDEX(LicenseeSelect!$AP$511:$AZ$511,MATCH(YEAR(EOMONTH(A318,15)),LicenseeSelect!$AP$510:$AZ$510,0))/100,"-")</f>
        <v>-</v>
      </c>
      <c r="E318" s="12">
        <f t="shared" si="8"/>
        <v>138.9</v>
      </c>
      <c r="F318" s="12">
        <f t="shared" si="9"/>
        <v>377.37930385735802</v>
      </c>
    </row>
    <row r="319" spans="1:6" x14ac:dyDescent="0.35">
      <c r="A319" s="2">
        <v>45901</v>
      </c>
      <c r="C319" s="26">
        <v>138.9</v>
      </c>
      <c r="D319" s="46" t="str">
        <f>IF(ISBLANK(C319),INDEX(LicenseeSelect!$AP$511:$AZ$511,MATCH(YEAR(EOMONTH(A319,15)),LicenseeSelect!$AP$510:$AZ$510,0))/100,"-")</f>
        <v>-</v>
      </c>
      <c r="E319" s="12">
        <f t="shared" si="8"/>
        <v>138.9</v>
      </c>
      <c r="F319" s="12">
        <f t="shared" si="9"/>
        <v>377.37930385735802</v>
      </c>
    </row>
    <row r="320" spans="1:6" x14ac:dyDescent="0.35">
      <c r="A320" s="2">
        <v>45931</v>
      </c>
      <c r="C320" s="26"/>
      <c r="D320" s="46">
        <f>IF(ISBLANK(C320),INDEX(LicenseeSelect!$AP$511:$AZ$511,MATCH(YEAR(EOMONTH(A320,15)),LicenseeSelect!$AP$510:$AZ$510,0))/100,"-")</f>
        <v>2.3689382169692408E-2</v>
      </c>
      <c r="E320" s="12">
        <f t="shared" si="8"/>
        <v>139.17127168117926</v>
      </c>
      <c r="F320" s="12">
        <f t="shared" si="9"/>
        <v>378.11632558665713</v>
      </c>
    </row>
    <row r="321" spans="1:6" x14ac:dyDescent="0.35">
      <c r="A321" s="2">
        <v>45962</v>
      </c>
      <c r="C321" s="26"/>
      <c r="D321" s="46">
        <f>IF(ISBLANK(C321),INDEX(LicenseeSelect!$AP$511:$AZ$511,MATCH(YEAR(EOMONTH(A321,15)),LicenseeSelect!$AP$510:$AZ$510,0))/100,"-")</f>
        <v>2.3689382169692408E-2</v>
      </c>
      <c r="E321" s="12">
        <f t="shared" si="8"/>
        <v>139.44307315591513</v>
      </c>
      <c r="F321" s="12">
        <f t="shared" si="9"/>
        <v>378.85478671929371</v>
      </c>
    </row>
    <row r="322" spans="1:6" x14ac:dyDescent="0.35">
      <c r="A322" s="2">
        <v>45992</v>
      </c>
      <c r="C322" s="26"/>
      <c r="D322" s="46">
        <f>IF(ISBLANK(C322),INDEX(LicenseeSelect!$AP$511:$AZ$511,MATCH(YEAR(EOMONTH(A322,15)),LicenseeSelect!$AP$510:$AZ$510,0))/100,"-")</f>
        <v>2.3689382169692408E-2</v>
      </c>
      <c r="E322" s="12">
        <f t="shared" si="8"/>
        <v>139.71540545889431</v>
      </c>
      <c r="F322" s="12">
        <f t="shared" si="9"/>
        <v>379.59469006642229</v>
      </c>
    </row>
    <row r="323" spans="1:6" x14ac:dyDescent="0.35">
      <c r="A323" s="2">
        <v>46023</v>
      </c>
      <c r="C323" s="26"/>
      <c r="D323" s="46">
        <f>IF(ISBLANK(C323),INDEX(LicenseeSelect!$AP$511:$AZ$511,MATCH(YEAR(EOMONTH(A323,15)),LicenseeSelect!$AP$510:$AZ$510,0))/100,"-")</f>
        <v>2.3689382169692408E-2</v>
      </c>
      <c r="E323" s="12">
        <f t="shared" ref="E323:E385" si="10">IF(ISBLANK(C323),E322*((1+D323)^(1/12)),C323)</f>
        <v>139.98826962682432</v>
      </c>
      <c r="F323" s="12">
        <f t="shared" ref="F323:F385" si="11">IF(ISBLANK(B323),F322*(E323/E322),B323)</f>
        <v>380.33603844468752</v>
      </c>
    </row>
    <row r="324" spans="1:6" x14ac:dyDescent="0.35">
      <c r="A324" s="2">
        <v>46054</v>
      </c>
      <c r="C324" s="26"/>
      <c r="D324" s="46">
        <f>IF(ISBLANK(C324),INDEX(LicenseeSelect!$AP$511:$AZ$511,MATCH(YEAR(EOMONTH(A324,15)),LicenseeSelect!$AP$510:$AZ$510,0))/100,"-")</f>
        <v>2.3689382169692408E-2</v>
      </c>
      <c r="E324" s="12">
        <f t="shared" si="10"/>
        <v>140.26166669843732</v>
      </c>
      <c r="F324" s="12">
        <f t="shared" si="11"/>
        <v>381.07883467623509</v>
      </c>
    </row>
    <row r="325" spans="1:6" x14ac:dyDescent="0.35">
      <c r="A325" s="2">
        <v>46082</v>
      </c>
      <c r="C325" s="26"/>
      <c r="D325" s="46">
        <f>IF(ISBLANK(C325),INDEX(LicenseeSelect!$AP$511:$AZ$511,MATCH(YEAR(EOMONTH(A325,15)),LicenseeSelect!$AP$510:$AZ$510,0))/100,"-")</f>
        <v>2.3689382169692408E-2</v>
      </c>
      <c r="E325" s="12">
        <f t="shared" si="10"/>
        <v>140.53559771449414</v>
      </c>
      <c r="F325" s="12">
        <f t="shared" si="11"/>
        <v>381.82308158872218</v>
      </c>
    </row>
    <row r="326" spans="1:6" x14ac:dyDescent="0.35">
      <c r="A326" s="2">
        <v>46113</v>
      </c>
      <c r="C326" s="26"/>
      <c r="D326" s="46">
        <f>IF(ISBLANK(C326),INDEX(LicenseeSelect!$AP$511:$AZ$511,MATCH(YEAR(EOMONTH(A326,15)),LicenseeSelect!$AP$510:$AZ$510,0))/100,"-")</f>
        <v>2.3689382169692408E-2</v>
      </c>
      <c r="E326" s="12">
        <f t="shared" si="10"/>
        <v>140.81006371778821</v>
      </c>
      <c r="F326" s="12">
        <f t="shared" si="11"/>
        <v>382.56878201532851</v>
      </c>
    </row>
    <row r="327" spans="1:6" x14ac:dyDescent="0.35">
      <c r="A327" s="2">
        <v>46143</v>
      </c>
      <c r="C327" s="26"/>
      <c r="D327" s="46">
        <f>IF(ISBLANK(C327),INDEX(LicenseeSelect!$AP$511:$AZ$511,MATCH(YEAR(EOMONTH(A327,15)),LicenseeSelect!$AP$510:$AZ$510,0))/100,"-")</f>
        <v>2.3689382169692408E-2</v>
      </c>
      <c r="E327" s="12">
        <f t="shared" si="10"/>
        <v>141.08506575314951</v>
      </c>
      <c r="F327" s="12">
        <f t="shared" si="11"/>
        <v>383.31593879476696</v>
      </c>
    </row>
    <row r="328" spans="1:6" x14ac:dyDescent="0.35">
      <c r="A328" s="2">
        <v>46174</v>
      </c>
      <c r="C328" s="26"/>
      <c r="D328" s="46">
        <f>IF(ISBLANK(C328),INDEX(LicenseeSelect!$AP$511:$AZ$511,MATCH(YEAR(EOMONTH(A328,15)),LicenseeSelect!$AP$510:$AZ$510,0))/100,"-")</f>
        <v>2.3689382169692408E-2</v>
      </c>
      <c r="E328" s="12">
        <f t="shared" si="10"/>
        <v>141.36060486744861</v>
      </c>
      <c r="F328" s="12">
        <f t="shared" si="11"/>
        <v>384.06455477129447</v>
      </c>
    </row>
    <row r="329" spans="1:6" x14ac:dyDescent="0.35">
      <c r="A329" s="2">
        <v>46204</v>
      </c>
      <c r="C329" s="26"/>
      <c r="D329" s="46">
        <f>IF(ISBLANK(C329),INDEX(LicenseeSelect!$AP$511:$AZ$511,MATCH(YEAR(EOMONTH(A329,15)),LicenseeSelect!$AP$510:$AZ$510,0))/100,"-")</f>
        <v>2.3689382169692408E-2</v>
      </c>
      <c r="E329" s="12">
        <f t="shared" si="10"/>
        <v>141.6366821096006</v>
      </c>
      <c r="F329" s="12">
        <f t="shared" si="11"/>
        <v>384.81463279472268</v>
      </c>
    </row>
    <row r="330" spans="1:6" x14ac:dyDescent="0.35">
      <c r="A330" s="2">
        <v>46235</v>
      </c>
      <c r="C330" s="26"/>
      <c r="D330" s="46">
        <f>IF(ISBLANK(C330),INDEX(LicenseeSelect!$AP$511:$AZ$511,MATCH(YEAR(EOMONTH(A330,15)),LicenseeSelect!$AP$510:$AZ$510,0))/100,"-")</f>
        <v>2.3689382169692408E-2</v>
      </c>
      <c r="E330" s="12">
        <f t="shared" si="10"/>
        <v>141.91329853056911</v>
      </c>
      <c r="F330" s="12">
        <f t="shared" si="11"/>
        <v>385.56617572042899</v>
      </c>
    </row>
    <row r="331" spans="1:6" x14ac:dyDescent="0.35">
      <c r="A331" s="2">
        <v>46266</v>
      </c>
      <c r="C331" s="26"/>
      <c r="D331" s="46">
        <f>IF(ISBLANK(C331),INDEX(LicenseeSelect!$AP$511:$AZ$511,MATCH(YEAR(EOMONTH(A331,15)),LicenseeSelect!$AP$510:$AZ$510,0))/100,"-")</f>
        <v>2.3689382169692408E-2</v>
      </c>
      <c r="E331" s="12">
        <f t="shared" si="10"/>
        <v>142.19045518337029</v>
      </c>
      <c r="F331" s="12">
        <f t="shared" si="11"/>
        <v>386.31918640936738</v>
      </c>
    </row>
    <row r="332" spans="1:6" x14ac:dyDescent="0.35">
      <c r="A332" s="2">
        <v>46296</v>
      </c>
      <c r="C332" s="26"/>
      <c r="D332" s="46">
        <f>IF(ISBLANK(C332),INDEX(LicenseeSelect!$AP$511:$AZ$511,MATCH(YEAR(EOMONTH(A332,15)),LicenseeSelect!$AP$510:$AZ$510,0))/100,"-")</f>
        <v>2.1054516816467084E-2</v>
      </c>
      <c r="E332" s="12">
        <f t="shared" si="10"/>
        <v>142.437558884091</v>
      </c>
      <c r="F332" s="12">
        <f t="shared" si="11"/>
        <v>386.99054582303597</v>
      </c>
    </row>
    <row r="333" spans="1:6" x14ac:dyDescent="0.35">
      <c r="A333" s="2">
        <v>46327</v>
      </c>
      <c r="C333" s="26"/>
      <c r="D333" s="46">
        <f>IF(ISBLANK(C333),INDEX(LicenseeSelect!$AP$511:$AZ$511,MATCH(YEAR(EOMONTH(A333,15)),LicenseeSelect!$AP$510:$AZ$510,0))/100,"-")</f>
        <v>2.1054516816467084E-2</v>
      </c>
      <c r="E333" s="12">
        <f t="shared" si="10"/>
        <v>142.68509201053396</v>
      </c>
      <c r="F333" s="12">
        <f t="shared" si="11"/>
        <v>387.66307194930431</v>
      </c>
    </row>
    <row r="334" spans="1:6" x14ac:dyDescent="0.35">
      <c r="A334" s="2">
        <v>46357</v>
      </c>
      <c r="C334" s="26"/>
      <c r="D334" s="46">
        <f>IF(ISBLANK(C334),INDEX(LicenseeSelect!$AP$511:$AZ$511,MATCH(YEAR(EOMONTH(A334,15)),LicenseeSelect!$AP$510:$AZ$510,0))/100,"-")</f>
        <v>2.1054516816467084E-2</v>
      </c>
      <c r="E334" s="12">
        <f t="shared" si="10"/>
        <v>142.93305530897064</v>
      </c>
      <c r="F334" s="12">
        <f t="shared" si="11"/>
        <v>388.33676681572769</v>
      </c>
    </row>
    <row r="335" spans="1:6" x14ac:dyDescent="0.35">
      <c r="A335" s="2">
        <v>46388</v>
      </c>
      <c r="C335" s="26"/>
      <c r="D335" s="46">
        <f>IF(ISBLANK(C335),INDEX(LicenseeSelect!$AP$511:$AZ$511,MATCH(YEAR(EOMONTH(A335,15)),LicenseeSelect!$AP$510:$AZ$510,0))/100,"-")</f>
        <v>2.1054516816467084E-2</v>
      </c>
      <c r="E335" s="12">
        <f t="shared" si="10"/>
        <v>143.18144952696943</v>
      </c>
      <c r="F335" s="12">
        <f t="shared" si="11"/>
        <v>389.01163245338483</v>
      </c>
    </row>
    <row r="336" spans="1:6" x14ac:dyDescent="0.35">
      <c r="A336" s="2">
        <v>46419</v>
      </c>
      <c r="C336" s="26"/>
      <c r="D336" s="46">
        <f>IF(ISBLANK(C336),INDEX(LicenseeSelect!$AP$511:$AZ$511,MATCH(YEAR(EOMONTH(A336,15)),LicenseeSelect!$AP$510:$AZ$510,0))/100,"-")</f>
        <v>2.1054516816467084E-2</v>
      </c>
      <c r="E336" s="12">
        <f t="shared" si="10"/>
        <v>143.43027541339791</v>
      </c>
      <c r="F336" s="12">
        <f t="shared" si="11"/>
        <v>389.6876708968843</v>
      </c>
    </row>
    <row r="337" spans="1:6" x14ac:dyDescent="0.35">
      <c r="A337" s="2">
        <v>46447</v>
      </c>
      <c r="C337" s="26"/>
      <c r="D337" s="46">
        <f>IF(ISBLANK(C337),INDEX(LicenseeSelect!$AP$511:$AZ$511,MATCH(YEAR(EOMONTH(A337,15)),LicenseeSelect!$AP$510:$AZ$510,0))/100,"-")</f>
        <v>2.1054516816467084E-2</v>
      </c>
      <c r="E337" s="12">
        <f t="shared" si="10"/>
        <v>143.67953371842503</v>
      </c>
      <c r="F337" s="12">
        <f t="shared" si="11"/>
        <v>390.36488418437028</v>
      </c>
    </row>
    <row r="338" spans="1:6" x14ac:dyDescent="0.35">
      <c r="A338" s="2">
        <v>46478</v>
      </c>
      <c r="C338" s="26"/>
      <c r="D338" s="46">
        <f>IF(ISBLANK(C338),INDEX(LicenseeSelect!$AP$511:$AZ$511,MATCH(YEAR(EOMONTH(A338,15)),LicenseeSelect!$AP$510:$AZ$510,0))/100,"-")</f>
        <v>2.1054516816467084E-2</v>
      </c>
      <c r="E338" s="12">
        <f t="shared" si="10"/>
        <v>143.92922519352345</v>
      </c>
      <c r="F338" s="12">
        <f t="shared" si="11"/>
        <v>391.04327435752907</v>
      </c>
    </row>
    <row r="339" spans="1:6" x14ac:dyDescent="0.35">
      <c r="A339" s="2">
        <v>46508</v>
      </c>
      <c r="C339" s="26"/>
      <c r="D339" s="46">
        <f>IF(ISBLANK(C339),INDEX(LicenseeSelect!$AP$511:$AZ$511,MATCH(YEAR(EOMONTH(A339,15)),LicenseeSelect!$AP$510:$AZ$510,0))/100,"-")</f>
        <v>2.1054516816467084E-2</v>
      </c>
      <c r="E339" s="12">
        <f t="shared" si="10"/>
        <v>144.17935059147172</v>
      </c>
      <c r="F339" s="12">
        <f t="shared" si="11"/>
        <v>391.72284346159506</v>
      </c>
    </row>
    <row r="340" spans="1:6" x14ac:dyDescent="0.35">
      <c r="A340" s="2">
        <v>46539</v>
      </c>
      <c r="C340" s="26"/>
      <c r="D340" s="46">
        <f>IF(ISBLANK(C340),INDEX(LicenseeSelect!$AP$511:$AZ$511,MATCH(YEAR(EOMONTH(A340,15)),LicenseeSelect!$AP$510:$AZ$510,0))/100,"-")</f>
        <v>2.1054516816467084E-2</v>
      </c>
      <c r="E340" s="12">
        <f t="shared" si="10"/>
        <v>144.42991066635662</v>
      </c>
      <c r="F340" s="12">
        <f t="shared" si="11"/>
        <v>392.40359354535684</v>
      </c>
    </row>
    <row r="341" spans="1:6" x14ac:dyDescent="0.35">
      <c r="A341" s="2">
        <v>46569</v>
      </c>
      <c r="C341" s="26"/>
      <c r="D341" s="46">
        <f>IF(ISBLANK(C341),INDEX(LicenseeSelect!$AP$511:$AZ$511,MATCH(YEAR(EOMONTH(A341,15)),LicenseeSelect!$AP$510:$AZ$510,0))/100,"-")</f>
        <v>2.1054516816467084E-2</v>
      </c>
      <c r="E341" s="12">
        <f t="shared" si="10"/>
        <v>144.68090617357541</v>
      </c>
      <c r="F341" s="12">
        <f t="shared" si="11"/>
        <v>393.08552666116356</v>
      </c>
    </row>
    <row r="342" spans="1:6" x14ac:dyDescent="0.35">
      <c r="A342" s="2">
        <v>46600</v>
      </c>
      <c r="C342" s="26"/>
      <c r="D342" s="46">
        <f>IF(ISBLANK(C342),INDEX(LicenseeSelect!$AP$511:$AZ$511,MATCH(YEAR(EOMONTH(A342,15)),LicenseeSelect!$AP$510:$AZ$510,0))/100,"-")</f>
        <v>2.1054516816467084E-2</v>
      </c>
      <c r="E342" s="12">
        <f t="shared" si="10"/>
        <v>144.93233786983811</v>
      </c>
      <c r="F342" s="12">
        <f t="shared" si="11"/>
        <v>393.76864486493093</v>
      </c>
    </row>
    <row r="343" spans="1:6" x14ac:dyDescent="0.35">
      <c r="A343" s="2">
        <v>46631</v>
      </c>
      <c r="C343" s="26"/>
      <c r="D343" s="46">
        <f>IF(ISBLANK(C343),INDEX(LicenseeSelect!$AP$511:$AZ$511,MATCH(YEAR(EOMONTH(A343,15)),LicenseeSelect!$AP$510:$AZ$510,0))/100,"-")</f>
        <v>2.1054516816467084E-2</v>
      </c>
      <c r="E343" s="12">
        <f t="shared" si="10"/>
        <v>145.18420651316976</v>
      </c>
      <c r="F343" s="12">
        <f t="shared" si="11"/>
        <v>394.4529502161476</v>
      </c>
    </row>
    <row r="344" spans="1:6" x14ac:dyDescent="0.35">
      <c r="A344" s="2">
        <v>46661</v>
      </c>
      <c r="C344" s="26"/>
      <c r="D344" s="46">
        <f>IF(ISBLANK(C344),INDEX(LicenseeSelect!$AP$511:$AZ$511,MATCH(YEAR(EOMONTH(A344,15)),LicenseeSelect!$AP$510:$AZ$510,0))/100,"-")</f>
        <v>2.1285796243298183E-2</v>
      </c>
      <c r="E344" s="12">
        <f t="shared" si="10"/>
        <v>145.43925781769889</v>
      </c>
      <c r="F344" s="12">
        <f t="shared" si="11"/>
        <v>395.14590258296624</v>
      </c>
    </row>
    <row r="345" spans="1:6" x14ac:dyDescent="0.35">
      <c r="A345" s="2">
        <v>46692</v>
      </c>
      <c r="C345" s="26"/>
      <c r="D345" s="46">
        <f>IF(ISBLANK(C345),INDEX(LicenseeSelect!$AP$511:$AZ$511,MATCH(YEAR(EOMONTH(A345,15)),LicenseeSelect!$AP$510:$AZ$510,0))/100,"-")</f>
        <v>2.1285796243298183E-2</v>
      </c>
      <c r="E345" s="12">
        <f t="shared" si="10"/>
        <v>145.69475718176221</v>
      </c>
      <c r="F345" s="12">
        <f t="shared" si="11"/>
        <v>395.84007228884252</v>
      </c>
    </row>
    <row r="346" spans="1:6" x14ac:dyDescent="0.35">
      <c r="A346" s="2">
        <v>46722</v>
      </c>
      <c r="C346" s="26"/>
      <c r="D346" s="46">
        <f>IF(ISBLANK(C346),INDEX(LicenseeSelect!$AP$511:$AZ$511,MATCH(YEAR(EOMONTH(A346,15)),LicenseeSelect!$AP$510:$AZ$510,0))/100,"-")</f>
        <v>2.1285796243298183E-2</v>
      </c>
      <c r="E346" s="12">
        <f t="shared" si="10"/>
        <v>145.95070539248508</v>
      </c>
      <c r="F346" s="12">
        <f t="shared" si="11"/>
        <v>396.53546147232794</v>
      </c>
    </row>
    <row r="347" spans="1:6" x14ac:dyDescent="0.35">
      <c r="A347" s="2">
        <v>46753</v>
      </c>
      <c r="C347" s="26"/>
      <c r="D347" s="46">
        <f>IF(ISBLANK(C347),INDEX(LicenseeSelect!$AP$511:$AZ$511,MATCH(YEAR(EOMONTH(A347,15)),LicenseeSelect!$AP$510:$AZ$510,0))/100,"-")</f>
        <v>2.1285796243298183E-2</v>
      </c>
      <c r="E347" s="12">
        <f t="shared" si="10"/>
        <v>146.20710323837559</v>
      </c>
      <c r="F347" s="12">
        <f t="shared" si="11"/>
        <v>397.23207227573101</v>
      </c>
    </row>
    <row r="348" spans="1:6" x14ac:dyDescent="0.35">
      <c r="A348" s="2">
        <v>46784</v>
      </c>
      <c r="C348" s="26"/>
      <c r="D348" s="46">
        <f>IF(ISBLANK(C348),INDEX(LicenseeSelect!$AP$511:$AZ$511,MATCH(YEAR(EOMONTH(A348,15)),LicenseeSelect!$AP$510:$AZ$510,0))/100,"-")</f>
        <v>2.1285796243298183E-2</v>
      </c>
      <c r="E348" s="12">
        <f t="shared" si="10"/>
        <v>146.46395150932707</v>
      </c>
      <c r="F348" s="12">
        <f t="shared" si="11"/>
        <v>397.9299068451237</v>
      </c>
    </row>
    <row r="349" spans="1:6" x14ac:dyDescent="0.35">
      <c r="A349" s="2">
        <v>46813</v>
      </c>
      <c r="C349" s="26"/>
      <c r="D349" s="46">
        <f>IF(ISBLANK(C349),INDEX(LicenseeSelect!$AP$511:$AZ$511,MATCH(YEAR(EOMONTH(A349,15)),LicenseeSelect!$AP$510:$AZ$510,0))/100,"-")</f>
        <v>2.1285796243298183E-2</v>
      </c>
      <c r="E349" s="12">
        <f t="shared" si="10"/>
        <v>146.72125099662051</v>
      </c>
      <c r="F349" s="12">
        <f t="shared" si="11"/>
        <v>398.62896733034802</v>
      </c>
    </row>
    <row r="350" spans="1:6" x14ac:dyDescent="0.35">
      <c r="A350" s="2">
        <v>46844</v>
      </c>
      <c r="C350" s="26"/>
      <c r="D350" s="46">
        <f>IF(ISBLANK(C350),INDEX(LicenseeSelect!$AP$511:$AZ$511,MATCH(YEAR(EOMONTH(A350,15)),LicenseeSelect!$AP$510:$AZ$510,0))/100,"-")</f>
        <v>2.1285796243298183E-2</v>
      </c>
      <c r="E350" s="12">
        <f t="shared" si="10"/>
        <v>146.97900249292695</v>
      </c>
      <c r="F350" s="12">
        <f t="shared" si="11"/>
        <v>399.32925588502275</v>
      </c>
    </row>
    <row r="351" spans="1:6" x14ac:dyDescent="0.35">
      <c r="A351" s="2">
        <v>46874</v>
      </c>
      <c r="C351" s="26"/>
      <c r="D351" s="46">
        <f>IF(ISBLANK(C351),INDEX(LicenseeSelect!$AP$511:$AZ$511,MATCH(YEAR(EOMONTH(A351,15)),LicenseeSelect!$AP$510:$AZ$510,0))/100,"-")</f>
        <v>2.1285796243298183E-2</v>
      </c>
      <c r="E351" s="12">
        <f t="shared" si="10"/>
        <v>147.23720679230996</v>
      </c>
      <c r="F351" s="12">
        <f t="shared" si="11"/>
        <v>400.03077466654997</v>
      </c>
    </row>
    <row r="352" spans="1:6" x14ac:dyDescent="0.35">
      <c r="A352" s="2">
        <v>46905</v>
      </c>
      <c r="C352" s="26"/>
      <c r="D352" s="46">
        <f>IF(ISBLANK(C352),INDEX(LicenseeSelect!$AP$511:$AZ$511,MATCH(YEAR(EOMONTH(A352,15)),LicenseeSelect!$AP$510:$AZ$510,0))/100,"-")</f>
        <v>2.1285796243298183E-2</v>
      </c>
      <c r="E352" s="12">
        <f t="shared" si="10"/>
        <v>147.49586469022805</v>
      </c>
      <c r="F352" s="12">
        <f t="shared" si="11"/>
        <v>400.73352583612188</v>
      </c>
    </row>
    <row r="353" spans="1:6" x14ac:dyDescent="0.35">
      <c r="A353" s="2">
        <v>46935</v>
      </c>
      <c r="C353" s="26"/>
      <c r="D353" s="46">
        <f>IF(ISBLANK(C353),INDEX(LicenseeSelect!$AP$511:$AZ$511,MATCH(YEAR(EOMONTH(A353,15)),LicenseeSelect!$AP$510:$AZ$510,0))/100,"-")</f>
        <v>2.1285796243298183E-2</v>
      </c>
      <c r="E353" s="12">
        <f t="shared" si="10"/>
        <v>147.75497698353718</v>
      </c>
      <c r="F353" s="12">
        <f t="shared" si="11"/>
        <v>401.43751155872724</v>
      </c>
    </row>
    <row r="354" spans="1:6" x14ac:dyDescent="0.35">
      <c r="A354" s="2">
        <v>46966</v>
      </c>
      <c r="C354" s="26"/>
      <c r="D354" s="46">
        <f>IF(ISBLANK(C354),INDEX(LicenseeSelect!$AP$511:$AZ$511,MATCH(YEAR(EOMONTH(A354,15)),LicenseeSelect!$AP$510:$AZ$510,0))/100,"-")</f>
        <v>2.1285796243298183E-2</v>
      </c>
      <c r="E354" s="12">
        <f t="shared" si="10"/>
        <v>148.01454447049315</v>
      </c>
      <c r="F354" s="12">
        <f t="shared" si="11"/>
        <v>402.14273400315813</v>
      </c>
    </row>
    <row r="355" spans="1:6" x14ac:dyDescent="0.35">
      <c r="A355" s="2">
        <v>46997</v>
      </c>
      <c r="C355" s="26"/>
      <c r="D355" s="46">
        <f>IF(ISBLANK(C355),INDEX(LicenseeSelect!$AP$511:$AZ$511,MATCH(YEAR(EOMONTH(A355,15)),LicenseeSelect!$AP$510:$AZ$510,0))/100,"-")</f>
        <v>2.1285796243298183E-2</v>
      </c>
      <c r="E355" s="12">
        <f t="shared" si="10"/>
        <v>148.27456795075412</v>
      </c>
      <c r="F355" s="12">
        <f t="shared" si="11"/>
        <v>402.84919534201669</v>
      </c>
    </row>
    <row r="356" spans="1:6" x14ac:dyDescent="0.35">
      <c r="A356" s="2">
        <v>47027</v>
      </c>
      <c r="C356" s="26"/>
      <c r="D356" s="46">
        <f>IF(ISBLANK(C356),INDEX(LicenseeSelect!$AP$511:$AZ$511,MATCH(YEAR(EOMONTH(A356,15)),LicenseeSelect!$AP$510:$AZ$510,0))/100,"-")</f>
        <v>2.0983342920036119E-2</v>
      </c>
      <c r="E356" s="12">
        <f t="shared" si="10"/>
        <v>148.53138201215057</v>
      </c>
      <c r="F356" s="12">
        <f t="shared" si="11"/>
        <v>403.54693696700281</v>
      </c>
    </row>
    <row r="357" spans="1:6" x14ac:dyDescent="0.35">
      <c r="A357" s="2">
        <v>47058</v>
      </c>
      <c r="C357" s="26"/>
      <c r="D357" s="46">
        <f>IF(ISBLANK(C357),INDEX(LicenseeSelect!$AP$511:$AZ$511,MATCH(YEAR(EOMONTH(A357,15)),LicenseeSelect!$AP$510:$AZ$510,0))/100,"-")</f>
        <v>2.0983342920036119E-2</v>
      </c>
      <c r="E357" s="12">
        <f t="shared" si="10"/>
        <v>148.7886408798482</v>
      </c>
      <c r="F357" s="12">
        <f t="shared" si="11"/>
        <v>404.2458870922934</v>
      </c>
    </row>
    <row r="358" spans="1:6" x14ac:dyDescent="0.35">
      <c r="A358" s="2">
        <v>47088</v>
      </c>
      <c r="C358" s="26"/>
      <c r="D358" s="46">
        <f>IF(ISBLANK(C358),INDEX(LicenseeSelect!$AP$511:$AZ$511,MATCH(YEAR(EOMONTH(A358,15)),LicenseeSelect!$AP$510:$AZ$510,0))/100,"-")</f>
        <v>2.0983342920036119E-2</v>
      </c>
      <c r="E358" s="12">
        <f t="shared" si="10"/>
        <v>149.04634532425908</v>
      </c>
      <c r="F358" s="12">
        <f t="shared" si="11"/>
        <v>404.94604781103152</v>
      </c>
    </row>
    <row r="359" spans="1:6" x14ac:dyDescent="0.35">
      <c r="A359" s="2">
        <v>47119</v>
      </c>
      <c r="C359" s="26"/>
      <c r="D359" s="46">
        <f>IF(ISBLANK(C359),INDEX(LicenseeSelect!$AP$511:$AZ$511,MATCH(YEAR(EOMONTH(A359,15)),LicenseeSelect!$AP$510:$AZ$510,0))/100,"-")</f>
        <v>2.0983342920036119E-2</v>
      </c>
      <c r="E359" s="12">
        <f t="shared" si="10"/>
        <v>149.30449611712959</v>
      </c>
      <c r="F359" s="12">
        <f t="shared" si="11"/>
        <v>405.64742121998546</v>
      </c>
    </row>
    <row r="360" spans="1:6" x14ac:dyDescent="0.35">
      <c r="A360" s="2">
        <v>47150</v>
      </c>
      <c r="C360" s="26"/>
      <c r="D360" s="46">
        <f>IF(ISBLANK(C360),INDEX(LicenseeSelect!$AP$511:$AZ$511,MATCH(YEAR(EOMONTH(A360,15)),LicenseeSelect!$AP$510:$AZ$510,0))/100,"-")</f>
        <v>2.0983342920036119E-2</v>
      </c>
      <c r="E360" s="12">
        <f t="shared" si="10"/>
        <v>149.56309403154285</v>
      </c>
      <c r="F360" s="12">
        <f t="shared" si="11"/>
        <v>406.35000941955519</v>
      </c>
    </row>
    <row r="361" spans="1:6" x14ac:dyDescent="0.35">
      <c r="A361" s="2">
        <v>47178</v>
      </c>
      <c r="C361" s="26"/>
      <c r="D361" s="46">
        <f>IF(ISBLANK(C361),INDEX(LicenseeSelect!$AP$511:$AZ$511,MATCH(YEAR(EOMONTH(A361,15)),LicenseeSelect!$AP$510:$AZ$510,0))/100,"-")</f>
        <v>2.0983342920036119E-2</v>
      </c>
      <c r="E361" s="12">
        <f t="shared" si="10"/>
        <v>149.82213984192092</v>
      </c>
      <c r="F361" s="12">
        <f t="shared" si="11"/>
        <v>407.05381451377866</v>
      </c>
    </row>
    <row r="362" spans="1:6" x14ac:dyDescent="0.35">
      <c r="A362" s="2">
        <v>47209</v>
      </c>
      <c r="C362" s="26"/>
      <c r="D362" s="46">
        <f>IF(ISBLANK(C362),INDEX(LicenseeSelect!$AP$511:$AZ$511,MATCH(YEAR(EOMONTH(A362,15)),LicenseeSelect!$AP$510:$AZ$510,0))/100,"-")</f>
        <v>2.0983342920036119E-2</v>
      </c>
      <c r="E362" s="12">
        <f t="shared" si="10"/>
        <v>150.08163432402716</v>
      </c>
      <c r="F362" s="12">
        <f t="shared" si="11"/>
        <v>407.75883861033793</v>
      </c>
    </row>
    <row r="363" spans="1:6" x14ac:dyDescent="0.35">
      <c r="A363" s="2">
        <v>47239</v>
      </c>
      <c r="C363" s="26"/>
      <c r="D363" s="46">
        <f>IF(ISBLANK(C363),INDEX(LicenseeSelect!$AP$511:$AZ$511,MATCH(YEAR(EOMONTH(A363,15)),LicenseeSelect!$AP$510:$AZ$510,0))/100,"-")</f>
        <v>2.0983342920036119E-2</v>
      </c>
      <c r="E363" s="12">
        <f t="shared" si="10"/>
        <v>150.34157825496865</v>
      </c>
      <c r="F363" s="12">
        <f t="shared" si="11"/>
        <v>408.46508382056572</v>
      </c>
    </row>
    <row r="364" spans="1:6" x14ac:dyDescent="0.35">
      <c r="A364" s="2">
        <v>47270</v>
      </c>
      <c r="C364" s="26"/>
      <c r="D364" s="46">
        <f>IF(ISBLANK(C364),INDEX(LicenseeSelect!$AP$511:$AZ$511,MATCH(YEAR(EOMONTH(A364,15)),LicenseeSelect!$AP$510:$AZ$510,0))/100,"-")</f>
        <v>2.0983342920036119E-2</v>
      </c>
      <c r="E364" s="12">
        <f t="shared" si="10"/>
        <v>150.60197241319835</v>
      </c>
      <c r="F364" s="12">
        <f t="shared" si="11"/>
        <v>409.17255225945161</v>
      </c>
    </row>
    <row r="365" spans="1:6" x14ac:dyDescent="0.35">
      <c r="A365" s="2">
        <v>47300</v>
      </c>
      <c r="C365" s="26"/>
      <c r="D365" s="46">
        <f>IF(ISBLANK(C365),INDEX(LicenseeSelect!$AP$511:$AZ$511,MATCH(YEAR(EOMONTH(A365,15)),LicenseeSelect!$AP$510:$AZ$510,0))/100,"-")</f>
        <v>2.0983342920036119E-2</v>
      </c>
      <c r="E365" s="12">
        <f t="shared" si="10"/>
        <v>150.86281757851756</v>
      </c>
      <c r="F365" s="12">
        <f t="shared" si="11"/>
        <v>409.88124604564831</v>
      </c>
    </row>
    <row r="366" spans="1:6" x14ac:dyDescent="0.35">
      <c r="A366" s="2">
        <v>47331</v>
      </c>
      <c r="C366" s="26"/>
      <c r="D366" s="46">
        <f>IF(ISBLANK(C366),INDEX(LicenseeSelect!$AP$511:$AZ$511,MATCH(YEAR(EOMONTH(A366,15)),LicenseeSelect!$AP$510:$AZ$510,0))/100,"-")</f>
        <v>2.0983342920036119E-2</v>
      </c>
      <c r="E366" s="12">
        <f t="shared" si="10"/>
        <v>151.12411453207818</v>
      </c>
      <c r="F366" s="12">
        <f t="shared" si="11"/>
        <v>410.59116730147809</v>
      </c>
    </row>
    <row r="367" spans="1:6" x14ac:dyDescent="0.35">
      <c r="A367" s="2">
        <v>47362</v>
      </c>
      <c r="C367" s="26"/>
      <c r="D367" s="46">
        <f>IF(ISBLANK(C367),INDEX(LicenseeSelect!$AP$511:$AZ$511,MATCH(YEAR(EOMONTH(A367,15)),LicenseeSelect!$AP$510:$AZ$510,0))/100,"-")</f>
        <v>2.0983342920036119E-2</v>
      </c>
      <c r="E367" s="12">
        <f t="shared" si="10"/>
        <v>151.38586405638512</v>
      </c>
      <c r="F367" s="12">
        <f t="shared" si="11"/>
        <v>411.30231815293916</v>
      </c>
    </row>
    <row r="368" spans="1:6" x14ac:dyDescent="0.35">
      <c r="A368" s="2">
        <v>47392</v>
      </c>
      <c r="C368" s="26"/>
      <c r="D368" s="46">
        <f>IF(ISBLANK(C368),INDEX(LicenseeSelect!$AP$511:$AZ$511,MATCH(YEAR(EOMONTH(A368,15)),LicenseeSelect!$AP$510:$AZ$510,0))/100,"-")</f>
        <v>2.1355060506057066E-2</v>
      </c>
      <c r="E368" s="12">
        <f t="shared" si="10"/>
        <v>151.65266714494703</v>
      </c>
      <c r="F368" s="12">
        <f t="shared" si="11"/>
        <v>412.02719910202831</v>
      </c>
    </row>
    <row r="369" spans="1:6" x14ac:dyDescent="0.35">
      <c r="A369" s="2">
        <v>47423</v>
      </c>
      <c r="C369" s="26"/>
      <c r="D369" s="46">
        <f>IF(ISBLANK(C369),INDEX(LicenseeSelect!$AP$511:$AZ$511,MATCH(YEAR(EOMONTH(A369,15)),LicenseeSelect!$AP$510:$AZ$510,0))/100,"-")</f>
        <v>2.1355060506057066E-2</v>
      </c>
      <c r="E369" s="12">
        <f t="shared" si="10"/>
        <v>151.91994044840322</v>
      </c>
      <c r="F369" s="12">
        <f t="shared" si="11"/>
        <v>412.75335758437501</v>
      </c>
    </row>
    <row r="370" spans="1:6" x14ac:dyDescent="0.35">
      <c r="A370" s="2">
        <v>47453</v>
      </c>
      <c r="C370" s="26"/>
      <c r="D370" s="46">
        <f>IF(ISBLANK(C370),INDEX(LicenseeSelect!$AP$511:$AZ$511,MATCH(YEAR(EOMONTH(A370,15)),LicenseeSelect!$AP$510:$AZ$510,0))/100,"-")</f>
        <v>2.1355060506057066E-2</v>
      </c>
      <c r="E370" s="12">
        <f t="shared" si="10"/>
        <v>152.18768479546245</v>
      </c>
      <c r="F370" s="12">
        <f t="shared" si="11"/>
        <v>413.4807958515093</v>
      </c>
    </row>
    <row r="371" spans="1:6" x14ac:dyDescent="0.35">
      <c r="A371" s="2">
        <v>47484</v>
      </c>
      <c r="C371" s="26"/>
      <c r="D371" s="46">
        <f>IF(ISBLANK(C371),INDEX(LicenseeSelect!$AP$511:$AZ$511,MATCH(YEAR(EOMONTH(A371,15)),LicenseeSelect!$AP$510:$AZ$510,0))/100,"-")</f>
        <v>2.1355060506057066E-2</v>
      </c>
      <c r="E371" s="12">
        <f t="shared" si="10"/>
        <v>152.45590101629395</v>
      </c>
      <c r="F371" s="12">
        <f t="shared" si="11"/>
        <v>414.20951615892932</v>
      </c>
    </row>
    <row r="372" spans="1:6" x14ac:dyDescent="0.35">
      <c r="A372" s="2">
        <v>47515</v>
      </c>
      <c r="C372" s="26"/>
      <c r="D372" s="46">
        <f>IF(ISBLANK(C372),INDEX(LicenseeSelect!$AP$511:$AZ$511,MATCH(YEAR(EOMONTH(A372,15)),LicenseeSelect!$AP$510:$AZ$510,0))/100,"-")</f>
        <v>2.1355060506057066E-2</v>
      </c>
      <c r="E372" s="12">
        <f t="shared" si="10"/>
        <v>152.72458994253006</v>
      </c>
      <c r="F372" s="12">
        <f t="shared" si="11"/>
        <v>414.93952076610833</v>
      </c>
    </row>
    <row r="373" spans="1:6" x14ac:dyDescent="0.35">
      <c r="A373" s="2">
        <v>47543</v>
      </c>
      <c r="C373" s="26"/>
      <c r="D373" s="46">
        <f>IF(ISBLANK(C373),INDEX(LicenseeSelect!$AP$511:$AZ$511,MATCH(YEAR(EOMONTH(A373,15)),LicenseeSelect!$AP$510:$AZ$510,0))/100,"-")</f>
        <v>2.1355060506057066E-2</v>
      </c>
      <c r="E373" s="12">
        <f t="shared" si="10"/>
        <v>152.99375240726877</v>
      </c>
      <c r="F373" s="12">
        <f t="shared" si="11"/>
        <v>415.67081193650159</v>
      </c>
    </row>
    <row r="374" spans="1:6" x14ac:dyDescent="0.35">
      <c r="A374" s="2">
        <v>47574</v>
      </c>
      <c r="C374" s="26"/>
      <c r="D374" s="46">
        <f>IF(ISBLANK(C374),INDEX(LicenseeSelect!$AP$511:$AZ$511,MATCH(YEAR(EOMONTH(A374,15)),LicenseeSelect!$AP$510:$AZ$510,0))/100,"-")</f>
        <v>2.1355060506057066E-2</v>
      </c>
      <c r="E374" s="12">
        <f t="shared" si="10"/>
        <v>153.26338924507635</v>
      </c>
      <c r="F374" s="12">
        <f t="shared" si="11"/>
        <v>416.40339193755364</v>
      </c>
    </row>
    <row r="375" spans="1:6" x14ac:dyDescent="0.35">
      <c r="A375" s="2">
        <v>47604</v>
      </c>
      <c r="C375" s="26"/>
      <c r="D375" s="46">
        <f>IF(ISBLANK(C375),INDEX(LicenseeSelect!$AP$511:$AZ$511,MATCH(YEAR(EOMONTH(A375,15)),LicenseeSelect!$AP$510:$AZ$510,0))/100,"-")</f>
        <v>2.1355060506057066E-2</v>
      </c>
      <c r="E375" s="12">
        <f t="shared" si="10"/>
        <v>153.53350129198992</v>
      </c>
      <c r="F375" s="12">
        <f t="shared" si="11"/>
        <v>417.13726304070508</v>
      </c>
    </row>
    <row r="376" spans="1:6" x14ac:dyDescent="0.35">
      <c r="A376" s="2">
        <v>47635</v>
      </c>
      <c r="C376" s="26"/>
      <c r="D376" s="46">
        <f>IF(ISBLANK(C376),INDEX(LicenseeSelect!$AP$511:$AZ$511,MATCH(YEAR(EOMONTH(A376,15)),LicenseeSelect!$AP$510:$AZ$510,0))/100,"-")</f>
        <v>2.1355060506057066E-2</v>
      </c>
      <c r="E376" s="12">
        <f t="shared" si="10"/>
        <v>153.80408938552003</v>
      </c>
      <c r="F376" s="12">
        <f t="shared" si="11"/>
        <v>417.87242752139969</v>
      </c>
    </row>
    <row r="377" spans="1:6" x14ac:dyDescent="0.35">
      <c r="A377" s="2">
        <v>47665</v>
      </c>
      <c r="C377" s="26"/>
      <c r="D377" s="46">
        <f>IF(ISBLANK(C377),INDEX(LicenseeSelect!$AP$511:$AZ$511,MATCH(YEAR(EOMONTH(A377,15)),LicenseeSelect!$AP$510:$AZ$510,0))/100,"-")</f>
        <v>2.1355060506057066E-2</v>
      </c>
      <c r="E377" s="12">
        <f t="shared" si="10"/>
        <v>154.07515436465323</v>
      </c>
      <c r="F377" s="12">
        <f t="shared" si="11"/>
        <v>418.60888765909158</v>
      </c>
    </row>
    <row r="378" spans="1:6" x14ac:dyDescent="0.35">
      <c r="A378" s="2">
        <v>47696</v>
      </c>
      <c r="C378" s="26"/>
      <c r="D378" s="46">
        <f>IF(ISBLANK(C378),INDEX(LicenseeSelect!$AP$511:$AZ$511,MATCH(YEAR(EOMONTH(A378,15)),LicenseeSelect!$AP$510:$AZ$510,0))/100,"-")</f>
        <v>2.1355060506057066E-2</v>
      </c>
      <c r="E378" s="12">
        <f t="shared" si="10"/>
        <v>154.34669706985474</v>
      </c>
      <c r="F378" s="12">
        <f t="shared" si="11"/>
        <v>419.34664573725212</v>
      </c>
    </row>
    <row r="379" spans="1:6" x14ac:dyDescent="0.35">
      <c r="A379" s="2">
        <v>47727</v>
      </c>
      <c r="C379" s="26"/>
      <c r="D379" s="46">
        <f>IF(ISBLANK(C379),INDEX(LicenseeSelect!$AP$511:$AZ$511,MATCH(YEAR(EOMONTH(A379,15)),LicenseeSelect!$AP$510:$AZ$510,0))/100,"-")</f>
        <v>2.1355060506057066E-2</v>
      </c>
      <c r="E379" s="12">
        <f t="shared" si="10"/>
        <v>154.61871834307104</v>
      </c>
      <c r="F379" s="12">
        <f t="shared" si="11"/>
        <v>420.08570404337706</v>
      </c>
    </row>
    <row r="380" spans="1:6" x14ac:dyDescent="0.35">
      <c r="A380" s="2">
        <v>47757</v>
      </c>
      <c r="C380" s="26"/>
      <c r="D380" s="46">
        <f>IF(ISBLANK(C380),INDEX(LicenseeSelect!$AP$511:$AZ$511,MATCH(YEAR(EOMONTH(A380,15)),LicenseeSelect!$AP$510:$AZ$510,0))/100,"-")</f>
        <v>2.1355060506057066E-2</v>
      </c>
      <c r="E380" s="12">
        <f t="shared" si="10"/>
        <v>154.89121902773238</v>
      </c>
      <c r="F380" s="12">
        <f t="shared" si="11"/>
        <v>420.82606486899368</v>
      </c>
    </row>
    <row r="381" spans="1:6" x14ac:dyDescent="0.35">
      <c r="A381" s="2">
        <v>47788</v>
      </c>
      <c r="C381" s="26"/>
      <c r="D381" s="46">
        <f>IF(ISBLANK(C381),INDEX(LicenseeSelect!$AP$511:$AZ$511,MATCH(YEAR(EOMONTH(A381,15)),LicenseeSelect!$AP$510:$AZ$510,0))/100,"-")</f>
        <v>2.1355060506057066E-2</v>
      </c>
      <c r="E381" s="12">
        <f t="shared" si="10"/>
        <v>155.16419996875555</v>
      </c>
      <c r="F381" s="12">
        <f t="shared" si="11"/>
        <v>421.56773050966791</v>
      </c>
    </row>
    <row r="382" spans="1:6" x14ac:dyDescent="0.35">
      <c r="A382" s="2">
        <v>47818</v>
      </c>
      <c r="C382" s="26"/>
      <c r="D382" s="46">
        <f>IF(ISBLANK(C382),INDEX(LicenseeSelect!$AP$511:$AZ$511,MATCH(YEAR(EOMONTH(A382,15)),LicenseeSelect!$AP$510:$AZ$510,0))/100,"-")</f>
        <v>2.1355060506057066E-2</v>
      </c>
      <c r="E382" s="12">
        <f t="shared" si="10"/>
        <v>155.43766201254638</v>
      </c>
      <c r="F382" s="12">
        <f t="shared" si="11"/>
        <v>422.31070326501128</v>
      </c>
    </row>
    <row r="383" spans="1:6" x14ac:dyDescent="0.35">
      <c r="A383" s="2">
        <v>47849</v>
      </c>
      <c r="C383" s="26"/>
      <c r="D383" s="46">
        <f>IF(ISBLANK(C383),INDEX(LicenseeSelect!$AP$511:$AZ$511,MATCH(YEAR(EOMONTH(A383,15)),LicenseeSelect!$AP$510:$AZ$510,0))/100,"-")</f>
        <v>2.1355060506057066E-2</v>
      </c>
      <c r="E383" s="12">
        <f t="shared" si="10"/>
        <v>155.71160600700244</v>
      </c>
      <c r="F383" s="12">
        <f t="shared" si="11"/>
        <v>423.05498543868828</v>
      </c>
    </row>
    <row r="384" spans="1:6" x14ac:dyDescent="0.35">
      <c r="A384" s="2">
        <v>47880</v>
      </c>
      <c r="C384" s="26"/>
      <c r="D384" s="46">
        <f>IF(ISBLANK(C384),INDEX(LicenseeSelect!$AP$511:$AZ$511,MATCH(YEAR(EOMONTH(A384,15)),LicenseeSelect!$AP$510:$AZ$510,0))/100,"-")</f>
        <v>2.1355060506057066E-2</v>
      </c>
      <c r="E384" s="12">
        <f t="shared" si="10"/>
        <v>155.98603280151562</v>
      </c>
      <c r="F384" s="12">
        <f t="shared" si="11"/>
        <v>423.80057933842329</v>
      </c>
    </row>
    <row r="385" spans="1:6" x14ac:dyDescent="0.35">
      <c r="A385" s="2">
        <v>47908</v>
      </c>
      <c r="C385" s="26"/>
      <c r="D385" s="46">
        <f>IF(ISBLANK(C385),INDEX(LicenseeSelect!$AP$511:$AZ$511,MATCH(YEAR(EOMONTH(A385,15)),LicenseeSelect!$AP$510:$AZ$510,0))/100,"-")</f>
        <v>2.1355060506057066E-2</v>
      </c>
      <c r="E385" s="12">
        <f t="shared" si="10"/>
        <v>156.26094324697479</v>
      </c>
      <c r="F385" s="12">
        <f t="shared" si="11"/>
        <v>424.54748727600787</v>
      </c>
    </row>
  </sheetData>
  <pageMargins left="0.7" right="0.7" top="0.75" bottom="0.75" header="0.3" footer="0.3"/>
  <pageSetup paperSize="9" orientation="portrait" r:id="rId1"/>
  <headerFooter>
    <oddHeader>&amp;L&amp;"Aptos"&amp;10&amp;K000000 Classified as Internal&amp;1#_x000D_</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0FDB5-3786-411A-BC60-D418E55D3E2F}">
  <sheetPr>
    <tabColor rgb="FFFF9900"/>
    <pageSetUpPr autoPageBreaks="0"/>
  </sheetPr>
  <dimension ref="A1:P69"/>
  <sheetViews>
    <sheetView zoomScaleNormal="100" workbookViewId="0"/>
  </sheetViews>
  <sheetFormatPr defaultColWidth="0" defaultRowHeight="15" customHeight="1" zeroHeight="1" x14ac:dyDescent="0.35"/>
  <cols>
    <col min="1" max="1" width="9.08984375" customWidth="1"/>
    <col min="2" max="2" width="17.6328125" bestFit="1" customWidth="1"/>
    <col min="3" max="3" width="2.6328125" customWidth="1"/>
    <col min="4" max="7" width="9.08984375" customWidth="1"/>
    <col min="8" max="15" width="9.08984375" hidden="1" customWidth="1"/>
    <col min="16" max="16" width="11.90625" hidden="1" customWidth="1"/>
    <col min="17" max="16384" width="9.08984375" hidden="1"/>
  </cols>
  <sheetData>
    <row r="1" spans="1:3" ht="15" customHeight="1" x14ac:dyDescent="0.35"/>
    <row r="2" spans="1:3" ht="15" customHeight="1" x14ac:dyDescent="0.35"/>
    <row r="3" spans="1:3" ht="15" customHeight="1" x14ac:dyDescent="0.35"/>
    <row r="4" spans="1:3" ht="15" customHeight="1" x14ac:dyDescent="0.35"/>
    <row r="5" spans="1:3" ht="15" customHeight="1" x14ac:dyDescent="0.35"/>
    <row r="6" spans="1:3" ht="20" thickBot="1" x14ac:dyDescent="0.5">
      <c r="A6" s="13" t="s">
        <v>867</v>
      </c>
    </row>
    <row r="7" spans="1:3" ht="18" thickTop="1" thickBot="1" x14ac:dyDescent="0.45">
      <c r="B7" s="15" t="s">
        <v>870</v>
      </c>
    </row>
    <row r="8" spans="1:3" thickTop="1" x14ac:dyDescent="0.35"/>
    <row r="9" spans="1:3" ht="14.5" x14ac:dyDescent="0.35"/>
    <row r="10" spans="1:3" ht="14.5" x14ac:dyDescent="0.35"/>
    <row r="11" spans="1:3" ht="17.5" thickBot="1" x14ac:dyDescent="0.45">
      <c r="B11" s="15" t="s">
        <v>868</v>
      </c>
    </row>
    <row r="12" spans="1:3" thickTop="1" x14ac:dyDescent="0.35">
      <c r="B12" t="s">
        <v>581</v>
      </c>
      <c r="C12" s="1">
        <v>1</v>
      </c>
    </row>
    <row r="13" spans="1:3" ht="14.5" x14ac:dyDescent="0.35">
      <c r="B13" t="s">
        <v>582</v>
      </c>
      <c r="C13" s="1">
        <v>2</v>
      </c>
    </row>
    <row r="14" spans="1:3" ht="14.5" x14ac:dyDescent="0.35">
      <c r="B14" t="s">
        <v>583</v>
      </c>
      <c r="C14" s="1">
        <v>3</v>
      </c>
    </row>
    <row r="15" spans="1:3" ht="14.5" x14ac:dyDescent="0.35">
      <c r="B15" t="s">
        <v>584</v>
      </c>
      <c r="C15" s="1">
        <v>4</v>
      </c>
    </row>
    <row r="16" spans="1:3" ht="14.5" x14ac:dyDescent="0.35">
      <c r="B16" t="s">
        <v>585</v>
      </c>
      <c r="C16" s="1">
        <v>5</v>
      </c>
    </row>
    <row r="17" spans="1:3" ht="14.5" x14ac:dyDescent="0.35">
      <c r="B17" t="s">
        <v>586</v>
      </c>
      <c r="C17" s="1">
        <v>6</v>
      </c>
    </row>
    <row r="18" spans="1:3" ht="14.5" x14ac:dyDescent="0.35">
      <c r="B18" t="s">
        <v>587</v>
      </c>
      <c r="C18" s="1">
        <v>7</v>
      </c>
    </row>
    <row r="19" spans="1:3" ht="14.5" x14ac:dyDescent="0.35">
      <c r="B19" t="s">
        <v>588</v>
      </c>
      <c r="C19" s="1">
        <v>8</v>
      </c>
    </row>
    <row r="20" spans="1:3" ht="14.5" x14ac:dyDescent="0.35">
      <c r="C20" s="1"/>
    </row>
    <row r="21" spans="1:3" ht="17.5" thickBot="1" x14ac:dyDescent="0.45">
      <c r="B21" s="15" t="s">
        <v>869</v>
      </c>
      <c r="C21" s="1"/>
    </row>
    <row r="22" spans="1:3" thickTop="1" x14ac:dyDescent="0.35">
      <c r="B22" s="129" t="str">
        <f>INDEX(B12:B19,MATCH(m_identity,C12:C19,0))</f>
        <v>Scotland</v>
      </c>
      <c r="C22" s="130">
        <v>6</v>
      </c>
    </row>
    <row r="23" spans="1:3" ht="14.5" x14ac:dyDescent="0.35">
      <c r="C23" s="1"/>
    </row>
    <row r="24" spans="1:3" ht="14.5" x14ac:dyDescent="0.35"/>
    <row r="25" spans="1:3" ht="20" thickBot="1" x14ac:dyDescent="0.5">
      <c r="A25" s="13" t="s">
        <v>386</v>
      </c>
    </row>
    <row r="26" spans="1:3" thickTop="1" x14ac:dyDescent="0.35"/>
    <row r="27" spans="1:3" ht="14.5" x14ac:dyDescent="0.35"/>
    <row r="28" spans="1:3" ht="14.5" hidden="1" x14ac:dyDescent="0.35"/>
    <row r="29" spans="1:3" ht="14.5" hidden="1" x14ac:dyDescent="0.35"/>
    <row r="30" spans="1:3" ht="14.5" hidden="1" x14ac:dyDescent="0.35"/>
    <row r="31" spans="1:3" ht="14.5" hidden="1" x14ac:dyDescent="0.35"/>
    <row r="32" spans="1:3" ht="14.5" hidden="1" x14ac:dyDescent="0.35"/>
    <row r="33" ht="14.5" hidden="1" x14ac:dyDescent="0.35"/>
    <row r="34" ht="14.5" hidden="1" x14ac:dyDescent="0.35"/>
    <row r="35" ht="14.5" hidden="1" x14ac:dyDescent="0.35"/>
    <row r="36" ht="14.5" hidden="1" x14ac:dyDescent="0.35"/>
    <row r="37" ht="14.5" hidden="1" x14ac:dyDescent="0.35"/>
    <row r="39" ht="14.5" hidden="1" x14ac:dyDescent="0.35"/>
    <row r="40" ht="14.5" hidden="1" x14ac:dyDescent="0.35"/>
    <row r="41" ht="14.5" hidden="1" x14ac:dyDescent="0.35"/>
    <row r="42" ht="14.5" hidden="1" x14ac:dyDescent="0.35"/>
    <row r="43" ht="14.5" hidden="1" x14ac:dyDescent="0.35"/>
    <row r="44" ht="14.5" hidden="1" x14ac:dyDescent="0.35"/>
    <row r="45" ht="14.5" hidden="1" x14ac:dyDescent="0.35"/>
    <row r="46" ht="14.5" hidden="1" x14ac:dyDescent="0.35"/>
    <row r="47" ht="14.5" hidden="1" x14ac:dyDescent="0.35"/>
    <row r="48" ht="14.5" hidden="1" x14ac:dyDescent="0.35"/>
    <row r="49" ht="14.5" hidden="1" x14ac:dyDescent="0.35"/>
    <row r="50" ht="14.5" hidden="1" x14ac:dyDescent="0.35"/>
    <row r="51" ht="14.5" hidden="1" x14ac:dyDescent="0.35"/>
    <row r="52" ht="14.5" hidden="1" x14ac:dyDescent="0.35"/>
    <row r="53" ht="14.5" hidden="1" x14ac:dyDescent="0.35"/>
    <row r="54" ht="14.5" hidden="1" x14ac:dyDescent="0.35"/>
    <row r="55" ht="14.5" hidden="1" x14ac:dyDescent="0.35"/>
    <row r="56" ht="14.5" hidden="1" x14ac:dyDescent="0.35"/>
    <row r="57" ht="14.5" hidden="1" x14ac:dyDescent="0.35"/>
    <row r="58" ht="14.5" hidden="1" x14ac:dyDescent="0.35"/>
    <row r="59" ht="14.5" hidden="1" x14ac:dyDescent="0.35"/>
    <row r="60" ht="14.5" hidden="1" x14ac:dyDescent="0.35"/>
    <row r="61" ht="14.5" hidden="1" x14ac:dyDescent="0.35"/>
    <row r="62" ht="14.5" hidden="1" x14ac:dyDescent="0.35"/>
    <row r="63" ht="14.5" hidden="1" x14ac:dyDescent="0.35"/>
    <row r="64" ht="14.5" hidden="1" x14ac:dyDescent="0.35"/>
    <row r="69" ht="14.5" hidden="1" x14ac:dyDescent="0.35"/>
  </sheetData>
  <pageMargins left="0.7" right="0.7" top="0.75" bottom="0.75" header="0.3" footer="0.3"/>
  <pageSetup paperSize="9" orientation="portrait" r:id="rId1"/>
  <headerFooter>
    <oddHeader>&amp;L&amp;"Aptos"&amp;10&amp;K000000 Classified as Internal&amp;1#_x000D_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44033" r:id="rId4" name="Drop Down 1">
              <controlPr defaultSize="0" autoLine="0" autoPict="0" altText="Dropdown box for selecting licensee">
                <anchor moveWithCells="1">
                  <from>
                    <xdr:col>1</xdr:col>
                    <xdr:colOff>25400</xdr:colOff>
                    <xdr:row>7</xdr:row>
                    <xdr:rowOff>76200</xdr:rowOff>
                  </from>
                  <to>
                    <xdr:col>2</xdr:col>
                    <xdr:colOff>177800</xdr:colOff>
                    <xdr:row>8</xdr:row>
                    <xdr:rowOff>152400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840B1-3F59-4FB1-BAC2-6AC228F40D2D}">
  <sheetPr codeName="Sheet22">
    <tabColor rgb="FFFFFFCC"/>
    <pageSetUpPr autoPageBreaks="0" fitToPage="1"/>
  </sheetPr>
  <dimension ref="A1:BM881"/>
  <sheetViews>
    <sheetView zoomScale="85" zoomScaleNormal="85" workbookViewId="0">
      <pane xSplit="45" ySplit="4" topLeftCell="AT44" activePane="bottomRight" state="frozen"/>
      <selection activeCell="AT5" sqref="AT5"/>
      <selection pane="topRight" activeCell="AT5" sqref="AT5"/>
      <selection pane="bottomLeft" activeCell="AT5" sqref="AT5"/>
      <selection pane="bottomRight" activeCell="AV57" sqref="AV57"/>
    </sheetView>
  </sheetViews>
  <sheetFormatPr defaultColWidth="0" defaultRowHeight="16" zeroHeight="1" outlineLevelCol="1" x14ac:dyDescent="0.35"/>
  <cols>
    <col min="1" max="2" width="1.90625" style="6" customWidth="1"/>
    <col min="3" max="3" width="1.90625" customWidth="1"/>
    <col min="4" max="4" width="15.6328125" customWidth="1"/>
    <col min="5" max="5" width="65.6328125" style="33" customWidth="1"/>
    <col min="6" max="6" width="8.6328125" style="33" customWidth="1"/>
    <col min="7" max="7" width="17.6328125" style="33" customWidth="1"/>
    <col min="8" max="8" width="9.6328125" style="33" customWidth="1"/>
    <col min="9" max="9" width="11.6328125" style="33" customWidth="1"/>
    <col min="10" max="10" width="2.08984375" style="33" customWidth="1"/>
    <col min="11" max="45" width="11.6328125" style="33" hidden="1" customWidth="1" outlineLevel="1"/>
    <col min="46" max="46" width="11.6328125" style="60" customWidth="1" collapsed="1"/>
    <col min="47" max="51" width="11.6328125" style="33" customWidth="1"/>
    <col min="52" max="52" width="18.6328125" style="33" customWidth="1"/>
    <col min="53" max="56" width="10.6328125" style="34" customWidth="1"/>
    <col min="57" max="57" width="10.6328125" style="33" customWidth="1"/>
    <col min="58" max="58" width="1.6328125" style="33" customWidth="1"/>
    <col min="59" max="59" width="1.6328125" style="6" customWidth="1"/>
    <col min="60" max="60" width="12.08984375" style="6" hidden="1" customWidth="1"/>
    <col min="61" max="61" width="16" style="6" hidden="1" customWidth="1"/>
    <col min="62" max="64" width="12.08984375" style="6" hidden="1" customWidth="1"/>
    <col min="65" max="65" width="1.90625" style="6" hidden="1" customWidth="1"/>
    <col min="66" max="16384" width="0" style="6" hidden="1"/>
  </cols>
  <sheetData>
    <row r="1" spans="1:56" s="90" customFormat="1" ht="14.5" x14ac:dyDescent="0.35">
      <c r="A1" s="89" t="str" cm="1">
        <f t="array" aca="1" ref="A1" ca="1">MID(CELL("filename",$A$1),FIND("]",CELL("filename",$A$1))+1,255)</f>
        <v>Scotland</v>
      </c>
      <c r="E1" s="106"/>
      <c r="G1" s="90" t="s">
        <v>572</v>
      </c>
      <c r="H1" s="27" t="e">
        <f>Checks!I7</f>
        <v>#REF!</v>
      </c>
      <c r="AT1" s="91"/>
      <c r="BA1" s="92"/>
    </row>
    <row r="2" spans="1:56" s="90" customFormat="1" ht="14.5" x14ac:dyDescent="0.35">
      <c r="AT2" s="91"/>
      <c r="BA2" s="92"/>
    </row>
    <row r="3" spans="1:56" s="90" customFormat="1" ht="14.5" x14ac:dyDescent="0.35">
      <c r="E3" s="90" t="s">
        <v>1</v>
      </c>
      <c r="F3" s="90" t="s">
        <v>2</v>
      </c>
      <c r="G3" s="90" t="s">
        <v>3</v>
      </c>
      <c r="H3" s="90" t="s">
        <v>4</v>
      </c>
      <c r="AT3" s="91"/>
      <c r="AU3" s="90" t="s">
        <v>6</v>
      </c>
      <c r="BA3" s="92"/>
    </row>
    <row r="4" spans="1:56" s="90" customFormat="1" ht="14.5" x14ac:dyDescent="0.35">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109" t="s">
        <v>591</v>
      </c>
      <c r="BB4" s="109" t="s">
        <v>592</v>
      </c>
      <c r="BC4" s="109" t="s">
        <v>593</v>
      </c>
      <c r="BD4" s="109" t="s">
        <v>594</v>
      </c>
    </row>
    <row r="5" spans="1:56" x14ac:dyDescent="0.35"/>
    <row r="6" spans="1:56" ht="20" thickBot="1" x14ac:dyDescent="0.4">
      <c r="A6" s="7" t="s">
        <v>8</v>
      </c>
    </row>
    <row r="7" spans="1:56" ht="18" thickTop="1" thickBot="1" x14ac:dyDescent="0.4">
      <c r="B7" s="8" t="s">
        <v>9</v>
      </c>
    </row>
    <row r="8" spans="1:56" ht="17" thickTop="1" thickBot="1" x14ac:dyDescent="0.4">
      <c r="C8" s="9" t="s">
        <v>10</v>
      </c>
    </row>
    <row r="9" spans="1:56" x14ac:dyDescent="0.35">
      <c r="E9" s="33" t="s">
        <v>11</v>
      </c>
      <c r="G9" s="33" t="str">
        <f>price_label</f>
        <v>£m 23/24 prices</v>
      </c>
      <c r="H9" s="33" t="s">
        <v>12</v>
      </c>
      <c r="AU9" s="137">
        <v>0</v>
      </c>
      <c r="AV9" s="20">
        <v>0</v>
      </c>
      <c r="AW9" s="20">
        <v>0</v>
      </c>
      <c r="AX9" s="20">
        <v>0</v>
      </c>
      <c r="AY9" s="20">
        <v>0</v>
      </c>
      <c r="BA9" s="34" t="str">
        <f ca="1">$A$1</f>
        <v>Scotland</v>
      </c>
      <c r="BB9" s="34" t="str">
        <f>$A$6</f>
        <v>Variable inputs</v>
      </c>
      <c r="BC9" s="34" t="str">
        <f>$B$7</f>
        <v>Actual totex</v>
      </c>
      <c r="BD9" s="34" t="str">
        <f>$C$8</f>
        <v>Capitalisation rate 1</v>
      </c>
    </row>
    <row r="10" spans="1:56" x14ac:dyDescent="0.35">
      <c r="E10" s="33" t="s">
        <v>14</v>
      </c>
      <c r="G10" s="33" t="str">
        <f>price_label</f>
        <v>£m 23/24 prices</v>
      </c>
      <c r="H10" s="33" t="s">
        <v>15</v>
      </c>
      <c r="AU10" s="137">
        <v>0</v>
      </c>
      <c r="AV10" s="20">
        <v>0</v>
      </c>
      <c r="AW10" s="20">
        <v>0</v>
      </c>
      <c r="AX10" s="20">
        <v>0</v>
      </c>
      <c r="AY10" s="20">
        <v>0</v>
      </c>
      <c r="BA10" s="34" t="str">
        <f t="shared" ref="BA10:BA13" ca="1" si="0">$A$1</f>
        <v>Scotland</v>
      </c>
      <c r="BB10" s="34" t="str">
        <f t="shared" ref="BB10:BB13" si="1">$A$6</f>
        <v>Variable inputs</v>
      </c>
      <c r="BC10" s="34" t="str">
        <f t="shared" ref="BC10:BC13" si="2">$B$7</f>
        <v>Actual totex</v>
      </c>
      <c r="BD10" s="34" t="str">
        <f t="shared" ref="BD10:BD13" si="3">$C$8</f>
        <v>Capitalisation rate 1</v>
      </c>
    </row>
    <row r="11" spans="1:56" x14ac:dyDescent="0.35">
      <c r="E11" s="33" t="s">
        <v>16</v>
      </c>
      <c r="G11" s="33" t="str">
        <f>price_label</f>
        <v>£m 23/24 prices</v>
      </c>
      <c r="H11" s="33" t="s">
        <v>17</v>
      </c>
      <c r="AU11" s="137">
        <v>0</v>
      </c>
      <c r="AV11" s="20">
        <v>0</v>
      </c>
      <c r="AW11" s="20">
        <v>0</v>
      </c>
      <c r="AX11" s="20">
        <v>0</v>
      </c>
      <c r="AY11" s="20">
        <v>0</v>
      </c>
      <c r="BA11" s="34" t="str">
        <f t="shared" ca="1" si="0"/>
        <v>Scotland</v>
      </c>
      <c r="BB11" s="34" t="str">
        <f t="shared" si="1"/>
        <v>Variable inputs</v>
      </c>
      <c r="BC11" s="34" t="str">
        <f t="shared" si="2"/>
        <v>Actual totex</v>
      </c>
      <c r="BD11" s="34" t="str">
        <f t="shared" si="3"/>
        <v>Capitalisation rate 1</v>
      </c>
    </row>
    <row r="12" spans="1:56" x14ac:dyDescent="0.35">
      <c r="E12" s="33" t="s">
        <v>18</v>
      </c>
      <c r="G12" s="33" t="str">
        <f>price_label</f>
        <v>£m 23/24 prices</v>
      </c>
      <c r="H12" s="33" t="s">
        <v>19</v>
      </c>
      <c r="AU12" s="137">
        <v>0</v>
      </c>
      <c r="AV12" s="20">
        <v>0</v>
      </c>
      <c r="AW12" s="20">
        <v>0</v>
      </c>
      <c r="AX12" s="20">
        <v>0</v>
      </c>
      <c r="AY12" s="20">
        <v>0</v>
      </c>
      <c r="BA12" s="34" t="str">
        <f t="shared" ca="1" si="0"/>
        <v>Scotland</v>
      </c>
      <c r="BB12" s="34" t="str">
        <f t="shared" si="1"/>
        <v>Variable inputs</v>
      </c>
      <c r="BC12" s="34" t="str">
        <f t="shared" si="2"/>
        <v>Actual totex</v>
      </c>
      <c r="BD12" s="34" t="str">
        <f t="shared" si="3"/>
        <v>Capitalisation rate 1</v>
      </c>
    </row>
    <row r="13" spans="1:56" x14ac:dyDescent="0.35">
      <c r="E13" s="33" t="s">
        <v>402</v>
      </c>
      <c r="G13" s="33" t="str">
        <f>price_label</f>
        <v>£m 23/24 prices</v>
      </c>
      <c r="H13" s="33" t="s">
        <v>20</v>
      </c>
      <c r="AU13" s="137">
        <v>0</v>
      </c>
      <c r="AV13" s="20">
        <v>0</v>
      </c>
      <c r="AW13" s="20">
        <v>0</v>
      </c>
      <c r="AX13" s="20">
        <v>0</v>
      </c>
      <c r="AY13" s="20">
        <v>0</v>
      </c>
      <c r="BA13" s="34" t="str">
        <f t="shared" ca="1" si="0"/>
        <v>Scotland</v>
      </c>
      <c r="BB13" s="34" t="str">
        <f t="shared" si="1"/>
        <v>Variable inputs</v>
      </c>
      <c r="BC13" s="34" t="str">
        <f t="shared" si="2"/>
        <v>Actual totex</v>
      </c>
      <c r="BD13" s="34" t="str">
        <f t="shared" si="3"/>
        <v>Capitalisation rate 1</v>
      </c>
    </row>
    <row r="14" spans="1:56" x14ac:dyDescent="0.35"/>
    <row r="15" spans="1:56" ht="16.5" thickBot="1" x14ac:dyDescent="0.4">
      <c r="C15" s="9" t="s">
        <v>21</v>
      </c>
    </row>
    <row r="16" spans="1:56" x14ac:dyDescent="0.35">
      <c r="E16" s="33" t="s">
        <v>11</v>
      </c>
      <c r="G16" s="33" t="str">
        <f>price_label</f>
        <v>£m 23/24 prices</v>
      </c>
      <c r="H16" s="33" t="s">
        <v>22</v>
      </c>
      <c r="AU16" s="137">
        <v>0</v>
      </c>
      <c r="AV16" s="20">
        <v>0</v>
      </c>
      <c r="AW16" s="20">
        <v>0</v>
      </c>
      <c r="AX16" s="20">
        <v>0</v>
      </c>
      <c r="AY16" s="20">
        <v>0</v>
      </c>
      <c r="BA16" s="34" t="str">
        <f t="shared" ref="BA16:BA20" ca="1" si="4">$A$1</f>
        <v>Scotland</v>
      </c>
      <c r="BB16" s="34" t="str">
        <f t="shared" ref="BB16:BB20" si="5">$A$6</f>
        <v>Variable inputs</v>
      </c>
      <c r="BC16" s="34" t="str">
        <f t="shared" ref="BC16:BC20" si="6">$B$7</f>
        <v>Actual totex</v>
      </c>
      <c r="BD16" s="34" t="str">
        <f>$C$15</f>
        <v>Capitalisation rate 2</v>
      </c>
    </row>
    <row r="17" spans="2:56" x14ac:dyDescent="0.35">
      <c r="E17" s="33" t="s">
        <v>14</v>
      </c>
      <c r="G17" s="33" t="str">
        <f>price_label</f>
        <v>£m 23/24 prices</v>
      </c>
      <c r="H17" s="33" t="s">
        <v>23</v>
      </c>
      <c r="AU17" s="137">
        <v>0</v>
      </c>
      <c r="AV17" s="20">
        <v>0</v>
      </c>
      <c r="AW17" s="20">
        <v>0</v>
      </c>
      <c r="AX17" s="20">
        <v>0</v>
      </c>
      <c r="AY17" s="20">
        <v>0</v>
      </c>
      <c r="BA17" s="34" t="str">
        <f t="shared" ca="1" si="4"/>
        <v>Scotland</v>
      </c>
      <c r="BB17" s="34" t="str">
        <f t="shared" si="5"/>
        <v>Variable inputs</v>
      </c>
      <c r="BC17" s="34" t="str">
        <f t="shared" si="6"/>
        <v>Actual totex</v>
      </c>
      <c r="BD17" s="34" t="str">
        <f t="shared" ref="BD17:BD20" si="7">$C$15</f>
        <v>Capitalisation rate 2</v>
      </c>
    </row>
    <row r="18" spans="2:56" x14ac:dyDescent="0.35">
      <c r="E18" s="33" t="s">
        <v>16</v>
      </c>
      <c r="G18" s="33" t="str">
        <f>price_label</f>
        <v>£m 23/24 prices</v>
      </c>
      <c r="H18" s="33" t="s">
        <v>24</v>
      </c>
      <c r="AU18" s="137">
        <v>0</v>
      </c>
      <c r="AV18" s="20">
        <v>0</v>
      </c>
      <c r="AW18" s="20">
        <v>0</v>
      </c>
      <c r="AX18" s="20">
        <v>0</v>
      </c>
      <c r="AY18" s="20">
        <v>0</v>
      </c>
      <c r="BA18" s="34" t="str">
        <f t="shared" ca="1" si="4"/>
        <v>Scotland</v>
      </c>
      <c r="BB18" s="34" t="str">
        <f t="shared" si="5"/>
        <v>Variable inputs</v>
      </c>
      <c r="BC18" s="34" t="str">
        <f t="shared" si="6"/>
        <v>Actual totex</v>
      </c>
      <c r="BD18" s="34" t="str">
        <f t="shared" si="7"/>
        <v>Capitalisation rate 2</v>
      </c>
    </row>
    <row r="19" spans="2:56" x14ac:dyDescent="0.35">
      <c r="E19" s="33" t="s">
        <v>18</v>
      </c>
      <c r="G19" s="33" t="str">
        <f>price_label</f>
        <v>£m 23/24 prices</v>
      </c>
      <c r="H19" s="33" t="s">
        <v>25</v>
      </c>
      <c r="AU19" s="137">
        <v>0</v>
      </c>
      <c r="AV19" s="20">
        <v>0</v>
      </c>
      <c r="AW19" s="20">
        <v>0</v>
      </c>
      <c r="AX19" s="20">
        <v>0</v>
      </c>
      <c r="AY19" s="20">
        <v>0</v>
      </c>
      <c r="BA19" s="34" t="str">
        <f t="shared" ca="1" si="4"/>
        <v>Scotland</v>
      </c>
      <c r="BB19" s="34" t="str">
        <f t="shared" si="5"/>
        <v>Variable inputs</v>
      </c>
      <c r="BC19" s="34" t="str">
        <f t="shared" si="6"/>
        <v>Actual totex</v>
      </c>
      <c r="BD19" s="34" t="str">
        <f t="shared" si="7"/>
        <v>Capitalisation rate 2</v>
      </c>
    </row>
    <row r="20" spans="2:56" x14ac:dyDescent="0.35">
      <c r="E20" s="33" t="s">
        <v>402</v>
      </c>
      <c r="G20" s="33" t="str">
        <f>price_label</f>
        <v>£m 23/24 prices</v>
      </c>
      <c r="H20" s="33" t="s">
        <v>26</v>
      </c>
      <c r="AU20" s="137">
        <v>0</v>
      </c>
      <c r="AV20" s="20">
        <v>0</v>
      </c>
      <c r="AW20" s="20">
        <v>0</v>
      </c>
      <c r="AX20" s="20">
        <v>0</v>
      </c>
      <c r="AY20" s="20">
        <v>0</v>
      </c>
      <c r="BA20" s="34" t="str">
        <f t="shared" ca="1" si="4"/>
        <v>Scotland</v>
      </c>
      <c r="BB20" s="34" t="str">
        <f t="shared" si="5"/>
        <v>Variable inputs</v>
      </c>
      <c r="BC20" s="34" t="str">
        <f t="shared" si="6"/>
        <v>Actual totex</v>
      </c>
      <c r="BD20" s="34" t="str">
        <f t="shared" si="7"/>
        <v>Capitalisation rate 2</v>
      </c>
    </row>
    <row r="21" spans="2:56" x14ac:dyDescent="0.35"/>
    <row r="22" spans="2:56" ht="17.5" thickBot="1" x14ac:dyDescent="0.4">
      <c r="B22" s="8" t="s">
        <v>495</v>
      </c>
    </row>
    <row r="23" spans="2:56" ht="16.5" thickTop="1" x14ac:dyDescent="0.35">
      <c r="E23" s="33" t="s">
        <v>195</v>
      </c>
      <c r="G23" s="33" t="str">
        <f>price_label</f>
        <v>£m 23/24 prices</v>
      </c>
      <c r="I23"/>
      <c r="AU23" s="137">
        <v>0.59012268374037224</v>
      </c>
      <c r="AV23" s="20">
        <v>0.59012268374037224</v>
      </c>
      <c r="AW23" s="20">
        <v>0.59012268374037224</v>
      </c>
      <c r="AX23" s="20">
        <v>0.59012268374037224</v>
      </c>
      <c r="AY23" s="20">
        <v>0.59012268374037224</v>
      </c>
      <c r="BA23" s="34" t="str">
        <f t="shared" ref="BA23" ca="1" si="8">$A$1</f>
        <v>Scotland</v>
      </c>
      <c r="BB23" s="34" t="str">
        <f t="shared" ref="BB23" si="9">$A$6</f>
        <v>Variable inputs</v>
      </c>
      <c r="BC23" s="34" t="str">
        <f>$B$22</f>
        <v>Disposals</v>
      </c>
    </row>
    <row r="24" spans="2:56" x14ac:dyDescent="0.35"/>
    <row r="25" spans="2:56" ht="17.5" thickBot="1" x14ac:dyDescent="0.4">
      <c r="B25" s="8" t="s">
        <v>27</v>
      </c>
    </row>
    <row r="26" spans="2:56" ht="16.5" thickTop="1" x14ac:dyDescent="0.35">
      <c r="E26" s="33" t="s">
        <v>28</v>
      </c>
      <c r="F26" s="33" t="s">
        <v>29</v>
      </c>
      <c r="G26" s="33" t="str">
        <f>nominal</f>
        <v>£m nominal</v>
      </c>
      <c r="H26" s="33" t="s">
        <v>30</v>
      </c>
      <c r="AU26" s="137">
        <v>3.229270562628169</v>
      </c>
      <c r="AV26" s="20">
        <v>3.1227167895151688</v>
      </c>
      <c r="AW26" s="20">
        <v>3.0008715144111839</v>
      </c>
      <c r="AX26" s="20">
        <v>3.0016947270797867</v>
      </c>
      <c r="AY26" s="20">
        <v>3.0106945322464527</v>
      </c>
      <c r="BA26" s="34" t="str">
        <f t="shared" ref="BA26:BA36" ca="1" si="10">$A$1</f>
        <v>Scotland</v>
      </c>
      <c r="BB26" s="34" t="str">
        <f t="shared" ref="BB26:BB36" si="11">$A$6</f>
        <v>Variable inputs</v>
      </c>
      <c r="BC26" s="34" t="str">
        <f>$B$25</f>
        <v>Pass-through costs</v>
      </c>
    </row>
    <row r="27" spans="2:56" x14ac:dyDescent="0.35">
      <c r="E27" s="33" t="s">
        <v>889</v>
      </c>
      <c r="F27" s="33" t="s">
        <v>29</v>
      </c>
      <c r="G27" s="33" t="str">
        <f>nominal</f>
        <v>£m nominal</v>
      </c>
      <c r="H27" s="33" t="s">
        <v>32</v>
      </c>
      <c r="AU27" s="137">
        <v>2.914345</v>
      </c>
      <c r="AV27" s="20">
        <v>2.9726319000000001</v>
      </c>
      <c r="AW27" s="20">
        <v>3.0320845380000003</v>
      </c>
      <c r="AX27" s="20">
        <v>3.0927262287600001</v>
      </c>
      <c r="AY27" s="20">
        <v>3.1545807533352002</v>
      </c>
      <c r="BA27" s="34" t="str">
        <f t="shared" ca="1" si="10"/>
        <v>Scotland</v>
      </c>
      <c r="BB27" s="34" t="str">
        <f t="shared" si="11"/>
        <v>Variable inputs</v>
      </c>
      <c r="BC27" s="34" t="str">
        <f t="shared" ref="BC27:BC36" si="12">$B$25</f>
        <v>Pass-through costs</v>
      </c>
    </row>
    <row r="28" spans="2:56" x14ac:dyDescent="0.35">
      <c r="E28" s="33" t="s">
        <v>33</v>
      </c>
      <c r="F28" s="33" t="s">
        <v>29</v>
      </c>
      <c r="G28" s="33" t="str">
        <f>nominal</f>
        <v>£m nominal</v>
      </c>
      <c r="H28" s="33" t="s">
        <v>34</v>
      </c>
      <c r="AU28" s="137">
        <v>48.552515999999997</v>
      </c>
      <c r="AV28" s="20">
        <v>49.466875999999999</v>
      </c>
      <c r="AW28" s="20">
        <v>50.472672000000003</v>
      </c>
      <c r="AX28" s="20">
        <v>51.536089846633168</v>
      </c>
      <c r="AY28" s="20">
        <v>52.63466487913896</v>
      </c>
      <c r="BA28" s="34" t="str">
        <f t="shared" ca="1" si="10"/>
        <v>Scotland</v>
      </c>
      <c r="BB28" s="34" t="str">
        <f t="shared" si="11"/>
        <v>Variable inputs</v>
      </c>
      <c r="BC28" s="34" t="str">
        <f t="shared" si="12"/>
        <v>Pass-through costs</v>
      </c>
    </row>
    <row r="29" spans="2:56" x14ac:dyDescent="0.35">
      <c r="E29" s="33" t="s">
        <v>35</v>
      </c>
      <c r="F29" s="33" t="s">
        <v>29</v>
      </c>
      <c r="G29" s="33" t="str">
        <f>price_label</f>
        <v>£m 23/24 prices</v>
      </c>
      <c r="H29" s="33" t="s">
        <v>36</v>
      </c>
      <c r="AU29" s="137">
        <v>-0.1</v>
      </c>
      <c r="AV29" s="20">
        <v>0</v>
      </c>
      <c r="AW29" s="20">
        <v>0</v>
      </c>
      <c r="AX29" s="20">
        <v>0</v>
      </c>
      <c r="AY29" s="20">
        <v>0</v>
      </c>
      <c r="BA29" s="34" t="str">
        <f t="shared" ca="1" si="10"/>
        <v>Scotland</v>
      </c>
      <c r="BB29" s="34" t="str">
        <f t="shared" si="11"/>
        <v>Variable inputs</v>
      </c>
      <c r="BC29" s="34" t="str">
        <f t="shared" si="12"/>
        <v>Pass-through costs</v>
      </c>
    </row>
    <row r="30" spans="2:56" x14ac:dyDescent="0.35">
      <c r="E30" s="33" t="s">
        <v>37</v>
      </c>
      <c r="F30" s="33" t="s">
        <v>29</v>
      </c>
      <c r="G30" s="33" t="str">
        <f>price_label</f>
        <v>£m 23/24 prices</v>
      </c>
      <c r="H30" s="33" t="s">
        <v>38</v>
      </c>
      <c r="AU30" s="137">
        <v>0</v>
      </c>
      <c r="AV30" s="20">
        <v>0</v>
      </c>
      <c r="AW30" s="20">
        <v>0</v>
      </c>
      <c r="AX30" s="20">
        <v>0</v>
      </c>
      <c r="AY30" s="20">
        <v>0</v>
      </c>
      <c r="BA30" s="34" t="str">
        <f t="shared" ca="1" si="10"/>
        <v>Scotland</v>
      </c>
      <c r="BB30" s="34" t="str">
        <f t="shared" si="11"/>
        <v>Variable inputs</v>
      </c>
      <c r="BC30" s="34" t="str">
        <f t="shared" si="12"/>
        <v>Pass-through costs</v>
      </c>
    </row>
    <row r="31" spans="2:56" x14ac:dyDescent="0.35">
      <c r="E31" s="33" t="s">
        <v>890</v>
      </c>
      <c r="F31" s="33" t="s">
        <v>29</v>
      </c>
      <c r="G31" s="33" t="str">
        <f t="shared" ref="G31:G36" si="13">nominal</f>
        <v>£m nominal</v>
      </c>
      <c r="H31" s="33" t="s">
        <v>40</v>
      </c>
      <c r="AU31" s="137">
        <v>0</v>
      </c>
      <c r="AV31" s="20">
        <v>0</v>
      </c>
      <c r="AW31" s="20">
        <v>0</v>
      </c>
      <c r="AX31" s="20">
        <v>0</v>
      </c>
      <c r="AY31" s="20">
        <v>0</v>
      </c>
      <c r="BA31" s="34" t="str">
        <f t="shared" ca="1" si="10"/>
        <v>Scotland</v>
      </c>
      <c r="BB31" s="34" t="str">
        <f t="shared" si="11"/>
        <v>Variable inputs</v>
      </c>
      <c r="BC31" s="34" t="str">
        <f t="shared" si="12"/>
        <v>Pass-through costs</v>
      </c>
    </row>
    <row r="32" spans="2:56" x14ac:dyDescent="0.35">
      <c r="E32" s="33" t="s">
        <v>891</v>
      </c>
      <c r="F32" s="33" t="s">
        <v>29</v>
      </c>
      <c r="G32" s="33" t="str">
        <f t="shared" si="13"/>
        <v>£m nominal</v>
      </c>
      <c r="H32" s="33" t="s">
        <v>42</v>
      </c>
      <c r="AU32" s="137">
        <v>41.2329515572752</v>
      </c>
      <c r="AV32" s="20">
        <v>45.426995561325015</v>
      </c>
      <c r="AW32" s="20">
        <v>47.391326149249899</v>
      </c>
      <c r="AX32" s="20">
        <v>49.849049294962477</v>
      </c>
      <c r="AY32" s="20">
        <v>50.691906760600354</v>
      </c>
      <c r="BA32" s="34" t="str">
        <f t="shared" ca="1" si="10"/>
        <v>Scotland</v>
      </c>
      <c r="BB32" s="34" t="str">
        <f t="shared" si="11"/>
        <v>Variable inputs</v>
      </c>
      <c r="BC32" s="34" t="str">
        <f t="shared" si="12"/>
        <v>Pass-through costs</v>
      </c>
    </row>
    <row r="33" spans="2:55" x14ac:dyDescent="0.35">
      <c r="E33" s="33" t="s">
        <v>43</v>
      </c>
      <c r="F33" s="33" t="s">
        <v>29</v>
      </c>
      <c r="G33" s="33" t="str">
        <f t="shared" si="13"/>
        <v>£m nominal</v>
      </c>
      <c r="H33" s="33" t="s">
        <v>44</v>
      </c>
      <c r="AU33" s="137">
        <v>3.2</v>
      </c>
      <c r="AV33" s="20">
        <v>3.2</v>
      </c>
      <c r="AW33" s="20">
        <v>3.1</v>
      </c>
      <c r="AX33" s="20">
        <v>3.1619999999999999</v>
      </c>
      <c r="AY33" s="20">
        <v>3.2252399999999999</v>
      </c>
      <c r="BA33" s="34" t="str">
        <f t="shared" ca="1" si="10"/>
        <v>Scotland</v>
      </c>
      <c r="BB33" s="34" t="str">
        <f t="shared" si="11"/>
        <v>Variable inputs</v>
      </c>
      <c r="BC33" s="34" t="str">
        <f t="shared" si="12"/>
        <v>Pass-through costs</v>
      </c>
    </row>
    <row r="34" spans="2:55" x14ac:dyDescent="0.35">
      <c r="E34" s="33" t="s">
        <v>45</v>
      </c>
      <c r="F34" s="33" t="s">
        <v>29</v>
      </c>
      <c r="G34" s="33" t="str">
        <f t="shared" si="13"/>
        <v>£m nominal</v>
      </c>
      <c r="H34" s="33" t="s">
        <v>46</v>
      </c>
      <c r="AU34" s="137">
        <v>-3.2604859654086482</v>
      </c>
      <c r="AV34" s="20">
        <v>0</v>
      </c>
      <c r="AW34" s="20">
        <v>0</v>
      </c>
      <c r="AX34" s="20">
        <v>0</v>
      </c>
      <c r="AY34" s="20">
        <v>0</v>
      </c>
      <c r="BA34" s="34" t="str">
        <f t="shared" ca="1" si="10"/>
        <v>Scotland</v>
      </c>
      <c r="BB34" s="34" t="str">
        <f t="shared" si="11"/>
        <v>Variable inputs</v>
      </c>
      <c r="BC34" s="34" t="str">
        <f t="shared" si="12"/>
        <v>Pass-through costs</v>
      </c>
    </row>
    <row r="35" spans="2:55" x14ac:dyDescent="0.35">
      <c r="E35" s="33" t="s">
        <v>596</v>
      </c>
      <c r="F35" s="33" t="s">
        <v>29</v>
      </c>
      <c r="G35" s="33" t="str">
        <f t="shared" si="13"/>
        <v>£m nominal</v>
      </c>
      <c r="H35" s="33" t="s">
        <v>573</v>
      </c>
      <c r="AU35" s="137">
        <v>0</v>
      </c>
      <c r="AV35" s="20">
        <v>0</v>
      </c>
      <c r="AW35" s="20">
        <v>0</v>
      </c>
      <c r="AX35" s="20">
        <v>0</v>
      </c>
      <c r="AY35" s="20">
        <v>0</v>
      </c>
      <c r="BA35" s="34" t="str">
        <f t="shared" ca="1" si="10"/>
        <v>Scotland</v>
      </c>
      <c r="BB35" s="34" t="str">
        <f t="shared" si="11"/>
        <v>Variable inputs</v>
      </c>
      <c r="BC35" s="34" t="str">
        <f t="shared" si="12"/>
        <v>Pass-through costs</v>
      </c>
    </row>
    <row r="36" spans="2:55" x14ac:dyDescent="0.35">
      <c r="E36" s="33" t="s">
        <v>47</v>
      </c>
      <c r="F36" s="33" t="s">
        <v>29</v>
      </c>
      <c r="G36" s="33" t="str">
        <f t="shared" si="13"/>
        <v>£m nominal</v>
      </c>
      <c r="H36" s="33" t="s">
        <v>48</v>
      </c>
      <c r="AU36" s="137">
        <v>0.88937995999999997</v>
      </c>
      <c r="AV36" s="20">
        <v>0.88170559000000004</v>
      </c>
      <c r="AW36" s="20">
        <v>0.89915988999999996</v>
      </c>
      <c r="AX36" s="20">
        <v>0.90930988000000001</v>
      </c>
      <c r="AY36" s="20">
        <v>0.92749607759999997</v>
      </c>
      <c r="BA36" s="34" t="str">
        <f t="shared" ca="1" si="10"/>
        <v>Scotland</v>
      </c>
      <c r="BB36" s="34" t="str">
        <f t="shared" si="11"/>
        <v>Variable inputs</v>
      </c>
      <c r="BC36" s="34" t="str">
        <f t="shared" si="12"/>
        <v>Pass-through costs</v>
      </c>
    </row>
    <row r="37" spans="2:55" x14ac:dyDescent="0.35">
      <c r="BA37" s="34" t="str" cm="1">
        <f t="array" aca="1" ref="BA37" ca="1">IF(BB37="","",MID(CELL("filename",$A$1),FIND("]",CELL("filename",$A$1))+1,255))</f>
        <v/>
      </c>
    </row>
    <row r="38" spans="2:55" ht="17.5" thickBot="1" x14ac:dyDescent="0.4">
      <c r="B38" s="8" t="s">
        <v>49</v>
      </c>
      <c r="BA38" s="34" t="str" cm="1">
        <f t="array" aca="1" ref="BA38" ca="1">IF(BB38="","",MID(CELL("filename",$A$1),FIND("]",CELL("filename",$A$1))+1,255))</f>
        <v/>
      </c>
    </row>
    <row r="39" spans="2:55" ht="16.5" thickTop="1" x14ac:dyDescent="0.35">
      <c r="E39" s="33" t="s">
        <v>50</v>
      </c>
      <c r="F39" s="33" t="s">
        <v>51</v>
      </c>
      <c r="G39" s="33" t="str">
        <f t="shared" ref="G39:G44" si="14">price_label</f>
        <v>£m 23/24 prices</v>
      </c>
      <c r="H39" s="33" t="s">
        <v>52</v>
      </c>
      <c r="AU39" s="137">
        <v>0</v>
      </c>
      <c r="AV39" s="20">
        <v>0</v>
      </c>
      <c r="AW39" s="20">
        <v>0</v>
      </c>
      <c r="AX39" s="20">
        <v>0</v>
      </c>
      <c r="AY39" s="20">
        <v>0</v>
      </c>
      <c r="BA39" s="34" t="str">
        <f t="shared" ref="BA39:BA44" ca="1" si="15">$A$1</f>
        <v>Scotland</v>
      </c>
      <c r="BB39" s="34" t="str">
        <f t="shared" ref="BB39:BB44" si="16">$A$6</f>
        <v>Variable inputs</v>
      </c>
      <c r="BC39" s="34" t="str">
        <f>$B$38</f>
        <v>Incentive revenue</v>
      </c>
    </row>
    <row r="40" spans="2:55" x14ac:dyDescent="0.35">
      <c r="E40" s="33" t="s">
        <v>53</v>
      </c>
      <c r="F40" s="33" t="s">
        <v>54</v>
      </c>
      <c r="G40" s="33" t="str">
        <f t="shared" si="14"/>
        <v>£m 23/24 prices</v>
      </c>
      <c r="H40" s="33" t="s">
        <v>55</v>
      </c>
      <c r="AU40" s="137">
        <v>0</v>
      </c>
      <c r="AV40" s="20">
        <v>0</v>
      </c>
      <c r="AW40" s="20">
        <v>0</v>
      </c>
      <c r="AX40" s="20">
        <v>0</v>
      </c>
      <c r="AY40" s="20">
        <v>0</v>
      </c>
      <c r="BA40" s="34" t="str">
        <f t="shared" ca="1" si="15"/>
        <v>Scotland</v>
      </c>
      <c r="BB40" s="34" t="str">
        <f t="shared" si="16"/>
        <v>Variable inputs</v>
      </c>
      <c r="BC40" s="34" t="str">
        <f t="shared" ref="BC40:BC44" si="17">$B$38</f>
        <v>Incentive revenue</v>
      </c>
    </row>
    <row r="41" spans="2:55" x14ac:dyDescent="0.35">
      <c r="E41" s="33" t="s">
        <v>56</v>
      </c>
      <c r="F41" s="33" t="s">
        <v>60</v>
      </c>
      <c r="G41" s="33" t="str">
        <f t="shared" si="14"/>
        <v>£m 23/24 prices</v>
      </c>
      <c r="H41" s="33" t="s">
        <v>58</v>
      </c>
      <c r="AU41" s="137">
        <v>0</v>
      </c>
      <c r="AV41" s="20">
        <v>0</v>
      </c>
      <c r="AW41" s="20">
        <v>0</v>
      </c>
      <c r="AX41" s="20">
        <v>0</v>
      </c>
      <c r="AY41" s="20">
        <v>0</v>
      </c>
      <c r="BA41" s="34" t="str">
        <f t="shared" ca="1" si="15"/>
        <v>Scotland</v>
      </c>
      <c r="BB41" s="34" t="str">
        <f t="shared" si="16"/>
        <v>Variable inputs</v>
      </c>
      <c r="BC41" s="34" t="str">
        <f t="shared" si="17"/>
        <v>Incentive revenue</v>
      </c>
    </row>
    <row r="42" spans="2:55" x14ac:dyDescent="0.35">
      <c r="E42" s="33" t="s">
        <v>59</v>
      </c>
      <c r="F42" s="33" t="s">
        <v>60</v>
      </c>
      <c r="G42" s="33" t="str">
        <f t="shared" si="14"/>
        <v>£m 23/24 prices</v>
      </c>
      <c r="H42" s="33" t="s">
        <v>58</v>
      </c>
      <c r="AU42" s="137">
        <v>0</v>
      </c>
      <c r="AV42" s="20">
        <v>0</v>
      </c>
      <c r="AW42" s="20">
        <v>0</v>
      </c>
      <c r="AX42" s="20">
        <v>0</v>
      </c>
      <c r="AY42" s="20">
        <v>0</v>
      </c>
      <c r="BA42" s="34" t="str">
        <f t="shared" ca="1" si="15"/>
        <v>Scotland</v>
      </c>
      <c r="BB42" s="34" t="str">
        <f t="shared" si="16"/>
        <v>Variable inputs</v>
      </c>
      <c r="BC42" s="34" t="str">
        <f t="shared" si="17"/>
        <v>Incentive revenue</v>
      </c>
    </row>
    <row r="43" spans="2:55" x14ac:dyDescent="0.35">
      <c r="E43" s="33" t="s">
        <v>61</v>
      </c>
      <c r="F43" s="33" t="s">
        <v>57</v>
      </c>
      <c r="G43" s="33" t="str">
        <f t="shared" si="14"/>
        <v>£m 23/24 prices</v>
      </c>
      <c r="H43" s="33" t="s">
        <v>63</v>
      </c>
      <c r="AU43" s="137">
        <v>0</v>
      </c>
      <c r="AV43" s="20">
        <v>0</v>
      </c>
      <c r="AW43" s="20">
        <v>0</v>
      </c>
      <c r="AX43" s="20">
        <v>0</v>
      </c>
      <c r="AY43" s="20">
        <v>0</v>
      </c>
      <c r="BA43" s="34" t="str">
        <f t="shared" ca="1" si="15"/>
        <v>Scotland</v>
      </c>
      <c r="BB43" s="34" t="str">
        <f t="shared" si="16"/>
        <v>Variable inputs</v>
      </c>
      <c r="BC43" s="34" t="str">
        <f t="shared" si="17"/>
        <v>Incentive revenue</v>
      </c>
    </row>
    <row r="44" spans="2:55" x14ac:dyDescent="0.35">
      <c r="E44" s="33" t="s">
        <v>892</v>
      </c>
      <c r="F44" s="33" t="s">
        <v>62</v>
      </c>
      <c r="G44" s="33" t="str">
        <f t="shared" si="14"/>
        <v>£m 23/24 prices</v>
      </c>
      <c r="H44" s="33" t="s">
        <v>893</v>
      </c>
      <c r="AU44" s="137">
        <v>0</v>
      </c>
      <c r="AV44" s="20">
        <v>0</v>
      </c>
      <c r="AW44" s="20">
        <v>0</v>
      </c>
      <c r="AX44" s="20">
        <v>0</v>
      </c>
      <c r="AY44" s="20">
        <v>0</v>
      </c>
      <c r="BA44" s="34" t="str">
        <f t="shared" ca="1" si="15"/>
        <v>Scotland</v>
      </c>
      <c r="BB44" s="34" t="str">
        <f t="shared" si="16"/>
        <v>Variable inputs</v>
      </c>
      <c r="BC44" s="34" t="str">
        <f t="shared" si="17"/>
        <v>Incentive revenue</v>
      </c>
    </row>
    <row r="45" spans="2:55" x14ac:dyDescent="0.35"/>
    <row r="46" spans="2:55" ht="17.5" thickBot="1" x14ac:dyDescent="0.4">
      <c r="B46" s="8" t="s">
        <v>64</v>
      </c>
    </row>
    <row r="47" spans="2:55" ht="16.5" thickTop="1" x14ac:dyDescent="0.35">
      <c r="E47" s="33" t="s">
        <v>404</v>
      </c>
      <c r="F47" s="33" t="s">
        <v>65</v>
      </c>
      <c r="G47" s="33" t="str">
        <f t="shared" ref="G47:G52" si="18">price_label</f>
        <v>£m 23/24 prices</v>
      </c>
      <c r="H47" s="33" t="s">
        <v>66</v>
      </c>
      <c r="AU47" s="137">
        <v>2.4300000000000002</v>
      </c>
      <c r="AV47" s="20">
        <v>2.4300000000000002</v>
      </c>
      <c r="AW47" s="20">
        <v>2.4300000000000002</v>
      </c>
      <c r="AX47" s="20">
        <v>2.4300000000000002</v>
      </c>
      <c r="AY47" s="20">
        <v>2.4300000000000002</v>
      </c>
      <c r="BA47" s="34" t="str">
        <f t="shared" ref="BA47:BA52" ca="1" si="19">$A$1</f>
        <v>Scotland</v>
      </c>
      <c r="BB47" s="34" t="str">
        <f t="shared" ref="BB47:BB52" si="20">$A$6</f>
        <v>Variable inputs</v>
      </c>
      <c r="BC47" s="34" t="str">
        <f>$B$46</f>
        <v>Other revenue allowances</v>
      </c>
    </row>
    <row r="48" spans="2:55" x14ac:dyDescent="0.35">
      <c r="E48" s="33" t="s">
        <v>67</v>
      </c>
      <c r="F48" s="33" t="s">
        <v>68</v>
      </c>
      <c r="G48" s="33" t="str">
        <f t="shared" si="18"/>
        <v>£m 23/24 prices</v>
      </c>
      <c r="H48" s="33" t="s">
        <v>69</v>
      </c>
      <c r="AU48" s="137">
        <v>0</v>
      </c>
      <c r="AV48" s="20">
        <v>0</v>
      </c>
      <c r="AW48" s="20">
        <v>0</v>
      </c>
      <c r="AX48" s="20">
        <v>0</v>
      </c>
      <c r="AY48" s="20">
        <v>0</v>
      </c>
      <c r="BA48" s="34" t="str">
        <f t="shared" ca="1" si="19"/>
        <v>Scotland</v>
      </c>
      <c r="BB48" s="34" t="str">
        <f t="shared" si="20"/>
        <v>Variable inputs</v>
      </c>
      <c r="BC48" s="34" t="str">
        <f t="shared" ref="BC48:BC52" si="21">$B$46</f>
        <v>Other revenue allowances</v>
      </c>
    </row>
    <row r="49" spans="1:55" x14ac:dyDescent="0.35">
      <c r="E49" s="33" t="s">
        <v>70</v>
      </c>
      <c r="F49" s="33" t="s">
        <v>71</v>
      </c>
      <c r="G49" s="33" t="str">
        <f t="shared" si="18"/>
        <v>£m 23/24 prices</v>
      </c>
      <c r="H49" s="33" t="s">
        <v>72</v>
      </c>
      <c r="AU49" s="137">
        <v>4.476</v>
      </c>
      <c r="AV49" s="20">
        <v>4.476</v>
      </c>
      <c r="AW49" s="20">
        <v>4.476</v>
      </c>
      <c r="AX49" s="20">
        <v>4.476</v>
      </c>
      <c r="AY49" s="20">
        <v>4.476</v>
      </c>
      <c r="BA49" s="34" t="str">
        <f t="shared" ca="1" si="19"/>
        <v>Scotland</v>
      </c>
      <c r="BB49" s="34" t="str">
        <f t="shared" si="20"/>
        <v>Variable inputs</v>
      </c>
      <c r="BC49" s="34" t="str">
        <f t="shared" si="21"/>
        <v>Other revenue allowances</v>
      </c>
    </row>
    <row r="50" spans="1:55" x14ac:dyDescent="0.35">
      <c r="E50" s="33" t="s">
        <v>73</v>
      </c>
      <c r="F50" s="33">
        <v>0</v>
      </c>
      <c r="G50" s="33" t="str">
        <f t="shared" si="18"/>
        <v>£m 23/24 prices</v>
      </c>
      <c r="AU50" s="137">
        <v>0</v>
      </c>
      <c r="AV50" s="20">
        <v>0</v>
      </c>
      <c r="AW50" s="20">
        <v>0</v>
      </c>
      <c r="AX50" s="20">
        <v>0</v>
      </c>
      <c r="AY50" s="20">
        <v>0</v>
      </c>
      <c r="BA50" s="34" t="str">
        <f t="shared" ca="1" si="19"/>
        <v>Scotland</v>
      </c>
      <c r="BB50" s="34" t="str">
        <f t="shared" si="20"/>
        <v>Variable inputs</v>
      </c>
      <c r="BC50" s="34" t="str">
        <f t="shared" si="21"/>
        <v>Other revenue allowances</v>
      </c>
    </row>
    <row r="51" spans="1:55" x14ac:dyDescent="0.35">
      <c r="E51" s="33" t="s">
        <v>74</v>
      </c>
      <c r="F51" s="33">
        <v>0</v>
      </c>
      <c r="G51" s="33" t="str">
        <f t="shared" si="18"/>
        <v>£m 23/24 prices</v>
      </c>
      <c r="AU51" s="137">
        <v>0</v>
      </c>
      <c r="AV51" s="20">
        <v>0</v>
      </c>
      <c r="AW51" s="20">
        <v>0</v>
      </c>
      <c r="AX51" s="20">
        <v>0</v>
      </c>
      <c r="AY51" s="20">
        <v>0</v>
      </c>
      <c r="BA51" s="34" t="str">
        <f t="shared" ca="1" si="19"/>
        <v>Scotland</v>
      </c>
      <c r="BB51" s="34" t="str">
        <f t="shared" si="20"/>
        <v>Variable inputs</v>
      </c>
      <c r="BC51" s="34" t="str">
        <f t="shared" si="21"/>
        <v>Other revenue allowances</v>
      </c>
    </row>
    <row r="52" spans="1:55" x14ac:dyDescent="0.35">
      <c r="E52" s="33" t="s">
        <v>75</v>
      </c>
      <c r="F52" s="33">
        <v>0</v>
      </c>
      <c r="G52" s="33" t="str">
        <f t="shared" si="18"/>
        <v>£m 23/24 prices</v>
      </c>
      <c r="AU52" s="137"/>
      <c r="AV52" s="20"/>
      <c r="AW52" s="20"/>
      <c r="AX52" s="20"/>
      <c r="AY52" s="20"/>
      <c r="BA52" s="34" t="str">
        <f t="shared" ca="1" si="19"/>
        <v>Scotland</v>
      </c>
      <c r="BB52" s="34" t="str">
        <f t="shared" si="20"/>
        <v>Variable inputs</v>
      </c>
      <c r="BC52" s="34" t="str">
        <f t="shared" si="21"/>
        <v>Other revenue allowances</v>
      </c>
    </row>
    <row r="53" spans="1:55" x14ac:dyDescent="0.35"/>
    <row r="54" spans="1:55" ht="17.5" thickBot="1" x14ac:dyDescent="0.4">
      <c r="B54" s="8" t="s">
        <v>831</v>
      </c>
    </row>
    <row r="55" spans="1:55" ht="16.5" thickTop="1" x14ac:dyDescent="0.35">
      <c r="E55" s="33" t="s">
        <v>832</v>
      </c>
      <c r="G55" s="33" t="str">
        <f>price_label</f>
        <v>£m 23/24 prices</v>
      </c>
      <c r="AU55" s="334">
        <v>-23.616291412904136</v>
      </c>
      <c r="AV55" s="20">
        <v>-6</v>
      </c>
      <c r="AW55" s="337">
        <v>11.1</v>
      </c>
      <c r="AX55" s="337">
        <v>11.1</v>
      </c>
      <c r="BA55" s="34" t="str">
        <f t="shared" ref="BA55" ca="1" si="22">$A$1</f>
        <v>Scotland</v>
      </c>
      <c r="BB55" s="34" t="str">
        <f t="shared" ref="BB55" si="23">$A$6</f>
        <v>Variable inputs</v>
      </c>
      <c r="BC55" s="34" t="str">
        <f>$B$54</f>
        <v>Revenue profiling</v>
      </c>
    </row>
    <row r="56" spans="1:55" x14ac:dyDescent="0.35"/>
    <row r="57" spans="1:55" ht="17.5" thickBot="1" x14ac:dyDescent="0.4">
      <c r="B57" s="8" t="s">
        <v>842</v>
      </c>
    </row>
    <row r="58" spans="1:55" ht="16.5" thickTop="1" x14ac:dyDescent="0.35">
      <c r="A58"/>
      <c r="B58"/>
      <c r="E58" t="s">
        <v>512</v>
      </c>
      <c r="F58" s="33" t="s">
        <v>717</v>
      </c>
      <c r="G58" s="33" t="str">
        <f>nominal</f>
        <v>£m nominal</v>
      </c>
      <c r="H58" s="33" t="s">
        <v>716</v>
      </c>
      <c r="AT58" s="66">
        <v>0</v>
      </c>
      <c r="AU58" s="138">
        <v>0</v>
      </c>
      <c r="AV58" s="26">
        <v>0</v>
      </c>
      <c r="AW58" s="26">
        <v>0</v>
      </c>
      <c r="AX58" s="26">
        <v>0</v>
      </c>
      <c r="AY58" s="26">
        <v>0</v>
      </c>
      <c r="BA58" s="34" t="str">
        <f t="shared" ref="BA58:BA531" ca="1" si="24">$A$1</f>
        <v>Scotland</v>
      </c>
      <c r="BB58" s="34" t="str">
        <f t="shared" ref="BB58:BB74" si="25">$A$6</f>
        <v>Variable inputs</v>
      </c>
      <c r="BC58" s="34" t="str">
        <f>$B$57</f>
        <v>Allowed revenue true-up</v>
      </c>
    </row>
    <row r="59" spans="1:55" x14ac:dyDescent="0.35">
      <c r="A59"/>
      <c r="B59"/>
      <c r="E59" t="s">
        <v>628</v>
      </c>
      <c r="G59" s="33" t="str">
        <f>nominal</f>
        <v>£m nominal</v>
      </c>
      <c r="AT59" s="66">
        <v>0</v>
      </c>
      <c r="AU59"/>
      <c r="AV59"/>
      <c r="AW59"/>
      <c r="AX59"/>
      <c r="AY59"/>
      <c r="BA59" s="34" t="str">
        <f t="shared" ca="1" si="24"/>
        <v>Scotland</v>
      </c>
      <c r="BB59" s="34" t="str">
        <f t="shared" si="25"/>
        <v>Variable inputs</v>
      </c>
      <c r="BC59" s="34" t="str">
        <f t="shared" ref="BC59:BC61" si="26">$B$57</f>
        <v>Allowed revenue true-up</v>
      </c>
    </row>
    <row r="60" spans="1:55" x14ac:dyDescent="0.35">
      <c r="A60"/>
      <c r="B60"/>
      <c r="E60" t="s">
        <v>513</v>
      </c>
      <c r="F60" s="33" t="s">
        <v>717</v>
      </c>
      <c r="G60" s="33" t="str">
        <f>nominal</f>
        <v>£m nominal</v>
      </c>
      <c r="H60" s="33" t="s">
        <v>718</v>
      </c>
      <c r="AT60" s="61"/>
      <c r="AU60" s="138">
        <v>0</v>
      </c>
      <c r="AV60" s="26">
        <v>0</v>
      </c>
      <c r="AW60" s="26">
        <v>0</v>
      </c>
      <c r="AX60" s="26">
        <v>0</v>
      </c>
      <c r="AY60" s="26">
        <v>0</v>
      </c>
      <c r="BA60" s="34" t="str">
        <f t="shared" ca="1" si="24"/>
        <v>Scotland</v>
      </c>
      <c r="BB60" s="34" t="str">
        <f t="shared" si="25"/>
        <v>Variable inputs</v>
      </c>
      <c r="BC60" s="34" t="str">
        <f t="shared" si="26"/>
        <v>Allowed revenue true-up</v>
      </c>
    </row>
    <row r="61" spans="1:55" x14ac:dyDescent="0.35">
      <c r="A61"/>
      <c r="B61"/>
      <c r="E61" t="s">
        <v>514</v>
      </c>
      <c r="G61" s="33" t="str">
        <f>nominal</f>
        <v>£m nominal</v>
      </c>
      <c r="AT61" s="66">
        <v>0</v>
      </c>
      <c r="AU61" s="138">
        <v>0</v>
      </c>
      <c r="AV61" s="26">
        <v>0</v>
      </c>
      <c r="AW61" s="26">
        <v>0</v>
      </c>
      <c r="AX61" s="26">
        <v>0</v>
      </c>
      <c r="AY61" s="26">
        <v>0</v>
      </c>
      <c r="BA61" s="34" t="str">
        <f t="shared" ca="1" si="24"/>
        <v>Scotland</v>
      </c>
      <c r="BB61" s="34" t="str">
        <f t="shared" si="25"/>
        <v>Variable inputs</v>
      </c>
      <c r="BC61" s="34" t="str">
        <f t="shared" si="26"/>
        <v>Allowed revenue true-up</v>
      </c>
    </row>
    <row r="62" spans="1:55" x14ac:dyDescent="0.35">
      <c r="A62"/>
      <c r="B62"/>
      <c r="E62" t="s">
        <v>800</v>
      </c>
      <c r="F62" s="33" t="s">
        <v>717</v>
      </c>
      <c r="G62" s="33" t="str">
        <f>price_label</f>
        <v>£m 23/24 prices</v>
      </c>
      <c r="H62" s="33" t="s">
        <v>719</v>
      </c>
      <c r="AT62" s="66">
        <v>391.28112266764794</v>
      </c>
      <c r="AU62"/>
      <c r="AV62"/>
      <c r="AW62"/>
      <c r="AX62"/>
      <c r="AY62"/>
      <c r="BA62" s="34" t="str">
        <f t="shared" ca="1" si="24"/>
        <v>Scotland</v>
      </c>
      <c r="BB62" s="34" t="str">
        <f t="shared" si="25"/>
        <v>Variable inputs</v>
      </c>
      <c r="BC62" s="34" t="str">
        <f>$B$57</f>
        <v>Allowed revenue true-up</v>
      </c>
    </row>
    <row r="63" spans="1:55" x14ac:dyDescent="0.35">
      <c r="A63"/>
      <c r="B63"/>
      <c r="E63" s="33" t="s">
        <v>599</v>
      </c>
      <c r="G63" s="33" t="str">
        <f>nominal</f>
        <v>£m nominal</v>
      </c>
      <c r="AT63" s="66"/>
      <c r="AU63"/>
      <c r="AV63"/>
      <c r="AW63"/>
      <c r="AX63"/>
      <c r="AY63"/>
      <c r="BA63" s="34" t="str">
        <f t="shared" ca="1" si="24"/>
        <v>Scotland</v>
      </c>
      <c r="BB63" s="34" t="str">
        <f t="shared" si="25"/>
        <v>Variable inputs</v>
      </c>
      <c r="BC63" s="34" t="str">
        <f>$B$57</f>
        <v>Allowed revenue true-up</v>
      </c>
    </row>
    <row r="64" spans="1:55" x14ac:dyDescent="0.35">
      <c r="A64"/>
      <c r="B64"/>
      <c r="E64" s="33" t="s">
        <v>600</v>
      </c>
      <c r="G64" s="33" t="str">
        <f>nominal</f>
        <v>£m nominal</v>
      </c>
      <c r="AT64" s="66"/>
      <c r="AU64"/>
      <c r="AV64"/>
      <c r="AW64"/>
      <c r="AX64"/>
      <c r="AY64"/>
      <c r="BA64" s="34" t="str">
        <f t="shared" ca="1" si="24"/>
        <v>Scotland</v>
      </c>
      <c r="BB64" s="34" t="str">
        <f t="shared" si="25"/>
        <v>Variable inputs</v>
      </c>
      <c r="BC64" s="34" t="str">
        <f>$B$57</f>
        <v>Allowed revenue true-up</v>
      </c>
    </row>
    <row r="65" spans="1:56" x14ac:dyDescent="0.35">
      <c r="A65"/>
      <c r="B65"/>
      <c r="E65" t="s">
        <v>597</v>
      </c>
      <c r="G65" s="33" t="str">
        <f>nominal</f>
        <v>£m nominal</v>
      </c>
      <c r="AT65" s="61"/>
      <c r="AU65" s="138"/>
      <c r="AV65" s="26"/>
      <c r="AW65" s="26"/>
      <c r="AX65" s="26"/>
      <c r="AY65" s="26"/>
      <c r="BA65" s="34" t="str">
        <f t="shared" ca="1" si="24"/>
        <v>Scotland</v>
      </c>
      <c r="BB65" s="34" t="str">
        <f t="shared" si="25"/>
        <v>Variable inputs</v>
      </c>
      <c r="BC65" s="34" t="str">
        <f>$B$57</f>
        <v>Allowed revenue true-up</v>
      </c>
    </row>
    <row r="66" spans="1:56" x14ac:dyDescent="0.35">
      <c r="A66"/>
      <c r="B66"/>
      <c r="E66" t="s">
        <v>598</v>
      </c>
      <c r="G66" s="33" t="str">
        <f>nominal</f>
        <v>£m nominal</v>
      </c>
      <c r="AT66" s="61"/>
      <c r="AU66" s="138"/>
      <c r="AV66" s="26"/>
      <c r="AW66" s="26"/>
      <c r="AX66" s="26"/>
      <c r="AY66" s="26"/>
      <c r="BA66" s="34" t="str">
        <f t="shared" ca="1" si="24"/>
        <v>Scotland</v>
      </c>
      <c r="BB66" s="34" t="str">
        <f t="shared" si="25"/>
        <v>Variable inputs</v>
      </c>
      <c r="BC66" s="34" t="str">
        <f>$B$57</f>
        <v>Allowed revenue true-up</v>
      </c>
    </row>
    <row r="67" spans="1:56" x14ac:dyDescent="0.35">
      <c r="A67"/>
      <c r="B67"/>
      <c r="E67"/>
      <c r="AT67" s="61"/>
      <c r="AU67"/>
      <c r="AV67"/>
      <c r="AW67"/>
      <c r="AX67"/>
      <c r="AY67"/>
    </row>
    <row r="68" spans="1:56" ht="17.5" thickBot="1" x14ac:dyDescent="0.4">
      <c r="B68" s="8" t="s">
        <v>76</v>
      </c>
    </row>
    <row r="69" spans="1:56" ht="16.5" thickTop="1" x14ac:dyDescent="0.35">
      <c r="E69" s="82" t="s">
        <v>517</v>
      </c>
      <c r="F69" s="33" t="s">
        <v>829</v>
      </c>
      <c r="G69" s="33" t="str">
        <f t="shared" ref="G69:G74" si="27">nominal</f>
        <v>£m nominal</v>
      </c>
      <c r="H69" s="83" t="s">
        <v>519</v>
      </c>
      <c r="AT69" s="61"/>
      <c r="AU69" s="327">
        <v>1.7638135340208436</v>
      </c>
      <c r="AV69"/>
      <c r="AW69"/>
      <c r="AX69"/>
      <c r="AY69"/>
      <c r="BA69" s="34" t="str">
        <f t="shared" ca="1" si="24"/>
        <v>Scotland</v>
      </c>
      <c r="BB69" s="34" t="str">
        <f t="shared" si="25"/>
        <v>Variable inputs</v>
      </c>
      <c r="BC69" s="34" t="str">
        <f>$B$68</f>
        <v>Legacy adjustments</v>
      </c>
    </row>
    <row r="70" spans="1:56" x14ac:dyDescent="0.35">
      <c r="E70" s="33" t="s">
        <v>518</v>
      </c>
      <c r="F70" s="33" t="s">
        <v>830</v>
      </c>
      <c r="G70" s="33" t="str">
        <f t="shared" si="27"/>
        <v>£m nominal</v>
      </c>
      <c r="H70" s="33" t="s">
        <v>520</v>
      </c>
      <c r="AU70" s="138">
        <v>1.1775514439758099</v>
      </c>
      <c r="BA70" s="34" t="str">
        <f t="shared" ca="1" si="24"/>
        <v>Scotland</v>
      </c>
      <c r="BB70" s="34" t="str">
        <f t="shared" si="25"/>
        <v>Variable inputs</v>
      </c>
      <c r="BC70" s="34" t="str">
        <f>$B$68</f>
        <v>Legacy adjustments</v>
      </c>
    </row>
    <row r="71" spans="1:56" x14ac:dyDescent="0.35">
      <c r="E71" s="33" t="s">
        <v>601</v>
      </c>
      <c r="G71" s="33" t="str">
        <f t="shared" si="27"/>
        <v>£m nominal</v>
      </c>
      <c r="J71"/>
      <c r="AU71" s="138"/>
      <c r="BA71" s="34" t="str">
        <f t="shared" ca="1" si="24"/>
        <v>Scotland</v>
      </c>
      <c r="BB71" s="34" t="str">
        <f t="shared" si="25"/>
        <v>Variable inputs</v>
      </c>
      <c r="BC71" s="34" t="str">
        <f t="shared" ref="BC71:BC74" si="28">$B$68</f>
        <v>Legacy adjustments</v>
      </c>
      <c r="BD71"/>
    </row>
    <row r="72" spans="1:56" x14ac:dyDescent="0.35">
      <c r="E72" s="33" t="s">
        <v>603</v>
      </c>
      <c r="G72" s="33" t="str">
        <f t="shared" si="27"/>
        <v>£m nominal</v>
      </c>
      <c r="J72"/>
      <c r="AU72" s="138"/>
      <c r="BA72" s="34" t="str">
        <f t="shared" ca="1" si="24"/>
        <v>Scotland</v>
      </c>
      <c r="BB72" s="34" t="str">
        <f t="shared" si="25"/>
        <v>Variable inputs</v>
      </c>
      <c r="BC72" s="34" t="str">
        <f t="shared" si="28"/>
        <v>Legacy adjustments</v>
      </c>
      <c r="BD72"/>
    </row>
    <row r="73" spans="1:56" x14ac:dyDescent="0.35">
      <c r="E73" s="33" t="s">
        <v>602</v>
      </c>
      <c r="G73" s="33" t="str">
        <f t="shared" si="27"/>
        <v>£m nominal</v>
      </c>
      <c r="J73"/>
      <c r="AU73" s="138"/>
      <c r="BA73" s="34" t="str">
        <f t="shared" ca="1" si="24"/>
        <v>Scotland</v>
      </c>
      <c r="BB73" s="34" t="str">
        <f t="shared" si="25"/>
        <v>Variable inputs</v>
      </c>
      <c r="BC73" s="34" t="str">
        <f t="shared" si="28"/>
        <v>Legacy adjustments</v>
      </c>
      <c r="BD73"/>
    </row>
    <row r="74" spans="1:56" x14ac:dyDescent="0.35">
      <c r="E74" s="33" t="s">
        <v>604</v>
      </c>
      <c r="G74" s="33" t="str">
        <f t="shared" si="27"/>
        <v>£m nominal</v>
      </c>
      <c r="J74"/>
      <c r="AU74" s="138"/>
      <c r="BA74" s="34" t="str">
        <f t="shared" ca="1" si="24"/>
        <v>Scotland</v>
      </c>
      <c r="BB74" s="34" t="str">
        <f t="shared" si="25"/>
        <v>Variable inputs</v>
      </c>
      <c r="BC74" s="34" t="str">
        <f t="shared" si="28"/>
        <v>Legacy adjustments</v>
      </c>
      <c r="BD74"/>
    </row>
    <row r="75" spans="1:56" x14ac:dyDescent="0.35"/>
    <row r="76" spans="1:56" ht="17.5" thickBot="1" x14ac:dyDescent="0.4">
      <c r="B76" s="8" t="s">
        <v>78</v>
      </c>
      <c r="AS76"/>
    </row>
    <row r="77" spans="1:56" ht="16.5" thickTop="1" x14ac:dyDescent="0.35">
      <c r="E77" s="33" t="s">
        <v>79</v>
      </c>
      <c r="G77" s="33" t="str">
        <f>price_label</f>
        <v>£m 23/24 prices</v>
      </c>
      <c r="H77" s="33" t="s">
        <v>80</v>
      </c>
      <c r="AU77" s="137">
        <v>0</v>
      </c>
      <c r="AV77" s="20">
        <v>0</v>
      </c>
      <c r="AW77" s="20">
        <v>0</v>
      </c>
      <c r="AX77" s="20">
        <v>0</v>
      </c>
      <c r="AY77" s="20">
        <v>0</v>
      </c>
      <c r="BA77" s="34" t="str">
        <f t="shared" ref="BA77:BA80" ca="1" si="29">$A$1</f>
        <v>Scotland</v>
      </c>
      <c r="BB77" s="34" t="str">
        <f t="shared" ref="BB77:BB80" si="30">$A$6</f>
        <v>Variable inputs</v>
      </c>
      <c r="BC77" s="34" t="str">
        <f>$B$76</f>
        <v>Directly remunerated services</v>
      </c>
    </row>
    <row r="78" spans="1:56" x14ac:dyDescent="0.35">
      <c r="E78" s="33" t="s">
        <v>81</v>
      </c>
      <c r="G78" s="33" t="str">
        <f>price_label</f>
        <v>£m 23/24 prices</v>
      </c>
      <c r="H78" s="33" t="s">
        <v>82</v>
      </c>
      <c r="AU78" s="137">
        <v>0</v>
      </c>
      <c r="AV78" s="20">
        <v>0</v>
      </c>
      <c r="AW78" s="20">
        <v>0</v>
      </c>
      <c r="AX78" s="20">
        <v>0</v>
      </c>
      <c r="AY78" s="20">
        <v>0</v>
      </c>
      <c r="BA78" s="34" t="str">
        <f t="shared" ca="1" si="29"/>
        <v>Scotland</v>
      </c>
      <c r="BB78" s="34" t="str">
        <f t="shared" si="30"/>
        <v>Variable inputs</v>
      </c>
      <c r="BC78" s="34" t="str">
        <f t="shared" ref="BC78:BC80" si="31">$B$76</f>
        <v>Directly remunerated services</v>
      </c>
    </row>
    <row r="79" spans="1:56" x14ac:dyDescent="0.35">
      <c r="E79" s="33" t="s">
        <v>83</v>
      </c>
      <c r="G79" s="33" t="str">
        <f>price_label</f>
        <v>£m 23/24 prices</v>
      </c>
      <c r="H79" s="33" t="s">
        <v>84</v>
      </c>
      <c r="AU79" s="137">
        <v>0</v>
      </c>
      <c r="AV79" s="20">
        <v>0</v>
      </c>
      <c r="AW79" s="20">
        <v>0</v>
      </c>
      <c r="AX79" s="20">
        <v>0</v>
      </c>
      <c r="AY79" s="20">
        <v>0</v>
      </c>
      <c r="BA79" s="34" t="str">
        <f t="shared" ca="1" si="29"/>
        <v>Scotland</v>
      </c>
      <c r="BB79" s="34" t="str">
        <f t="shared" si="30"/>
        <v>Variable inputs</v>
      </c>
      <c r="BC79" s="34" t="str">
        <f t="shared" si="31"/>
        <v>Directly remunerated services</v>
      </c>
    </row>
    <row r="80" spans="1:56" x14ac:dyDescent="0.35">
      <c r="E80" s="33" t="s">
        <v>85</v>
      </c>
      <c r="G80" s="33" t="str">
        <f>price_label</f>
        <v>£m 23/24 prices</v>
      </c>
      <c r="H80" s="33" t="s">
        <v>86</v>
      </c>
      <c r="AU80" s="137">
        <v>0</v>
      </c>
      <c r="AV80" s="20">
        <v>0</v>
      </c>
      <c r="AW80" s="20">
        <v>0</v>
      </c>
      <c r="AX80" s="20">
        <v>0</v>
      </c>
      <c r="AY80" s="20">
        <v>0</v>
      </c>
      <c r="BA80" s="34" t="str">
        <f t="shared" ca="1" si="29"/>
        <v>Scotland</v>
      </c>
      <c r="BB80" s="34" t="str">
        <f t="shared" si="30"/>
        <v>Variable inputs</v>
      </c>
      <c r="BC80" s="34" t="str">
        <f t="shared" si="31"/>
        <v>Directly remunerated services</v>
      </c>
    </row>
    <row r="81" spans="2:55" x14ac:dyDescent="0.35"/>
    <row r="82" spans="2:55" ht="17.5" thickBot="1" x14ac:dyDescent="0.4">
      <c r="B82" s="8" t="s">
        <v>475</v>
      </c>
    </row>
    <row r="83" spans="2:55" ht="16.5" thickTop="1" x14ac:dyDescent="0.35">
      <c r="E83" s="33" t="s">
        <v>88</v>
      </c>
      <c r="G83" s="33" t="str">
        <f t="shared" ref="G83:G85" si="32">nominal</f>
        <v>£m nominal</v>
      </c>
      <c r="H83" s="33" t="s">
        <v>89</v>
      </c>
      <c r="AU83" s="137"/>
      <c r="AV83" s="20"/>
      <c r="AW83" s="20"/>
      <c r="AX83" s="20"/>
      <c r="AY83" s="20"/>
      <c r="BA83" s="34" t="str">
        <f t="shared" ref="BA83:BA527" ca="1" si="33">$A$1</f>
        <v>Scotland</v>
      </c>
      <c r="BB83" s="34" t="str">
        <f t="shared" ref="BB83:BB95" si="34">$A$6</f>
        <v>Variable inputs</v>
      </c>
      <c r="BC83" s="34" t="str">
        <f>$B$82</f>
        <v>Tax</v>
      </c>
    </row>
    <row r="84" spans="2:55" x14ac:dyDescent="0.35">
      <c r="E84" s="33" t="s">
        <v>90</v>
      </c>
      <c r="G84" s="33" t="str">
        <f t="shared" si="32"/>
        <v>£m nominal</v>
      </c>
      <c r="H84" s="33" t="s">
        <v>91</v>
      </c>
      <c r="AU84" s="137"/>
      <c r="AV84" s="20"/>
      <c r="AW84" s="20"/>
      <c r="AX84" s="20"/>
      <c r="AY84" s="20"/>
      <c r="BA84" s="34" t="str">
        <f t="shared" ca="1" si="33"/>
        <v>Scotland</v>
      </c>
      <c r="BB84" s="34" t="str">
        <f t="shared" si="34"/>
        <v>Variable inputs</v>
      </c>
      <c r="BC84" s="34" t="str">
        <f t="shared" ref="BC84:BC95" si="35">$B$82</f>
        <v>Tax</v>
      </c>
    </row>
    <row r="85" spans="2:55" x14ac:dyDescent="0.35">
      <c r="E85" s="33" t="s">
        <v>92</v>
      </c>
      <c r="F85" s="33" t="s">
        <v>93</v>
      </c>
      <c r="G85" s="33" t="str">
        <f t="shared" si="32"/>
        <v>£m nominal</v>
      </c>
      <c r="H85" s="33" t="s">
        <v>94</v>
      </c>
      <c r="AU85" s="137"/>
      <c r="AV85" s="20"/>
      <c r="AW85" s="20"/>
      <c r="AX85" s="20"/>
      <c r="AY85" s="20"/>
      <c r="BA85" s="34" t="str">
        <f t="shared" ca="1" si="33"/>
        <v>Scotland</v>
      </c>
      <c r="BB85" s="34" t="str">
        <f t="shared" si="34"/>
        <v>Variable inputs</v>
      </c>
      <c r="BC85" s="34" t="str">
        <f t="shared" si="35"/>
        <v>Tax</v>
      </c>
    </row>
    <row r="86" spans="2:55" x14ac:dyDescent="0.35">
      <c r="E86" s="33" t="s">
        <v>95</v>
      </c>
      <c r="G86" s="33" t="str">
        <f>price_label</f>
        <v>£m 23/24 prices</v>
      </c>
      <c r="H86" s="33" t="s">
        <v>96</v>
      </c>
      <c r="AU86" s="137"/>
      <c r="AV86" s="20"/>
      <c r="AW86" s="20"/>
      <c r="AX86" s="20"/>
      <c r="AY86" s="20"/>
      <c r="BA86" s="34" t="str">
        <f t="shared" ca="1" si="33"/>
        <v>Scotland</v>
      </c>
      <c r="BB86" s="34" t="str">
        <f t="shared" si="34"/>
        <v>Variable inputs</v>
      </c>
      <c r="BC86" s="34" t="str">
        <f t="shared" si="35"/>
        <v>Tax</v>
      </c>
    </row>
    <row r="87" spans="2:55" x14ac:dyDescent="0.35">
      <c r="E87" s="33" t="s">
        <v>99</v>
      </c>
      <c r="G87" s="33" t="str">
        <f t="shared" ref="G87:G95" si="36">nominal</f>
        <v>£m nominal</v>
      </c>
      <c r="H87" s="33" t="s">
        <v>100</v>
      </c>
      <c r="AU87" s="137">
        <v>48.018793862574022</v>
      </c>
      <c r="BA87" s="34" t="str">
        <f t="shared" ca="1" si="33"/>
        <v>Scotland</v>
      </c>
      <c r="BB87" s="34" t="str">
        <f t="shared" si="34"/>
        <v>Variable inputs</v>
      </c>
      <c r="BC87" s="34" t="str">
        <f t="shared" si="35"/>
        <v>Tax</v>
      </c>
    </row>
    <row r="88" spans="2:55" x14ac:dyDescent="0.35">
      <c r="E88" s="33" t="s">
        <v>101</v>
      </c>
      <c r="G88" s="33" t="str">
        <f t="shared" si="36"/>
        <v>£m nominal</v>
      </c>
      <c r="H88" s="33" t="s">
        <v>102</v>
      </c>
      <c r="AU88" s="137">
        <v>381.20025331433436</v>
      </c>
      <c r="BA88" s="34" t="str">
        <f t="shared" ca="1" si="33"/>
        <v>Scotland</v>
      </c>
      <c r="BB88" s="34" t="str">
        <f t="shared" si="34"/>
        <v>Variable inputs</v>
      </c>
      <c r="BC88" s="34" t="str">
        <f t="shared" si="35"/>
        <v>Tax</v>
      </c>
    </row>
    <row r="89" spans="2:55" x14ac:dyDescent="0.35">
      <c r="E89" s="33" t="s">
        <v>407</v>
      </c>
      <c r="G89" s="33" t="str">
        <f t="shared" si="36"/>
        <v>£m nominal</v>
      </c>
      <c r="H89" s="33" t="s">
        <v>103</v>
      </c>
      <c r="AU89" s="137">
        <v>9.264760373136296</v>
      </c>
      <c r="BA89" s="34" t="str">
        <f t="shared" ca="1" si="33"/>
        <v>Scotland</v>
      </c>
      <c r="BB89" s="34" t="str">
        <f t="shared" si="34"/>
        <v>Variable inputs</v>
      </c>
      <c r="BC89" s="34" t="str">
        <f t="shared" si="35"/>
        <v>Tax</v>
      </c>
    </row>
    <row r="90" spans="2:55" x14ac:dyDescent="0.35">
      <c r="E90" s="33" t="s">
        <v>408</v>
      </c>
      <c r="G90" s="33" t="str">
        <f t="shared" si="36"/>
        <v>£m nominal</v>
      </c>
      <c r="H90" s="33" t="s">
        <v>104</v>
      </c>
      <c r="AU90" s="137">
        <v>668.21849933633644</v>
      </c>
      <c r="BA90" s="34" t="str">
        <f t="shared" ca="1" si="33"/>
        <v>Scotland</v>
      </c>
      <c r="BB90" s="34" t="str">
        <f t="shared" si="34"/>
        <v>Variable inputs</v>
      </c>
      <c r="BC90" s="34" t="str">
        <f t="shared" si="35"/>
        <v>Tax</v>
      </c>
    </row>
    <row r="91" spans="2:55" x14ac:dyDescent="0.35">
      <c r="E91" s="33" t="s">
        <v>405</v>
      </c>
      <c r="G91" s="33" t="str">
        <f t="shared" si="36"/>
        <v>£m nominal</v>
      </c>
      <c r="H91" s="33" t="s">
        <v>97</v>
      </c>
      <c r="AU91" s="137">
        <v>0</v>
      </c>
      <c r="AV91"/>
      <c r="AW91"/>
      <c r="AX91"/>
      <c r="AY91"/>
      <c r="BA91" s="34" t="str">
        <f t="shared" ca="1" si="33"/>
        <v>Scotland</v>
      </c>
      <c r="BB91" s="34" t="str">
        <f t="shared" si="34"/>
        <v>Variable inputs</v>
      </c>
      <c r="BC91" s="34" t="str">
        <f t="shared" si="35"/>
        <v>Tax</v>
      </c>
    </row>
    <row r="92" spans="2:55" x14ac:dyDescent="0.35">
      <c r="E92" s="33" t="s">
        <v>406</v>
      </c>
      <c r="G92" s="33" t="str">
        <f t="shared" si="36"/>
        <v>£m nominal</v>
      </c>
      <c r="H92" s="33" t="s">
        <v>98</v>
      </c>
      <c r="AU92" s="137">
        <v>0</v>
      </c>
      <c r="AV92"/>
      <c r="AW92"/>
      <c r="AX92"/>
      <c r="AY92"/>
      <c r="BA92" s="34" t="str">
        <f t="shared" ca="1" si="33"/>
        <v>Scotland</v>
      </c>
      <c r="BB92" s="34" t="str">
        <f t="shared" si="34"/>
        <v>Variable inputs</v>
      </c>
      <c r="BC92" s="34" t="str">
        <f t="shared" si="35"/>
        <v>Tax</v>
      </c>
    </row>
    <row r="93" spans="2:55" x14ac:dyDescent="0.35">
      <c r="E93" s="33" t="s">
        <v>809</v>
      </c>
      <c r="G93" s="33" t="str">
        <f t="shared" si="36"/>
        <v>£m nominal</v>
      </c>
      <c r="H93" s="33" t="s">
        <v>955</v>
      </c>
      <c r="AT93" s="62">
        <v>9.5605462024957468</v>
      </c>
      <c r="AU93"/>
      <c r="BA93" s="34" t="str">
        <f t="shared" ca="1" si="33"/>
        <v>Scotland</v>
      </c>
      <c r="BB93" s="34" t="str">
        <f t="shared" si="34"/>
        <v>Variable inputs</v>
      </c>
      <c r="BC93" s="34" t="str">
        <f t="shared" si="35"/>
        <v>Tax</v>
      </c>
    </row>
    <row r="94" spans="2:55" x14ac:dyDescent="0.35">
      <c r="E94" s="33" t="s">
        <v>811</v>
      </c>
      <c r="G94" s="33" t="str">
        <f t="shared" si="36"/>
        <v>£m nominal</v>
      </c>
      <c r="H94" s="33" t="s">
        <v>105</v>
      </c>
      <c r="J94" s="33" t="s">
        <v>13</v>
      </c>
      <c r="AT94" s="62">
        <v>744.32698607057603</v>
      </c>
      <c r="BA94" s="34" t="str">
        <f t="shared" ca="1" si="33"/>
        <v>Scotland</v>
      </c>
      <c r="BB94" s="34" t="str">
        <f t="shared" si="34"/>
        <v>Variable inputs</v>
      </c>
      <c r="BC94" s="34" t="str">
        <f t="shared" si="35"/>
        <v>Tax</v>
      </c>
    </row>
    <row r="95" spans="2:55" x14ac:dyDescent="0.35">
      <c r="E95" s="33" t="s">
        <v>106</v>
      </c>
      <c r="G95" s="33" t="str">
        <f t="shared" si="36"/>
        <v>£m nominal</v>
      </c>
      <c r="H95" s="33" t="s">
        <v>107</v>
      </c>
      <c r="AU95" s="137">
        <v>0</v>
      </c>
      <c r="BA95" s="34" t="str">
        <f t="shared" ca="1" si="33"/>
        <v>Scotland</v>
      </c>
      <c r="BB95" s="34" t="str">
        <f t="shared" si="34"/>
        <v>Variable inputs</v>
      </c>
      <c r="BC95" s="34" t="str">
        <f t="shared" si="35"/>
        <v>Tax</v>
      </c>
    </row>
    <row r="96" spans="2:55" x14ac:dyDescent="0.35"/>
    <row r="97" spans="2:56" ht="17.5" thickBot="1" x14ac:dyDescent="0.4">
      <c r="B97" s="8" t="s">
        <v>121</v>
      </c>
    </row>
    <row r="98" spans="2:56" ht="17" thickTop="1" thickBot="1" x14ac:dyDescent="0.4">
      <c r="C98" s="9" t="s">
        <v>122</v>
      </c>
    </row>
    <row r="99" spans="2:56" x14ac:dyDescent="0.35">
      <c r="E99" s="33" t="s">
        <v>531</v>
      </c>
      <c r="F99" s="33" t="s">
        <v>124</v>
      </c>
      <c r="G99" s="33" t="str">
        <f t="shared" ref="G99:G148" si="37">price_label</f>
        <v>£m 23/24 prices</v>
      </c>
      <c r="H99" s="33" t="s">
        <v>125</v>
      </c>
      <c r="AU99" s="137">
        <v>38.300387111161271</v>
      </c>
      <c r="AV99" s="20">
        <v>40.124000957253045</v>
      </c>
      <c r="AW99" s="20">
        <v>39.603526761109933</v>
      </c>
      <c r="AX99" s="20">
        <v>35.717151714218097</v>
      </c>
      <c r="AY99" s="20">
        <v>32.360446055022329</v>
      </c>
      <c r="BA99" s="34" t="str">
        <f t="shared" ref="BA99:BA148" ca="1" si="38">$A$1</f>
        <v>Scotland</v>
      </c>
      <c r="BB99" s="34" t="str">
        <f t="shared" ref="BB99:BB148" si="39">$A$6</f>
        <v>Variable inputs</v>
      </c>
      <c r="BC99" s="34" t="str">
        <f t="shared" ref="BC99:BC148" si="40">$B$97</f>
        <v>Variant allowances</v>
      </c>
      <c r="BD99" s="34" t="str">
        <f t="shared" ref="BD99:BD148" si="41">$C$98</f>
        <v>Variant allowances (including Real Price Effects)</v>
      </c>
    </row>
    <row r="100" spans="2:56" x14ac:dyDescent="0.35">
      <c r="E100" s="33" t="s">
        <v>532</v>
      </c>
      <c r="F100" s="33" t="s">
        <v>137</v>
      </c>
      <c r="G100" s="33" t="str">
        <f t="shared" si="37"/>
        <v>£m 23/24 prices</v>
      </c>
      <c r="H100" s="33" t="s">
        <v>875</v>
      </c>
      <c r="AU100" s="137">
        <v>13.511116131550649</v>
      </c>
      <c r="AV100" s="20">
        <v>10.589364051705404</v>
      </c>
      <c r="AW100" s="20">
        <v>9.2591611283730035</v>
      </c>
      <c r="AX100" s="20">
        <v>7.7562066603103004</v>
      </c>
      <c r="AY100" s="20">
        <v>7.759988313672709</v>
      </c>
      <c r="BA100" s="34" t="str">
        <f t="shared" ca="1" si="38"/>
        <v>Scotland</v>
      </c>
      <c r="BB100" s="34" t="str">
        <f t="shared" si="39"/>
        <v>Variable inputs</v>
      </c>
      <c r="BC100" s="34" t="str">
        <f t="shared" si="40"/>
        <v>Variant allowances</v>
      </c>
      <c r="BD100" s="34" t="str">
        <f t="shared" si="41"/>
        <v>Variant allowances (including Real Price Effects)</v>
      </c>
    </row>
    <row r="101" spans="2:56" x14ac:dyDescent="0.35">
      <c r="E101" s="33" t="s">
        <v>884</v>
      </c>
      <c r="F101" s="33" t="s">
        <v>153</v>
      </c>
      <c r="G101" s="33" t="str">
        <f t="shared" si="37"/>
        <v>£m 23/24 prices</v>
      </c>
      <c r="H101" s="33" t="s">
        <v>732</v>
      </c>
      <c r="AU101" s="137">
        <v>0</v>
      </c>
      <c r="AV101" s="20">
        <v>0</v>
      </c>
      <c r="AW101" s="20">
        <v>0</v>
      </c>
      <c r="AX101" s="20">
        <v>0</v>
      </c>
      <c r="AY101" s="20">
        <v>0</v>
      </c>
      <c r="BA101" s="34" t="str">
        <f t="shared" ca="1" si="38"/>
        <v>Scotland</v>
      </c>
      <c r="BB101" s="34" t="str">
        <f t="shared" si="39"/>
        <v>Variable inputs</v>
      </c>
      <c r="BC101" s="34" t="str">
        <f t="shared" si="40"/>
        <v>Variant allowances</v>
      </c>
      <c r="BD101" s="34" t="str">
        <f t="shared" si="41"/>
        <v>Variant allowances (including Real Price Effects)</v>
      </c>
    </row>
    <row r="102" spans="2:56" x14ac:dyDescent="0.35">
      <c r="E102" s="33" t="s">
        <v>533</v>
      </c>
      <c r="F102" s="33" t="s">
        <v>154</v>
      </c>
      <c r="G102" s="33" t="str">
        <f t="shared" si="37"/>
        <v>£m 23/24 prices</v>
      </c>
      <c r="H102" s="33" t="s">
        <v>734</v>
      </c>
      <c r="AU102" s="137">
        <v>0</v>
      </c>
      <c r="AV102" s="20">
        <v>0</v>
      </c>
      <c r="AW102" s="20">
        <v>0</v>
      </c>
      <c r="AX102" s="20">
        <v>0</v>
      </c>
      <c r="AY102" s="20">
        <v>0</v>
      </c>
      <c r="BA102" s="34" t="str">
        <f t="shared" ca="1" si="38"/>
        <v>Scotland</v>
      </c>
      <c r="BB102" s="34" t="str">
        <f t="shared" si="39"/>
        <v>Variable inputs</v>
      </c>
      <c r="BC102" s="34" t="str">
        <f t="shared" si="40"/>
        <v>Variant allowances</v>
      </c>
      <c r="BD102" s="34" t="str">
        <f t="shared" si="41"/>
        <v>Variant allowances (including Real Price Effects)</v>
      </c>
    </row>
    <row r="103" spans="2:56" x14ac:dyDescent="0.35">
      <c r="E103" s="33" t="s">
        <v>916</v>
      </c>
      <c r="F103" s="33" t="s">
        <v>132</v>
      </c>
      <c r="G103" s="33" t="str">
        <f t="shared" si="37"/>
        <v>£m 23/24 prices</v>
      </c>
      <c r="H103" s="33" t="s">
        <v>745</v>
      </c>
      <c r="AU103" s="137">
        <v>0</v>
      </c>
      <c r="AV103" s="20">
        <v>0</v>
      </c>
      <c r="AW103" s="20">
        <v>0</v>
      </c>
      <c r="AX103" s="20">
        <v>0</v>
      </c>
      <c r="AY103" s="20">
        <v>0</v>
      </c>
      <c r="BA103" s="34" t="str">
        <f t="shared" ca="1" si="38"/>
        <v>Scotland</v>
      </c>
      <c r="BB103" s="34" t="str">
        <f t="shared" si="39"/>
        <v>Variable inputs</v>
      </c>
      <c r="BC103" s="34" t="str">
        <f t="shared" si="40"/>
        <v>Variant allowances</v>
      </c>
      <c r="BD103" s="34" t="str">
        <f t="shared" si="41"/>
        <v>Variant allowances (including Real Price Effects)</v>
      </c>
    </row>
    <row r="104" spans="2:56" x14ac:dyDescent="0.35">
      <c r="E104" s="33" t="s">
        <v>534</v>
      </c>
      <c r="F104" s="33" t="s">
        <v>131</v>
      </c>
      <c r="G104" s="33" t="str">
        <f t="shared" si="37"/>
        <v>£m 23/24 prices</v>
      </c>
      <c r="H104" s="33" t="s">
        <v>885</v>
      </c>
      <c r="AU104" s="137">
        <v>0</v>
      </c>
      <c r="AV104" s="20">
        <v>0</v>
      </c>
      <c r="AW104" s="20">
        <v>0</v>
      </c>
      <c r="AX104" s="20">
        <v>0</v>
      </c>
      <c r="AY104" s="20">
        <v>0</v>
      </c>
      <c r="BA104" s="34" t="str">
        <f t="shared" ca="1" si="38"/>
        <v>Scotland</v>
      </c>
      <c r="BB104" s="34" t="str">
        <f t="shared" si="39"/>
        <v>Variable inputs</v>
      </c>
      <c r="BC104" s="34" t="str">
        <f t="shared" si="40"/>
        <v>Variant allowances</v>
      </c>
      <c r="BD104" s="34" t="str">
        <f t="shared" si="41"/>
        <v>Variant allowances (including Real Price Effects)</v>
      </c>
    </row>
    <row r="105" spans="2:56" x14ac:dyDescent="0.35">
      <c r="E105" s="33" t="s">
        <v>535</v>
      </c>
      <c r="F105" s="33" t="s">
        <v>126</v>
      </c>
      <c r="G105" s="33" t="str">
        <f t="shared" si="37"/>
        <v>£m 23/24 prices</v>
      </c>
      <c r="H105" s="33" t="s">
        <v>127</v>
      </c>
      <c r="AU105" s="137">
        <v>37.278303808134645</v>
      </c>
      <c r="AV105" s="20">
        <v>37.392397888938383</v>
      </c>
      <c r="AW105" s="20">
        <v>35.143946724139177</v>
      </c>
      <c r="AX105" s="20">
        <v>34.242787483593546</v>
      </c>
      <c r="AY105" s="20">
        <v>33.856655547540186</v>
      </c>
      <c r="BA105" s="34" t="str">
        <f t="shared" ca="1" si="38"/>
        <v>Scotland</v>
      </c>
      <c r="BB105" s="34" t="str">
        <f t="shared" si="39"/>
        <v>Variable inputs</v>
      </c>
      <c r="BC105" s="34" t="str">
        <f t="shared" si="40"/>
        <v>Variant allowances</v>
      </c>
      <c r="BD105" s="34" t="str">
        <f t="shared" si="41"/>
        <v>Variant allowances (including Real Price Effects)</v>
      </c>
    </row>
    <row r="106" spans="2:56" x14ac:dyDescent="0.35">
      <c r="E106" s="33" t="s">
        <v>880</v>
      </c>
      <c r="F106" s="33" t="s">
        <v>128</v>
      </c>
      <c r="G106" s="33" t="str">
        <f t="shared" si="37"/>
        <v>£m 23/24 prices</v>
      </c>
      <c r="H106" s="33" t="s">
        <v>129</v>
      </c>
      <c r="AU106" s="137">
        <v>12.459011203220449</v>
      </c>
      <c r="AV106" s="20">
        <v>12.498290272206242</v>
      </c>
      <c r="AW106" s="20">
        <v>11.74754518084967</v>
      </c>
      <c r="AX106" s="20">
        <v>11.444458819451176</v>
      </c>
      <c r="AY106" s="20">
        <v>11.315407072584176</v>
      </c>
      <c r="BA106" s="34" t="str">
        <f t="shared" ca="1" si="38"/>
        <v>Scotland</v>
      </c>
      <c r="BB106" s="34" t="str">
        <f t="shared" si="39"/>
        <v>Variable inputs</v>
      </c>
      <c r="BC106" s="34" t="str">
        <f t="shared" si="40"/>
        <v>Variant allowances</v>
      </c>
      <c r="BD106" s="34" t="str">
        <f t="shared" si="41"/>
        <v>Variant allowances (including Real Price Effects)</v>
      </c>
    </row>
    <row r="107" spans="2:56" x14ac:dyDescent="0.35">
      <c r="E107" s="33" t="s">
        <v>536</v>
      </c>
      <c r="F107" s="33" t="s">
        <v>123</v>
      </c>
      <c r="G107" s="33" t="str">
        <f t="shared" si="37"/>
        <v>£m 23/24 prices</v>
      </c>
      <c r="H107" s="33" t="s">
        <v>738</v>
      </c>
      <c r="AU107" s="137">
        <v>0</v>
      </c>
      <c r="AV107" s="20">
        <v>0</v>
      </c>
      <c r="AW107" s="20">
        <v>0</v>
      </c>
      <c r="AX107" s="20">
        <v>0</v>
      </c>
      <c r="AY107" s="20">
        <v>0</v>
      </c>
      <c r="BA107" s="34" t="str">
        <f t="shared" ca="1" si="38"/>
        <v>Scotland</v>
      </c>
      <c r="BB107" s="34" t="str">
        <f t="shared" si="39"/>
        <v>Variable inputs</v>
      </c>
      <c r="BC107" s="34" t="str">
        <f t="shared" si="40"/>
        <v>Variant allowances</v>
      </c>
      <c r="BD107" s="34" t="str">
        <f t="shared" si="41"/>
        <v>Variant allowances (including Real Price Effects)</v>
      </c>
    </row>
    <row r="108" spans="2:56" x14ac:dyDescent="0.35">
      <c r="E108" s="33" t="s">
        <v>887</v>
      </c>
      <c r="F108" s="33" t="s">
        <v>149</v>
      </c>
      <c r="G108" s="33" t="str">
        <f t="shared" si="37"/>
        <v>£m 23/24 prices</v>
      </c>
      <c r="H108" s="33" t="s">
        <v>888</v>
      </c>
      <c r="AU108" s="137">
        <v>0.35484507425807871</v>
      </c>
      <c r="AV108" s="20">
        <v>0.35129662351549795</v>
      </c>
      <c r="AW108" s="20">
        <v>0.34778365728034294</v>
      </c>
      <c r="AX108" s="20">
        <v>0.34430582070753951</v>
      </c>
      <c r="AY108" s="20">
        <v>0.34086276250046416</v>
      </c>
      <c r="BA108" s="34" t="str">
        <f t="shared" ca="1" si="38"/>
        <v>Scotland</v>
      </c>
      <c r="BB108" s="34" t="str">
        <f t="shared" si="39"/>
        <v>Variable inputs</v>
      </c>
      <c r="BC108" s="34" t="str">
        <f t="shared" si="40"/>
        <v>Variant allowances</v>
      </c>
      <c r="BD108" s="34" t="str">
        <f t="shared" si="41"/>
        <v>Variant allowances (including Real Price Effects)</v>
      </c>
    </row>
    <row r="109" spans="2:56" x14ac:dyDescent="0.35">
      <c r="E109" s="33" t="s">
        <v>537</v>
      </c>
      <c r="F109" s="33" t="s">
        <v>132</v>
      </c>
      <c r="G109" s="33" t="str">
        <f t="shared" si="37"/>
        <v>£m 23/24 prices</v>
      </c>
      <c r="H109" s="33" t="s">
        <v>745</v>
      </c>
      <c r="AU109" s="137">
        <v>1.1643587999999998</v>
      </c>
      <c r="AV109" s="20">
        <v>4.3803178055999989</v>
      </c>
      <c r="AW109" s="20">
        <v>7.1419352747489988</v>
      </c>
      <c r="AX109" s="20">
        <v>4.8862819753911895</v>
      </c>
      <c r="AY109" s="20">
        <v>2.3208427162884049</v>
      </c>
      <c r="BA109" s="34" t="str">
        <f t="shared" ca="1" si="38"/>
        <v>Scotland</v>
      </c>
      <c r="BB109" s="34" t="str">
        <f t="shared" si="39"/>
        <v>Variable inputs</v>
      </c>
      <c r="BC109" s="34" t="str">
        <f t="shared" si="40"/>
        <v>Variant allowances</v>
      </c>
      <c r="BD109" s="34" t="str">
        <f t="shared" si="41"/>
        <v>Variant allowances (including Real Price Effects)</v>
      </c>
    </row>
    <row r="110" spans="2:56" x14ac:dyDescent="0.35">
      <c r="E110" s="33" t="s">
        <v>914</v>
      </c>
      <c r="F110" s="33" t="s">
        <v>132</v>
      </c>
      <c r="G110" s="33" t="str">
        <f t="shared" si="37"/>
        <v>£m 23/24 prices</v>
      </c>
      <c r="H110" s="33" t="s">
        <v>745</v>
      </c>
      <c r="AU110" s="137">
        <v>0.34558229189582884</v>
      </c>
      <c r="AV110" s="20">
        <v>2.0669559551177104</v>
      </c>
      <c r="AW110" s="20">
        <v>3.0416843876523303</v>
      </c>
      <c r="AX110" s="20">
        <v>0</v>
      </c>
      <c r="AY110" s="20">
        <v>0</v>
      </c>
      <c r="BA110" s="34" t="str">
        <f t="shared" ca="1" si="38"/>
        <v>Scotland</v>
      </c>
      <c r="BB110" s="34" t="str">
        <f t="shared" si="39"/>
        <v>Variable inputs</v>
      </c>
      <c r="BC110" s="34" t="str">
        <f t="shared" si="40"/>
        <v>Variant allowances</v>
      </c>
      <c r="BD110" s="34" t="str">
        <f t="shared" si="41"/>
        <v>Variant allowances (including Real Price Effects)</v>
      </c>
    </row>
    <row r="111" spans="2:56" x14ac:dyDescent="0.35">
      <c r="E111" s="33" t="s">
        <v>915</v>
      </c>
      <c r="F111" s="33" t="s">
        <v>132</v>
      </c>
      <c r="G111" s="33" t="str">
        <f t="shared" si="37"/>
        <v>£m 23/24 prices</v>
      </c>
      <c r="H111" s="33" t="s">
        <v>745</v>
      </c>
      <c r="AU111" s="137">
        <v>0</v>
      </c>
      <c r="AV111" s="20">
        <v>0</v>
      </c>
      <c r="AW111" s="20">
        <v>0</v>
      </c>
      <c r="AX111" s="20">
        <v>0</v>
      </c>
      <c r="AY111" s="20">
        <v>0</v>
      </c>
      <c r="BA111" s="34" t="str">
        <f t="shared" ca="1" si="38"/>
        <v>Scotland</v>
      </c>
      <c r="BB111" s="34" t="str">
        <f t="shared" si="39"/>
        <v>Variable inputs</v>
      </c>
      <c r="BC111" s="34" t="str">
        <f t="shared" si="40"/>
        <v>Variant allowances</v>
      </c>
      <c r="BD111" s="34" t="str">
        <f t="shared" si="41"/>
        <v>Variant allowances (including Real Price Effects)</v>
      </c>
    </row>
    <row r="112" spans="2:56" x14ac:dyDescent="0.35">
      <c r="E112" s="33" t="s">
        <v>954</v>
      </c>
      <c r="F112" s="33" t="s">
        <v>162</v>
      </c>
      <c r="G112" s="33" t="str">
        <f t="shared" si="37"/>
        <v>£m 23/24 prices</v>
      </c>
      <c r="H112" s="33" t="s">
        <v>135</v>
      </c>
      <c r="AU112" s="137">
        <v>0.56746966716000002</v>
      </c>
      <c r="AV112" s="20">
        <v>0.63864265128840003</v>
      </c>
      <c r="AW112" s="20">
        <v>0.7083354287675161</v>
      </c>
      <c r="AX112" s="20">
        <v>0.77657048643192095</v>
      </c>
      <c r="AY112" s="20">
        <v>0.84337000940016082</v>
      </c>
      <c r="BA112" s="34" t="str">
        <f t="shared" ca="1" si="38"/>
        <v>Scotland</v>
      </c>
      <c r="BB112" s="34" t="str">
        <f t="shared" si="39"/>
        <v>Variable inputs</v>
      </c>
      <c r="BC112" s="34" t="str">
        <f t="shared" si="40"/>
        <v>Variant allowances</v>
      </c>
      <c r="BD112" s="34" t="str">
        <f t="shared" si="41"/>
        <v>Variant allowances (including Real Price Effects)</v>
      </c>
    </row>
    <row r="113" spans="5:56" x14ac:dyDescent="0.35">
      <c r="E113" s="33" t="s">
        <v>704</v>
      </c>
      <c r="F113" s="33" t="s">
        <v>140</v>
      </c>
      <c r="G113" s="33" t="str">
        <f t="shared" si="37"/>
        <v>£m 23/24 prices</v>
      </c>
      <c r="H113" s="33" t="s">
        <v>740</v>
      </c>
      <c r="AU113" s="137">
        <v>0</v>
      </c>
      <c r="AV113" s="20">
        <v>0</v>
      </c>
      <c r="AW113" s="20">
        <v>0</v>
      </c>
      <c r="AX113" s="20">
        <v>0</v>
      </c>
      <c r="AY113" s="20">
        <v>0</v>
      </c>
      <c r="BA113" s="34" t="str">
        <f t="shared" ca="1" si="38"/>
        <v>Scotland</v>
      </c>
      <c r="BB113" s="34" t="str">
        <f t="shared" si="39"/>
        <v>Variable inputs</v>
      </c>
      <c r="BC113" s="34" t="str">
        <f t="shared" si="40"/>
        <v>Variant allowances</v>
      </c>
      <c r="BD113" s="34" t="str">
        <f t="shared" si="41"/>
        <v>Variant allowances (including Real Price Effects)</v>
      </c>
    </row>
    <row r="114" spans="5:56" x14ac:dyDescent="0.35">
      <c r="E114" s="33" t="s">
        <v>911</v>
      </c>
      <c r="F114" s="33" t="s">
        <v>136</v>
      </c>
      <c r="G114" s="33" t="str">
        <f t="shared" si="37"/>
        <v>£m 23/24 prices</v>
      </c>
      <c r="H114" s="33" t="s">
        <v>906</v>
      </c>
      <c r="AU114" s="137">
        <v>0</v>
      </c>
      <c r="AV114" s="20">
        <v>0</v>
      </c>
      <c r="AW114" s="20">
        <v>0</v>
      </c>
      <c r="AX114" s="20">
        <v>0</v>
      </c>
      <c r="AY114" s="20">
        <v>0</v>
      </c>
      <c r="BA114" s="34" t="str">
        <f t="shared" ca="1" si="38"/>
        <v>Scotland</v>
      </c>
      <c r="BB114" s="34" t="str">
        <f t="shared" si="39"/>
        <v>Variable inputs</v>
      </c>
      <c r="BC114" s="34" t="str">
        <f t="shared" si="40"/>
        <v>Variant allowances</v>
      </c>
      <c r="BD114" s="34" t="str">
        <f t="shared" si="41"/>
        <v>Variant allowances (including Real Price Effects)</v>
      </c>
    </row>
    <row r="115" spans="5:56" x14ac:dyDescent="0.35">
      <c r="E115" s="33" t="s">
        <v>913</v>
      </c>
      <c r="F115" s="33" t="s">
        <v>136</v>
      </c>
      <c r="G115" s="33" t="str">
        <f t="shared" si="37"/>
        <v>£m 23/24 prices</v>
      </c>
      <c r="H115" s="33" t="s">
        <v>906</v>
      </c>
      <c r="AU115" s="137">
        <v>0</v>
      </c>
      <c r="AV115" s="20">
        <v>0</v>
      </c>
      <c r="AW115" s="20">
        <v>0</v>
      </c>
      <c r="AX115" s="20">
        <v>0</v>
      </c>
      <c r="AY115" s="20">
        <v>0</v>
      </c>
      <c r="BA115" s="34" t="str">
        <f t="shared" ca="1" si="38"/>
        <v>Scotland</v>
      </c>
      <c r="BB115" s="34" t="str">
        <f t="shared" si="39"/>
        <v>Variable inputs</v>
      </c>
      <c r="BC115" s="34" t="str">
        <f t="shared" si="40"/>
        <v>Variant allowances</v>
      </c>
      <c r="BD115" s="34" t="str">
        <f t="shared" si="41"/>
        <v>Variant allowances (including Real Price Effects)</v>
      </c>
    </row>
    <row r="116" spans="5:56" x14ac:dyDescent="0.35">
      <c r="E116" s="33" t="s">
        <v>912</v>
      </c>
      <c r="F116" s="33" t="s">
        <v>136</v>
      </c>
      <c r="G116" s="33" t="str">
        <f t="shared" si="37"/>
        <v>£m 23/24 prices</v>
      </c>
      <c r="H116" s="33" t="s">
        <v>906</v>
      </c>
      <c r="AU116" s="137">
        <v>0</v>
      </c>
      <c r="AV116" s="20">
        <v>0</v>
      </c>
      <c r="AW116" s="20">
        <v>0</v>
      </c>
      <c r="AX116" s="20">
        <v>0</v>
      </c>
      <c r="AY116" s="20">
        <v>0</v>
      </c>
      <c r="BA116" s="34" t="str">
        <f t="shared" ca="1" si="38"/>
        <v>Scotland</v>
      </c>
      <c r="BB116" s="34" t="str">
        <f t="shared" si="39"/>
        <v>Variable inputs</v>
      </c>
      <c r="BC116" s="34" t="str">
        <f t="shared" si="40"/>
        <v>Variant allowances</v>
      </c>
      <c r="BD116" s="34" t="str">
        <f t="shared" si="41"/>
        <v>Variant allowances (including Real Price Effects)</v>
      </c>
    </row>
    <row r="117" spans="5:56" x14ac:dyDescent="0.35">
      <c r="E117" t="s">
        <v>705</v>
      </c>
      <c r="F117" s="33" t="s">
        <v>130</v>
      </c>
      <c r="G117" s="33" t="str">
        <f t="shared" si="37"/>
        <v>£m 23/24 prices</v>
      </c>
      <c r="H117" s="33" t="s">
        <v>886</v>
      </c>
      <c r="AU117" s="137">
        <v>0</v>
      </c>
      <c r="AV117" s="20">
        <v>0</v>
      </c>
      <c r="AW117" s="20">
        <v>0</v>
      </c>
      <c r="AX117" s="20">
        <v>0</v>
      </c>
      <c r="AY117" s="20">
        <v>0</v>
      </c>
      <c r="BA117" s="34" t="str">
        <f t="shared" ca="1" si="38"/>
        <v>Scotland</v>
      </c>
      <c r="BB117" s="34" t="str">
        <f t="shared" si="39"/>
        <v>Variable inputs</v>
      </c>
      <c r="BC117" s="34" t="str">
        <f t="shared" si="40"/>
        <v>Variant allowances</v>
      </c>
      <c r="BD117" s="34" t="str">
        <f t="shared" si="41"/>
        <v>Variant allowances (including Real Price Effects)</v>
      </c>
    </row>
    <row r="118" spans="5:56" x14ac:dyDescent="0.35">
      <c r="E118" s="33" t="s">
        <v>538</v>
      </c>
      <c r="G118" s="33" t="str">
        <f t="shared" si="37"/>
        <v>£m 23/24 prices</v>
      </c>
      <c r="H118" s="33" t="s">
        <v>960</v>
      </c>
      <c r="AU118" s="137">
        <v>0.23642983401317269</v>
      </c>
      <c r="AV118" s="20">
        <v>0.23406553567304098</v>
      </c>
      <c r="AW118" s="20">
        <v>0.23172488031631056</v>
      </c>
      <c r="AX118" s="20">
        <v>0.22940763151314744</v>
      </c>
      <c r="AY118" s="20">
        <v>0.22711355519801596</v>
      </c>
      <c r="BA118" s="34" t="str">
        <f t="shared" ca="1" si="38"/>
        <v>Scotland</v>
      </c>
      <c r="BB118" s="34" t="str">
        <f t="shared" si="39"/>
        <v>Variable inputs</v>
      </c>
      <c r="BC118" s="34" t="str">
        <f t="shared" si="40"/>
        <v>Variant allowances</v>
      </c>
      <c r="BD118" s="34" t="str">
        <f t="shared" si="41"/>
        <v>Variant allowances (including Real Price Effects)</v>
      </c>
    </row>
    <row r="119" spans="5:56" x14ac:dyDescent="0.35">
      <c r="E119" s="33" t="s">
        <v>948</v>
      </c>
      <c r="G119" s="33" t="str">
        <f t="shared" si="37"/>
        <v>£m 23/24 prices</v>
      </c>
      <c r="AU119" s="137">
        <v>0</v>
      </c>
      <c r="AV119" s="20">
        <v>0</v>
      </c>
      <c r="AW119" s="20">
        <v>0</v>
      </c>
      <c r="AX119" s="20">
        <v>0</v>
      </c>
      <c r="AY119" s="20">
        <v>0</v>
      </c>
      <c r="BA119" s="34" t="str">
        <f t="shared" ca="1" si="38"/>
        <v>Scotland</v>
      </c>
      <c r="BB119" s="34" t="str">
        <f t="shared" si="39"/>
        <v>Variable inputs</v>
      </c>
      <c r="BC119" s="34" t="str">
        <f t="shared" si="40"/>
        <v>Variant allowances</v>
      </c>
      <c r="BD119" s="34" t="str">
        <f t="shared" si="41"/>
        <v>Variant allowances (including Real Price Effects)</v>
      </c>
    </row>
    <row r="120" spans="5:56" x14ac:dyDescent="0.35">
      <c r="E120" s="33" t="s">
        <v>539</v>
      </c>
      <c r="F120" s="33" t="s">
        <v>133</v>
      </c>
      <c r="G120" s="33" t="str">
        <f t="shared" si="37"/>
        <v>£m 23/24 prices</v>
      </c>
      <c r="H120" s="33" t="s">
        <v>144</v>
      </c>
      <c r="AU120" s="137">
        <v>1.6249792416178273</v>
      </c>
      <c r="AV120" s="20">
        <v>1.621156924180772</v>
      </c>
      <c r="AW120" s="20">
        <v>1.5244649102439816</v>
      </c>
      <c r="AX120" s="20">
        <v>1.4872780783305408</v>
      </c>
      <c r="AY120" s="20">
        <v>1.4704102890598547</v>
      </c>
      <c r="BA120" s="34" t="str">
        <f t="shared" ca="1" si="38"/>
        <v>Scotland</v>
      </c>
      <c r="BB120" s="34" t="str">
        <f t="shared" si="39"/>
        <v>Variable inputs</v>
      </c>
      <c r="BC120" s="34" t="str">
        <f t="shared" si="40"/>
        <v>Variant allowances</v>
      </c>
      <c r="BD120" s="34" t="str">
        <f t="shared" si="41"/>
        <v>Variant allowances (including Real Price Effects)</v>
      </c>
    </row>
    <row r="121" spans="5:56" x14ac:dyDescent="0.35">
      <c r="E121" s="33" t="s">
        <v>917</v>
      </c>
      <c r="F121" s="33" t="s">
        <v>142</v>
      </c>
      <c r="G121" s="33" t="str">
        <f t="shared" si="37"/>
        <v>£m 23/24 prices</v>
      </c>
      <c r="H121" s="33" t="s">
        <v>907</v>
      </c>
      <c r="AU121" s="137">
        <v>1.2392497899386423</v>
      </c>
      <c r="AV121" s="20">
        <v>1.2767146539807555</v>
      </c>
      <c r="AW121" s="20">
        <v>1.2662639920655725</v>
      </c>
      <c r="AX121" s="20">
        <v>1.1608107225440842</v>
      </c>
      <c r="AY121" s="20">
        <v>1.0894965187347112</v>
      </c>
      <c r="BA121" s="34" t="str">
        <f t="shared" ca="1" si="38"/>
        <v>Scotland</v>
      </c>
      <c r="BB121" s="34" t="str">
        <f t="shared" si="39"/>
        <v>Variable inputs</v>
      </c>
      <c r="BC121" s="34" t="str">
        <f t="shared" si="40"/>
        <v>Variant allowances</v>
      </c>
      <c r="BD121" s="34" t="str">
        <f t="shared" si="41"/>
        <v>Variant allowances (including Real Price Effects)</v>
      </c>
    </row>
    <row r="122" spans="5:56" x14ac:dyDescent="0.35">
      <c r="E122" s="33" t="s">
        <v>706</v>
      </c>
      <c r="F122" s="33" t="s">
        <v>137</v>
      </c>
      <c r="G122" s="33" t="str">
        <f t="shared" si="37"/>
        <v>£m 23/24 prices</v>
      </c>
      <c r="H122" s="33" t="s">
        <v>876</v>
      </c>
      <c r="AU122" s="137">
        <v>0</v>
      </c>
      <c r="AV122" s="20">
        <v>0</v>
      </c>
      <c r="AW122" s="20">
        <v>0</v>
      </c>
      <c r="AX122" s="20">
        <v>0</v>
      </c>
      <c r="AY122" s="20">
        <v>0</v>
      </c>
      <c r="BA122" s="34" t="str">
        <f t="shared" ca="1" si="38"/>
        <v>Scotland</v>
      </c>
      <c r="BB122" s="34" t="str">
        <f t="shared" si="39"/>
        <v>Variable inputs</v>
      </c>
      <c r="BC122" s="34" t="str">
        <f t="shared" si="40"/>
        <v>Variant allowances</v>
      </c>
      <c r="BD122" s="34" t="str">
        <f t="shared" si="41"/>
        <v>Variant allowances (including Real Price Effects)</v>
      </c>
    </row>
    <row r="123" spans="5:56" x14ac:dyDescent="0.35">
      <c r="E123" s="33" t="s">
        <v>707</v>
      </c>
      <c r="F123" s="33" t="s">
        <v>137</v>
      </c>
      <c r="G123" s="33" t="str">
        <f t="shared" si="37"/>
        <v>£m 23/24 prices</v>
      </c>
      <c r="H123" s="33" t="s">
        <v>876</v>
      </c>
      <c r="AU123" s="137">
        <v>0.10206121530286198</v>
      </c>
      <c r="AV123" s="20">
        <v>0.12990934690692862</v>
      </c>
      <c r="AW123" s="20">
        <v>0.14575828722957393</v>
      </c>
      <c r="AX123" s="20">
        <v>0.1612772578110756</v>
      </c>
      <c r="AY123" s="20">
        <v>0.17647127315222433</v>
      </c>
      <c r="BA123" s="34" t="str">
        <f t="shared" ca="1" si="38"/>
        <v>Scotland</v>
      </c>
      <c r="BB123" s="34" t="str">
        <f t="shared" si="39"/>
        <v>Variable inputs</v>
      </c>
      <c r="BC123" s="34" t="str">
        <f t="shared" si="40"/>
        <v>Variant allowances</v>
      </c>
      <c r="BD123" s="34" t="str">
        <f t="shared" si="41"/>
        <v>Variant allowances (including Real Price Effects)</v>
      </c>
    </row>
    <row r="124" spans="5:56" x14ac:dyDescent="0.35">
      <c r="E124" s="33" t="s">
        <v>881</v>
      </c>
      <c r="F124" s="33" t="s">
        <v>160</v>
      </c>
      <c r="G124" s="33" t="str">
        <f t="shared" si="37"/>
        <v>£m 23/24 prices</v>
      </c>
      <c r="H124" s="33" t="s">
        <v>882</v>
      </c>
      <c r="AU124" s="137">
        <v>4</v>
      </c>
      <c r="AV124" s="20">
        <v>4</v>
      </c>
      <c r="AW124" s="20">
        <v>4</v>
      </c>
      <c r="AX124" s="20">
        <v>4</v>
      </c>
      <c r="AY124" s="20">
        <v>4</v>
      </c>
      <c r="BA124" s="34" t="str">
        <f t="shared" ca="1" si="38"/>
        <v>Scotland</v>
      </c>
      <c r="BB124" s="34" t="str">
        <f t="shared" si="39"/>
        <v>Variable inputs</v>
      </c>
      <c r="BC124" s="34" t="str">
        <f t="shared" si="40"/>
        <v>Variant allowances</v>
      </c>
      <c r="BD124" s="34" t="str">
        <f t="shared" si="41"/>
        <v>Variant allowances (including Real Price Effects)</v>
      </c>
    </row>
    <row r="125" spans="5:56" x14ac:dyDescent="0.35">
      <c r="E125" s="33" t="s">
        <v>540</v>
      </c>
      <c r="G125" s="33" t="str">
        <f t="shared" si="37"/>
        <v>£m 23/24 prices</v>
      </c>
      <c r="AU125" s="137">
        <v>0</v>
      </c>
      <c r="AV125" s="20">
        <v>0</v>
      </c>
      <c r="AW125" s="20">
        <v>0</v>
      </c>
      <c r="AX125" s="20">
        <v>0</v>
      </c>
      <c r="AY125" s="20">
        <v>0</v>
      </c>
      <c r="BA125" s="34" t="str">
        <f t="shared" ca="1" si="38"/>
        <v>Scotland</v>
      </c>
      <c r="BB125" s="34" t="str">
        <f t="shared" si="39"/>
        <v>Variable inputs</v>
      </c>
      <c r="BC125" s="34" t="str">
        <f t="shared" si="40"/>
        <v>Variant allowances</v>
      </c>
      <c r="BD125" s="34" t="str">
        <f t="shared" si="41"/>
        <v>Variant allowances (including Real Price Effects)</v>
      </c>
    </row>
    <row r="126" spans="5:56" x14ac:dyDescent="0.35">
      <c r="E126" s="33" t="s">
        <v>541</v>
      </c>
      <c r="F126" s="33" t="s">
        <v>147</v>
      </c>
      <c r="G126" s="33" t="str">
        <f t="shared" si="37"/>
        <v>£m 23/24 prices</v>
      </c>
      <c r="H126" s="33" t="s">
        <v>148</v>
      </c>
      <c r="AU126" s="137">
        <v>0</v>
      </c>
      <c r="AV126" s="20">
        <v>0</v>
      </c>
      <c r="AW126" s="20">
        <v>0</v>
      </c>
      <c r="AX126" s="20">
        <v>0</v>
      </c>
      <c r="AY126" s="20">
        <v>0</v>
      </c>
      <c r="BA126" s="34" t="str">
        <f t="shared" ca="1" si="38"/>
        <v>Scotland</v>
      </c>
      <c r="BB126" s="34" t="str">
        <f t="shared" si="39"/>
        <v>Variable inputs</v>
      </c>
      <c r="BC126" s="34" t="str">
        <f t="shared" si="40"/>
        <v>Variant allowances</v>
      </c>
      <c r="BD126" s="34" t="str">
        <f t="shared" si="41"/>
        <v>Variant allowances (including Real Price Effects)</v>
      </c>
    </row>
    <row r="127" spans="5:56" x14ac:dyDescent="0.35">
      <c r="E127" s="33" t="s">
        <v>877</v>
      </c>
      <c r="F127" s="33" t="s">
        <v>137</v>
      </c>
      <c r="G127" s="33" t="str">
        <f t="shared" si="37"/>
        <v>£m 23/24 prices</v>
      </c>
      <c r="H127" s="33" t="s">
        <v>876</v>
      </c>
      <c r="AU127" s="137">
        <v>0</v>
      </c>
      <c r="AV127" s="20">
        <v>0</v>
      </c>
      <c r="AW127" s="20">
        <v>0</v>
      </c>
      <c r="AX127" s="20">
        <v>6.1989142082518418</v>
      </c>
      <c r="AY127" s="20">
        <v>6.1989142082518418</v>
      </c>
      <c r="BA127" s="34" t="str">
        <f t="shared" ca="1" si="38"/>
        <v>Scotland</v>
      </c>
      <c r="BB127" s="34" t="str">
        <f t="shared" si="39"/>
        <v>Variable inputs</v>
      </c>
      <c r="BC127" s="34" t="str">
        <f t="shared" si="40"/>
        <v>Variant allowances</v>
      </c>
      <c r="BD127" s="34" t="str">
        <f t="shared" si="41"/>
        <v>Variant allowances (including Real Price Effects)</v>
      </c>
    </row>
    <row r="128" spans="5:56" x14ac:dyDescent="0.35">
      <c r="E128" s="33" t="s">
        <v>542</v>
      </c>
      <c r="G128" s="33" t="str">
        <f t="shared" si="37"/>
        <v>£m 23/24 prices</v>
      </c>
      <c r="AU128" s="137">
        <v>0</v>
      </c>
      <c r="AV128" s="20">
        <v>0</v>
      </c>
      <c r="AW128" s="20">
        <v>0</v>
      </c>
      <c r="AX128" s="20">
        <v>0</v>
      </c>
      <c r="AY128" s="20">
        <v>0</v>
      </c>
      <c r="BA128" s="34" t="str">
        <f t="shared" ca="1" si="38"/>
        <v>Scotland</v>
      </c>
      <c r="BB128" s="34" t="str">
        <f t="shared" si="39"/>
        <v>Variable inputs</v>
      </c>
      <c r="BC128" s="34" t="str">
        <f t="shared" si="40"/>
        <v>Variant allowances</v>
      </c>
      <c r="BD128" s="34" t="str">
        <f t="shared" si="41"/>
        <v>Variant allowances (including Real Price Effects)</v>
      </c>
    </row>
    <row r="129" spans="5:56" x14ac:dyDescent="0.35">
      <c r="E129" s="33" t="s">
        <v>543</v>
      </c>
      <c r="F129" s="33" t="s">
        <v>161</v>
      </c>
      <c r="G129" s="33" t="str">
        <f t="shared" si="37"/>
        <v>£m 23/24 prices</v>
      </c>
      <c r="H129" s="33" t="s">
        <v>879</v>
      </c>
      <c r="AU129" s="137">
        <v>0</v>
      </c>
      <c r="AV129" s="20">
        <v>0</v>
      </c>
      <c r="AW129" s="20">
        <v>0</v>
      </c>
      <c r="AX129" s="20">
        <v>0</v>
      </c>
      <c r="AY129" s="20">
        <v>0</v>
      </c>
      <c r="BA129" s="34" t="str">
        <f t="shared" ca="1" si="38"/>
        <v>Scotland</v>
      </c>
      <c r="BB129" s="34" t="str">
        <f t="shared" si="39"/>
        <v>Variable inputs</v>
      </c>
      <c r="BC129" s="34" t="str">
        <f t="shared" si="40"/>
        <v>Variant allowances</v>
      </c>
      <c r="BD129" s="34" t="str">
        <f t="shared" si="41"/>
        <v>Variant allowances (including Real Price Effects)</v>
      </c>
    </row>
    <row r="130" spans="5:56" x14ac:dyDescent="0.35">
      <c r="E130" s="33" t="s">
        <v>544</v>
      </c>
      <c r="F130" s="33" t="s">
        <v>158</v>
      </c>
      <c r="G130" s="33" t="str">
        <f t="shared" si="37"/>
        <v>£m 23/24 prices</v>
      </c>
      <c r="H130" s="33" t="s">
        <v>159</v>
      </c>
      <c r="AU130" s="137">
        <v>1.984</v>
      </c>
      <c r="AV130" s="20">
        <v>1.984</v>
      </c>
      <c r="AW130" s="20">
        <v>1.984</v>
      </c>
      <c r="AX130" s="20">
        <v>1.984</v>
      </c>
      <c r="AY130" s="20">
        <v>1.984</v>
      </c>
      <c r="BA130" s="34" t="str">
        <f t="shared" ca="1" si="38"/>
        <v>Scotland</v>
      </c>
      <c r="BB130" s="34" t="str">
        <f t="shared" si="39"/>
        <v>Variable inputs</v>
      </c>
      <c r="BC130" s="34" t="str">
        <f t="shared" si="40"/>
        <v>Variant allowances</v>
      </c>
      <c r="BD130" s="34" t="str">
        <f t="shared" si="41"/>
        <v>Variant allowances (including Real Price Effects)</v>
      </c>
    </row>
    <row r="131" spans="5:56" x14ac:dyDescent="0.35">
      <c r="E131" s="33" t="s">
        <v>545</v>
      </c>
      <c r="F131" s="33" t="s">
        <v>151</v>
      </c>
      <c r="G131" s="33" t="str">
        <f t="shared" si="37"/>
        <v>£m 23/24 prices</v>
      </c>
      <c r="H131" s="33" t="s">
        <v>150</v>
      </c>
      <c r="AU131" s="137">
        <v>0</v>
      </c>
      <c r="AV131" s="20">
        <v>0</v>
      </c>
      <c r="AW131" s="20">
        <v>0</v>
      </c>
      <c r="AX131" s="20">
        <v>0</v>
      </c>
      <c r="AY131" s="20">
        <v>0</v>
      </c>
      <c r="BA131" s="34" t="str">
        <f t="shared" ca="1" si="38"/>
        <v>Scotland</v>
      </c>
      <c r="BB131" s="34" t="str">
        <f t="shared" si="39"/>
        <v>Variable inputs</v>
      </c>
      <c r="BC131" s="34" t="str">
        <f t="shared" si="40"/>
        <v>Variant allowances</v>
      </c>
      <c r="BD131" s="34" t="str">
        <f t="shared" si="41"/>
        <v>Variant allowances (including Real Price Effects)</v>
      </c>
    </row>
    <row r="132" spans="5:56" x14ac:dyDescent="0.35">
      <c r="E132" s="33" t="s">
        <v>546</v>
      </c>
      <c r="F132" s="33" t="s">
        <v>134</v>
      </c>
      <c r="G132" s="33" t="str">
        <f t="shared" si="37"/>
        <v>£m 23/24 prices</v>
      </c>
      <c r="H132" s="33" t="s">
        <v>146</v>
      </c>
      <c r="AU132" s="137">
        <v>0</v>
      </c>
      <c r="AV132" s="20">
        <v>0</v>
      </c>
      <c r="AW132" s="20">
        <v>0</v>
      </c>
      <c r="AX132" s="20">
        <v>0</v>
      </c>
      <c r="AY132" s="20">
        <v>0</v>
      </c>
      <c r="BA132" s="34" t="str">
        <f t="shared" ca="1" si="38"/>
        <v>Scotland</v>
      </c>
      <c r="BB132" s="34" t="str">
        <f t="shared" si="39"/>
        <v>Variable inputs</v>
      </c>
      <c r="BC132" s="34" t="str">
        <f t="shared" si="40"/>
        <v>Variant allowances</v>
      </c>
      <c r="BD132" s="34" t="str">
        <f t="shared" si="41"/>
        <v>Variant allowances (including Real Price Effects)</v>
      </c>
    </row>
    <row r="133" spans="5:56" x14ac:dyDescent="0.35">
      <c r="E133" s="33" t="s">
        <v>547</v>
      </c>
      <c r="F133" s="33" t="s">
        <v>141</v>
      </c>
      <c r="G133" s="33" t="str">
        <f t="shared" si="37"/>
        <v>£m 23/24 prices</v>
      </c>
      <c r="H133" s="33" t="s">
        <v>739</v>
      </c>
      <c r="AU133" s="137">
        <v>0</v>
      </c>
      <c r="AV133" s="20">
        <v>0</v>
      </c>
      <c r="AW133" s="20">
        <v>0</v>
      </c>
      <c r="AX133" s="20">
        <v>0</v>
      </c>
      <c r="AY133" s="20">
        <v>0</v>
      </c>
      <c r="BA133" s="34" t="str">
        <f t="shared" ca="1" si="38"/>
        <v>Scotland</v>
      </c>
      <c r="BB133" s="34" t="str">
        <f t="shared" si="39"/>
        <v>Variable inputs</v>
      </c>
      <c r="BC133" s="34" t="str">
        <f t="shared" si="40"/>
        <v>Variant allowances</v>
      </c>
      <c r="BD133" s="34" t="str">
        <f t="shared" si="41"/>
        <v>Variant allowances (including Real Price Effects)</v>
      </c>
    </row>
    <row r="134" spans="5:56" x14ac:dyDescent="0.35">
      <c r="E134" s="33" t="s">
        <v>918</v>
      </c>
      <c r="F134" s="33" t="s">
        <v>139</v>
      </c>
      <c r="G134" s="33" t="str">
        <f t="shared" si="37"/>
        <v>£m 23/24 prices</v>
      </c>
      <c r="H134" s="33" t="s">
        <v>908</v>
      </c>
      <c r="AU134" s="137">
        <v>0</v>
      </c>
      <c r="AV134" s="20">
        <v>0</v>
      </c>
      <c r="AW134" s="20">
        <v>0</v>
      </c>
      <c r="AX134" s="20">
        <v>0</v>
      </c>
      <c r="AY134" s="20">
        <v>0</v>
      </c>
      <c r="BA134" s="34" t="str">
        <f t="shared" ca="1" si="38"/>
        <v>Scotland</v>
      </c>
      <c r="BB134" s="34" t="str">
        <f t="shared" si="39"/>
        <v>Variable inputs</v>
      </c>
      <c r="BC134" s="34" t="str">
        <f t="shared" si="40"/>
        <v>Variant allowances</v>
      </c>
      <c r="BD134" s="34" t="str">
        <f t="shared" si="41"/>
        <v>Variant allowances (including Real Price Effects)</v>
      </c>
    </row>
    <row r="135" spans="5:56" x14ac:dyDescent="0.35">
      <c r="E135" s="33" t="s">
        <v>919</v>
      </c>
      <c r="F135" s="33" t="s">
        <v>152</v>
      </c>
      <c r="G135" s="33" t="str">
        <f t="shared" si="37"/>
        <v>£m 23/24 prices</v>
      </c>
      <c r="H135" s="33" t="s">
        <v>909</v>
      </c>
      <c r="AU135" s="137">
        <v>0</v>
      </c>
      <c r="AV135" s="20">
        <v>0</v>
      </c>
      <c r="AW135" s="20">
        <v>0</v>
      </c>
      <c r="AX135" s="20">
        <v>0</v>
      </c>
      <c r="AY135" s="20">
        <v>0</v>
      </c>
      <c r="BA135" s="34" t="str">
        <f t="shared" ca="1" si="38"/>
        <v>Scotland</v>
      </c>
      <c r="BB135" s="34" t="str">
        <f t="shared" si="39"/>
        <v>Variable inputs</v>
      </c>
      <c r="BC135" s="34" t="str">
        <f t="shared" si="40"/>
        <v>Variant allowances</v>
      </c>
      <c r="BD135" s="34" t="str">
        <f t="shared" si="41"/>
        <v>Variant allowances (including Real Price Effects)</v>
      </c>
    </row>
    <row r="136" spans="5:56" x14ac:dyDescent="0.35">
      <c r="E136" s="33" t="s">
        <v>548</v>
      </c>
      <c r="F136" s="33" t="s">
        <v>143</v>
      </c>
      <c r="G136" s="33" t="str">
        <f t="shared" si="37"/>
        <v>£m 23/24 prices</v>
      </c>
      <c r="H136" s="33" t="s">
        <v>157</v>
      </c>
      <c r="AU136" s="137">
        <v>0</v>
      </c>
      <c r="AV136" s="20">
        <v>0</v>
      </c>
      <c r="AW136" s="20">
        <v>0</v>
      </c>
      <c r="AX136" s="20">
        <v>0</v>
      </c>
      <c r="AY136" s="20">
        <v>0</v>
      </c>
      <c r="BA136" s="34" t="str">
        <f t="shared" ca="1" si="38"/>
        <v>Scotland</v>
      </c>
      <c r="BB136" s="34" t="str">
        <f t="shared" si="39"/>
        <v>Variable inputs</v>
      </c>
      <c r="BC136" s="34" t="str">
        <f t="shared" si="40"/>
        <v>Variant allowances</v>
      </c>
      <c r="BD136" s="34" t="str">
        <f t="shared" si="41"/>
        <v>Variant allowances (including Real Price Effects)</v>
      </c>
    </row>
    <row r="137" spans="5:56" x14ac:dyDescent="0.35">
      <c r="E137" s="33" t="s">
        <v>878</v>
      </c>
      <c r="F137" s="33" t="s">
        <v>138</v>
      </c>
      <c r="G137" s="33" t="str">
        <f t="shared" si="37"/>
        <v>£m 23/24 prices</v>
      </c>
      <c r="H137" s="33" t="s">
        <v>720</v>
      </c>
      <c r="AU137" s="137">
        <v>0</v>
      </c>
      <c r="AV137" s="20">
        <v>0</v>
      </c>
      <c r="AW137" s="20">
        <v>0</v>
      </c>
      <c r="AX137" s="20">
        <v>0</v>
      </c>
      <c r="AY137" s="20">
        <v>0</v>
      </c>
      <c r="BA137" s="34" t="str">
        <f t="shared" ca="1" si="38"/>
        <v>Scotland</v>
      </c>
      <c r="BB137" s="34" t="str">
        <f t="shared" si="39"/>
        <v>Variable inputs</v>
      </c>
      <c r="BC137" s="34" t="str">
        <f t="shared" si="40"/>
        <v>Variant allowances</v>
      </c>
      <c r="BD137" s="34" t="str">
        <f t="shared" si="41"/>
        <v>Variant allowances (including Real Price Effects)</v>
      </c>
    </row>
    <row r="138" spans="5:56" x14ac:dyDescent="0.35">
      <c r="E138" s="33" t="s">
        <v>549</v>
      </c>
      <c r="F138" s="33" t="s">
        <v>145</v>
      </c>
      <c r="G138" s="33" t="str">
        <f t="shared" si="37"/>
        <v>£m 23/24 prices</v>
      </c>
      <c r="H138" s="33" t="s">
        <v>155</v>
      </c>
      <c r="AU138" s="137">
        <v>0</v>
      </c>
      <c r="AV138" s="20">
        <v>0</v>
      </c>
      <c r="AW138" s="20">
        <v>0</v>
      </c>
      <c r="AX138" s="20">
        <v>0</v>
      </c>
      <c r="AY138" s="20">
        <v>0</v>
      </c>
      <c r="BA138" s="34" t="str">
        <f t="shared" ca="1" si="38"/>
        <v>Scotland</v>
      </c>
      <c r="BB138" s="34" t="str">
        <f t="shared" si="39"/>
        <v>Variable inputs</v>
      </c>
      <c r="BC138" s="34" t="str">
        <f t="shared" si="40"/>
        <v>Variant allowances</v>
      </c>
      <c r="BD138" s="34" t="str">
        <f t="shared" si="41"/>
        <v>Variant allowances (including Real Price Effects)</v>
      </c>
    </row>
    <row r="139" spans="5:56" x14ac:dyDescent="0.35">
      <c r="E139" s="33" t="s">
        <v>708</v>
      </c>
      <c r="F139" s="33" t="s">
        <v>138</v>
      </c>
      <c r="G139" s="33" t="str">
        <f t="shared" si="37"/>
        <v>£m 23/24 prices</v>
      </c>
      <c r="H139" s="33" t="s">
        <v>720</v>
      </c>
      <c r="AU139" s="137">
        <v>0</v>
      </c>
      <c r="AV139" s="20">
        <v>0</v>
      </c>
      <c r="AW139" s="20">
        <v>0</v>
      </c>
      <c r="AX139" s="20">
        <v>0</v>
      </c>
      <c r="AY139" s="20">
        <v>0</v>
      </c>
      <c r="BA139" s="34" t="str">
        <f t="shared" ca="1" si="38"/>
        <v>Scotland</v>
      </c>
      <c r="BB139" s="34" t="str">
        <f t="shared" si="39"/>
        <v>Variable inputs</v>
      </c>
      <c r="BC139" s="34" t="str">
        <f t="shared" si="40"/>
        <v>Variant allowances</v>
      </c>
      <c r="BD139" s="34" t="str">
        <f t="shared" si="41"/>
        <v>Variant allowances (including Real Price Effects)</v>
      </c>
    </row>
    <row r="140" spans="5:56" x14ac:dyDescent="0.35">
      <c r="E140" s="33" t="s">
        <v>920</v>
      </c>
      <c r="F140" s="33" t="s">
        <v>921</v>
      </c>
      <c r="G140" s="33" t="str">
        <f t="shared" si="37"/>
        <v>£m 23/24 prices</v>
      </c>
      <c r="H140" s="33" t="s">
        <v>910</v>
      </c>
      <c r="AU140" s="137">
        <v>0</v>
      </c>
      <c r="AV140" s="20">
        <v>0</v>
      </c>
      <c r="AW140" s="20">
        <v>0</v>
      </c>
      <c r="AX140" s="20">
        <v>0</v>
      </c>
      <c r="AY140" s="20">
        <v>0</v>
      </c>
      <c r="BA140" s="34" t="str">
        <f t="shared" ca="1" si="38"/>
        <v>Scotland</v>
      </c>
      <c r="BB140" s="34" t="str">
        <f t="shared" si="39"/>
        <v>Variable inputs</v>
      </c>
      <c r="BC140" s="34" t="str">
        <f t="shared" si="40"/>
        <v>Variant allowances</v>
      </c>
      <c r="BD140" s="34" t="str">
        <f t="shared" si="41"/>
        <v>Variant allowances (including Real Price Effects)</v>
      </c>
    </row>
    <row r="141" spans="5:56" x14ac:dyDescent="0.35">
      <c r="E141" s="33" t="s">
        <v>709</v>
      </c>
      <c r="F141" s="33" t="s">
        <v>156</v>
      </c>
      <c r="G141" s="33" t="str">
        <f t="shared" si="37"/>
        <v>£m 23/24 prices</v>
      </c>
      <c r="H141" s="33" t="s">
        <v>883</v>
      </c>
      <c r="AU141" s="137">
        <v>0</v>
      </c>
      <c r="AV141" s="20">
        <v>3.1877999999999997</v>
      </c>
      <c r="AW141" s="20">
        <v>3.1877999999999997</v>
      </c>
      <c r="AX141" s="20">
        <v>3.1877999999999997</v>
      </c>
      <c r="AY141" s="20">
        <v>3.1877999999999997</v>
      </c>
      <c r="BA141" s="34" t="str">
        <f t="shared" ca="1" si="38"/>
        <v>Scotland</v>
      </c>
      <c r="BB141" s="34" t="str">
        <f t="shared" si="39"/>
        <v>Variable inputs</v>
      </c>
      <c r="BC141" s="34" t="str">
        <f t="shared" si="40"/>
        <v>Variant allowances</v>
      </c>
      <c r="BD141" s="34" t="str">
        <f t="shared" si="41"/>
        <v>Variant allowances (including Real Price Effects)</v>
      </c>
    </row>
    <row r="142" spans="5:56" x14ac:dyDescent="0.35">
      <c r="E142" s="33" t="s">
        <v>710</v>
      </c>
      <c r="G142" s="33" t="str">
        <f t="shared" si="37"/>
        <v>£m 23/24 prices</v>
      </c>
      <c r="AU142" s="137">
        <v>0</v>
      </c>
      <c r="AV142" s="20">
        <v>0</v>
      </c>
      <c r="AW142" s="20">
        <v>0</v>
      </c>
      <c r="AX142" s="20">
        <v>0</v>
      </c>
      <c r="AY142" s="20">
        <v>0</v>
      </c>
      <c r="BA142" s="34" t="str">
        <f t="shared" ca="1" si="38"/>
        <v>Scotland</v>
      </c>
      <c r="BB142" s="34" t="str">
        <f t="shared" si="39"/>
        <v>Variable inputs</v>
      </c>
      <c r="BC142" s="34" t="str">
        <f t="shared" si="40"/>
        <v>Variant allowances</v>
      </c>
      <c r="BD142" s="34" t="str">
        <f t="shared" si="41"/>
        <v>Variant allowances (including Real Price Effects)</v>
      </c>
    </row>
    <row r="143" spans="5:56" x14ac:dyDescent="0.35">
      <c r="E143" s="33" t="s">
        <v>949</v>
      </c>
      <c r="G143" s="33" t="str">
        <f t="shared" si="37"/>
        <v>£m 23/24 prices</v>
      </c>
      <c r="AU143" s="137">
        <v>0</v>
      </c>
      <c r="AV143" s="20">
        <v>0</v>
      </c>
      <c r="AW143" s="20">
        <v>0</v>
      </c>
      <c r="AX143" s="20">
        <v>0</v>
      </c>
      <c r="AY143" s="20">
        <v>0</v>
      </c>
      <c r="BA143" s="34" t="str">
        <f t="shared" ca="1" si="38"/>
        <v>Scotland</v>
      </c>
      <c r="BB143" s="34" t="str">
        <f t="shared" si="39"/>
        <v>Variable inputs</v>
      </c>
      <c r="BC143" s="34" t="str">
        <f t="shared" si="40"/>
        <v>Variant allowances</v>
      </c>
      <c r="BD143" s="34" t="str">
        <f t="shared" si="41"/>
        <v>Variant allowances (including Real Price Effects)</v>
      </c>
    </row>
    <row r="144" spans="5:56" x14ac:dyDescent="0.35">
      <c r="E144" s="33" t="s">
        <v>711</v>
      </c>
      <c r="G144" s="33" t="str">
        <f t="shared" si="37"/>
        <v>£m 23/24 prices</v>
      </c>
      <c r="AU144" s="137">
        <v>0</v>
      </c>
      <c r="AV144" s="20">
        <v>0</v>
      </c>
      <c r="AW144" s="20">
        <v>0</v>
      </c>
      <c r="AX144" s="20">
        <v>0</v>
      </c>
      <c r="AY144" s="20">
        <v>0</v>
      </c>
      <c r="BA144" s="34" t="str">
        <f t="shared" ca="1" si="38"/>
        <v>Scotland</v>
      </c>
      <c r="BB144" s="34" t="str">
        <f t="shared" si="39"/>
        <v>Variable inputs</v>
      </c>
      <c r="BC144" s="34" t="str">
        <f t="shared" si="40"/>
        <v>Variant allowances</v>
      </c>
      <c r="BD144" s="34" t="str">
        <f t="shared" si="41"/>
        <v>Variant allowances (including Real Price Effects)</v>
      </c>
    </row>
    <row r="145" spans="1:56" x14ac:dyDescent="0.35">
      <c r="E145" s="33" t="s">
        <v>712</v>
      </c>
      <c r="G145" s="33" t="str">
        <f t="shared" si="37"/>
        <v>£m 23/24 prices</v>
      </c>
      <c r="AU145" s="137">
        <v>0</v>
      </c>
      <c r="AV145" s="20">
        <v>0</v>
      </c>
      <c r="AW145" s="20">
        <v>0</v>
      </c>
      <c r="AX145" s="20">
        <v>0</v>
      </c>
      <c r="AY145" s="20">
        <v>0</v>
      </c>
      <c r="BA145" s="34" t="str">
        <f t="shared" ca="1" si="38"/>
        <v>Scotland</v>
      </c>
      <c r="BB145" s="34" t="str">
        <f t="shared" si="39"/>
        <v>Variable inputs</v>
      </c>
      <c r="BC145" s="34" t="str">
        <f t="shared" si="40"/>
        <v>Variant allowances</v>
      </c>
      <c r="BD145" s="34" t="str">
        <f t="shared" si="41"/>
        <v>Variant allowances (including Real Price Effects)</v>
      </c>
    </row>
    <row r="146" spans="1:56" x14ac:dyDescent="0.35">
      <c r="E146" s="33" t="s">
        <v>713</v>
      </c>
      <c r="G146" s="33" t="str">
        <f t="shared" si="37"/>
        <v>£m 23/24 prices</v>
      </c>
      <c r="AU146" s="137">
        <v>0</v>
      </c>
      <c r="AV146" s="20">
        <v>0</v>
      </c>
      <c r="AW146" s="20">
        <v>0</v>
      </c>
      <c r="AX146" s="20">
        <v>0</v>
      </c>
      <c r="AY146" s="20">
        <v>0</v>
      </c>
      <c r="BA146" s="34" t="str">
        <f t="shared" ca="1" si="38"/>
        <v>Scotland</v>
      </c>
      <c r="BB146" s="34" t="str">
        <f t="shared" si="39"/>
        <v>Variable inputs</v>
      </c>
      <c r="BC146" s="34" t="str">
        <f t="shared" si="40"/>
        <v>Variant allowances</v>
      </c>
      <c r="BD146" s="34" t="str">
        <f t="shared" si="41"/>
        <v>Variant allowances (including Real Price Effects)</v>
      </c>
    </row>
    <row r="147" spans="1:56" x14ac:dyDescent="0.35">
      <c r="E147" s="33" t="s">
        <v>714</v>
      </c>
      <c r="G147" s="33" t="str">
        <f t="shared" si="37"/>
        <v>£m 23/24 prices</v>
      </c>
      <c r="AU147" s="137">
        <v>0</v>
      </c>
      <c r="AV147" s="20">
        <v>0</v>
      </c>
      <c r="AW147" s="20">
        <v>0</v>
      </c>
      <c r="AX147" s="20">
        <v>0</v>
      </c>
      <c r="AY147" s="20">
        <v>0</v>
      </c>
      <c r="BA147" s="34" t="str">
        <f t="shared" ca="1" si="38"/>
        <v>Scotland</v>
      </c>
      <c r="BB147" s="34" t="str">
        <f t="shared" si="39"/>
        <v>Variable inputs</v>
      </c>
      <c r="BC147" s="34" t="str">
        <f t="shared" si="40"/>
        <v>Variant allowances</v>
      </c>
      <c r="BD147" s="34" t="str">
        <f t="shared" si="41"/>
        <v>Variant allowances (including Real Price Effects)</v>
      </c>
    </row>
    <row r="148" spans="1:56" x14ac:dyDescent="0.35">
      <c r="E148" s="33" t="s">
        <v>715</v>
      </c>
      <c r="G148" s="33" t="str">
        <f t="shared" si="37"/>
        <v>£m 23/24 prices</v>
      </c>
      <c r="AU148" s="137">
        <v>0</v>
      </c>
      <c r="AV148" s="20">
        <v>0</v>
      </c>
      <c r="AW148" s="20">
        <v>0</v>
      </c>
      <c r="AX148" s="20">
        <v>0</v>
      </c>
      <c r="AY148" s="20">
        <v>0</v>
      </c>
      <c r="BA148" s="34" t="str">
        <f t="shared" ca="1" si="38"/>
        <v>Scotland</v>
      </c>
      <c r="BB148" s="34" t="str">
        <f t="shared" si="39"/>
        <v>Variable inputs</v>
      </c>
      <c r="BC148" s="34" t="str">
        <f t="shared" si="40"/>
        <v>Variant allowances</v>
      </c>
      <c r="BD148" s="34" t="str">
        <f t="shared" si="41"/>
        <v>Variant allowances (including Real Price Effects)</v>
      </c>
    </row>
    <row r="149" spans="1:56" customFormat="1" ht="14.5" x14ac:dyDescent="0.35">
      <c r="AT149" s="60"/>
      <c r="BA149" s="34"/>
    </row>
    <row r="150" spans="1:56" ht="20" thickBot="1" x14ac:dyDescent="0.4">
      <c r="A150" s="7" t="s">
        <v>173</v>
      </c>
    </row>
    <row r="151" spans="1:56" customFormat="1" ht="18" thickTop="1" thickBot="1" x14ac:dyDescent="0.4">
      <c r="B151" s="8" t="s">
        <v>121</v>
      </c>
      <c r="AT151" s="61"/>
    </row>
    <row r="152" spans="1:56" ht="17" thickTop="1" thickBot="1" x14ac:dyDescent="0.4">
      <c r="C152" s="9" t="s">
        <v>163</v>
      </c>
      <c r="AU152" s="33" t="s">
        <v>563</v>
      </c>
      <c r="AV152" s="33" t="s">
        <v>564</v>
      </c>
      <c r="AW152" s="33" t="s">
        <v>565</v>
      </c>
    </row>
    <row r="153" spans="1:56" x14ac:dyDescent="0.35">
      <c r="E153" s="33" t="str">
        <f t="shared" ref="E153:E177" si="42">E99</f>
        <v>PCD_Baseline Network Risk Output</v>
      </c>
      <c r="F153" s="33" t="str">
        <f t="shared" ref="F153:F156" si="43">F99</f>
        <v>SpC 3.1</v>
      </c>
      <c r="G153" s="33" t="s">
        <v>236</v>
      </c>
      <c r="H153" s="33" t="str">
        <f t="shared" ref="H153:H202" si="44">H99</f>
        <v>NARMt</v>
      </c>
      <c r="AU153" s="139" t="b">
        <v>1</v>
      </c>
      <c r="AV153" s="22" t="b">
        <v>1</v>
      </c>
      <c r="AW153" s="24">
        <v>1</v>
      </c>
      <c r="AX153"/>
      <c r="BA153" s="34" t="str">
        <f t="shared" ref="BA153:BA202" ca="1" si="45">$A$1</f>
        <v>Scotland</v>
      </c>
      <c r="BB153" s="34" t="str">
        <f t="shared" ref="BB153:BB202" si="46">$A$150</f>
        <v>Fixed Inputs</v>
      </c>
      <c r="BC153" s="34" t="str">
        <f t="shared" ref="BC153:BC177" si="47">$B$151</f>
        <v>Variant allowances</v>
      </c>
      <c r="BD153" s="34" t="str">
        <f t="shared" ref="BD153:BD202" si="48">$C$152</f>
        <v>Variant attributes</v>
      </c>
    </row>
    <row r="154" spans="1:56" x14ac:dyDescent="0.35">
      <c r="E154" s="33" t="str">
        <f t="shared" si="42"/>
        <v>PCD_Cyber PCDs</v>
      </c>
      <c r="F154" s="33" t="str">
        <f t="shared" si="43"/>
        <v>SpC 3.2</v>
      </c>
      <c r="G154" s="33" t="s">
        <v>236</v>
      </c>
      <c r="H154" s="33" t="str">
        <f t="shared" si="44"/>
        <v>CYt</v>
      </c>
      <c r="AU154" s="139" t="b">
        <v>1</v>
      </c>
      <c r="AV154" s="22" t="b">
        <v>1</v>
      </c>
      <c r="AW154" s="24">
        <v>1</v>
      </c>
      <c r="AX154"/>
      <c r="BA154" s="34" t="str">
        <f t="shared" ca="1" si="45"/>
        <v>Scotland</v>
      </c>
      <c r="BB154" s="34" t="str">
        <f t="shared" si="46"/>
        <v>Fixed Inputs</v>
      </c>
      <c r="BC154" s="34" t="str">
        <f t="shared" si="47"/>
        <v>Variant allowances</v>
      </c>
      <c r="BD154" s="34" t="str">
        <f t="shared" si="48"/>
        <v>Variant attributes</v>
      </c>
    </row>
    <row r="155" spans="1:56" x14ac:dyDescent="0.35">
      <c r="E155" s="33" t="str">
        <f t="shared" si="42"/>
        <v>PCD_Flow Weighted Average Calorific Value Compliance (Cadent_all) / FWACV Compliance (Cadent_all)</v>
      </c>
      <c r="F155" s="33" t="str">
        <f t="shared" si="43"/>
        <v>SpC 3.23</v>
      </c>
      <c r="G155" s="33" t="s">
        <v>236</v>
      </c>
      <c r="H155" s="33" t="str">
        <f t="shared" si="44"/>
        <v>FLOt</v>
      </c>
      <c r="AU155" s="139" t="b">
        <v>1</v>
      </c>
      <c r="AV155" s="22" t="b">
        <v>1</v>
      </c>
      <c r="AW155" s="24">
        <v>1</v>
      </c>
      <c r="AX155"/>
      <c r="BA155" s="34" t="str">
        <f t="shared" ca="1" si="45"/>
        <v>Scotland</v>
      </c>
      <c r="BB155" s="34" t="str">
        <f t="shared" si="46"/>
        <v>Fixed Inputs</v>
      </c>
      <c r="BC155" s="34" t="str">
        <f t="shared" si="47"/>
        <v>Variant allowances</v>
      </c>
      <c r="BD155" s="34" t="str">
        <f t="shared" si="48"/>
        <v>Variant attributes</v>
      </c>
    </row>
    <row r="156" spans="1:56" x14ac:dyDescent="0.35">
      <c r="E156" s="33" t="str">
        <f t="shared" si="42"/>
        <v>PCD_Grays medium pressure (Cadent_Lon)</v>
      </c>
      <c r="F156" s="33" t="str">
        <f t="shared" si="43"/>
        <v>SpC 3.24</v>
      </c>
      <c r="G156" s="33" t="s">
        <v>236</v>
      </c>
      <c r="H156" s="33" t="str">
        <f t="shared" si="44"/>
        <v>GMPt</v>
      </c>
      <c r="AU156" s="139" t="b">
        <v>1</v>
      </c>
      <c r="AV156" s="22" t="b">
        <v>1</v>
      </c>
      <c r="AW156" s="24">
        <v>1</v>
      </c>
      <c r="AX156"/>
      <c r="BA156" s="34" t="str">
        <f t="shared" ca="1" si="45"/>
        <v>Scotland</v>
      </c>
      <c r="BB156" s="34" t="str">
        <f t="shared" si="46"/>
        <v>Fixed Inputs</v>
      </c>
      <c r="BC156" s="34" t="str">
        <f t="shared" si="47"/>
        <v>Variant allowances</v>
      </c>
      <c r="BD156" s="34" t="str">
        <f t="shared" si="48"/>
        <v>Variant attributes</v>
      </c>
    </row>
    <row r="157" spans="1:56" x14ac:dyDescent="0.35">
      <c r="E157" s="33" t="str">
        <f t="shared" si="42"/>
        <v>PCD_Welling PRS - Full Site Rebuild  (SGN_So) / Full site and system rebuilds PCD (SGN)</v>
      </c>
      <c r="F157" s="33" t="str">
        <f t="shared" ref="F157:F172" si="49">F103</f>
        <v>SpC 3.28</v>
      </c>
      <c r="G157" s="33" t="s">
        <v>236</v>
      </c>
      <c r="H157" s="33" t="str">
        <f t="shared" si="44"/>
        <v>FSRt</v>
      </c>
      <c r="AU157" s="139" t="b">
        <v>1</v>
      </c>
      <c r="AV157" s="22" t="b">
        <v>1</v>
      </c>
      <c r="AW157" s="24">
        <v>1</v>
      </c>
      <c r="AX157"/>
      <c r="BA157" s="34" t="str">
        <f t="shared" ca="1" si="45"/>
        <v>Scotland</v>
      </c>
      <c r="BB157" s="34" t="str">
        <f t="shared" si="46"/>
        <v>Fixed Inputs</v>
      </c>
      <c r="BC157" s="34" t="str">
        <f t="shared" si="47"/>
        <v>Variant allowances</v>
      </c>
      <c r="BD157" s="34" t="str">
        <f t="shared" si="48"/>
        <v>Variant attributes</v>
      </c>
    </row>
    <row r="158" spans="1:56" x14ac:dyDescent="0.35">
      <c r="E158" s="33" t="str">
        <f t="shared" si="42"/>
        <v>PCD_London Medium Pressure PCD (Cadent_Lon)</v>
      </c>
      <c r="F158" s="33" t="str">
        <f t="shared" si="49"/>
        <v>SpC 3.29</v>
      </c>
      <c r="G158" s="33" t="s">
        <v>236</v>
      </c>
      <c r="H158" s="33" t="str">
        <f t="shared" si="44"/>
        <v>LMPt</v>
      </c>
      <c r="AU158" s="139" t="b">
        <v>1</v>
      </c>
      <c r="AV158" s="22" t="b">
        <v>1</v>
      </c>
      <c r="AW158" s="24">
        <v>1</v>
      </c>
      <c r="AX158"/>
      <c r="BA158" s="34" t="str">
        <f t="shared" ca="1" si="45"/>
        <v>Scotland</v>
      </c>
      <c r="BB158" s="34" t="str">
        <f t="shared" si="46"/>
        <v>Fixed Inputs</v>
      </c>
      <c r="BC158" s="34" t="str">
        <f t="shared" si="47"/>
        <v>Variant allowances</v>
      </c>
      <c r="BD158" s="34" t="str">
        <f t="shared" si="48"/>
        <v>Variant attributes</v>
      </c>
    </row>
    <row r="159" spans="1:56" x14ac:dyDescent="0.35">
      <c r="E159" s="33" t="str">
        <f t="shared" si="42"/>
        <v>PCD_Tier 1 Mains Decommissioned PCD</v>
      </c>
      <c r="F159" s="33" t="str">
        <f t="shared" si="49"/>
        <v>SpC 3.10</v>
      </c>
      <c r="G159" s="33" t="s">
        <v>236</v>
      </c>
      <c r="H159" s="33" t="str">
        <f t="shared" si="44"/>
        <v>T1MDt</v>
      </c>
      <c r="AU159" s="139" t="b">
        <v>1</v>
      </c>
      <c r="AV159" s="22" t="b">
        <v>1</v>
      </c>
      <c r="AW159" s="24">
        <v>1</v>
      </c>
      <c r="AX159"/>
      <c r="BA159" s="34" t="str">
        <f t="shared" ca="1" si="45"/>
        <v>Scotland</v>
      </c>
      <c r="BB159" s="34" t="str">
        <f t="shared" si="46"/>
        <v>Fixed Inputs</v>
      </c>
      <c r="BC159" s="34" t="str">
        <f t="shared" si="47"/>
        <v>Variant allowances</v>
      </c>
      <c r="BD159" s="34" t="str">
        <f t="shared" si="48"/>
        <v>Variant attributes</v>
      </c>
    </row>
    <row r="160" spans="1:56" x14ac:dyDescent="0.35">
      <c r="E160" s="33" t="str">
        <f t="shared" si="42"/>
        <v>PCD_Tier 1 Services PCD / Tier 1 Services Repex PCD</v>
      </c>
      <c r="F160" s="33" t="str">
        <f t="shared" si="49"/>
        <v>SpC 3.11</v>
      </c>
      <c r="G160" s="33" t="s">
        <v>236</v>
      </c>
      <c r="H160" s="33" t="str">
        <f t="shared" si="44"/>
        <v>T1SRt</v>
      </c>
      <c r="AU160" s="139" t="b">
        <v>1</v>
      </c>
      <c r="AV160" s="22" t="b">
        <v>1</v>
      </c>
      <c r="AW160" s="24">
        <v>1</v>
      </c>
      <c r="AX160"/>
      <c r="BA160" s="34" t="str">
        <f t="shared" ca="1" si="45"/>
        <v>Scotland</v>
      </c>
      <c r="BB160" s="34" t="str">
        <f t="shared" si="46"/>
        <v>Fixed Inputs</v>
      </c>
      <c r="BC160" s="34" t="str">
        <f t="shared" si="47"/>
        <v>Variant allowances</v>
      </c>
      <c r="BD160" s="34" t="str">
        <f t="shared" si="48"/>
        <v>Variant attributes</v>
      </c>
    </row>
    <row r="161" spans="5:56" x14ac:dyDescent="0.35">
      <c r="E161" s="33" t="str">
        <f t="shared" si="42"/>
        <v>PCD_Tinsley viaduct diversion (Cadent_EoE)</v>
      </c>
      <c r="F161" s="33" t="str">
        <f t="shared" si="49"/>
        <v>SpC 3.25</v>
      </c>
      <c r="G161" s="33" t="s">
        <v>236</v>
      </c>
      <c r="H161" s="33" t="str">
        <f t="shared" si="44"/>
        <v>TVDt</v>
      </c>
      <c r="AU161" s="139" t="b">
        <v>1</v>
      </c>
      <c r="AV161" s="22" t="b">
        <v>1</v>
      </c>
      <c r="AW161" s="24">
        <v>1</v>
      </c>
      <c r="AX161"/>
      <c r="BA161" s="34" t="str">
        <f t="shared" ca="1" si="45"/>
        <v>Scotland</v>
      </c>
      <c r="BB161" s="34" t="str">
        <f t="shared" si="46"/>
        <v>Fixed Inputs</v>
      </c>
      <c r="BC161" s="34" t="str">
        <f t="shared" si="47"/>
        <v>Variant allowances</v>
      </c>
      <c r="BD161" s="34" t="str">
        <f t="shared" si="48"/>
        <v>Variant attributes</v>
      </c>
    </row>
    <row r="162" spans="5:56" x14ac:dyDescent="0.35">
      <c r="E162" s="33" t="str">
        <f t="shared" si="42"/>
        <v>PCD_Iron Stubs / Tier 1 Stubs decommissioning PCD</v>
      </c>
      <c r="F162" s="33" t="str">
        <f t="shared" si="49"/>
        <v>SpC 3.19</v>
      </c>
      <c r="G162" s="33" t="s">
        <v>236</v>
      </c>
      <c r="H162" s="33" t="str">
        <f t="shared" si="44"/>
        <v>STBDt</v>
      </c>
      <c r="AU162" s="139" t="b">
        <v>1</v>
      </c>
      <c r="AV162" s="22" t="b">
        <v>1</v>
      </c>
      <c r="AW162" s="24">
        <v>1</v>
      </c>
      <c r="AX162"/>
      <c r="BA162" s="34" t="str">
        <f t="shared" ca="1" si="45"/>
        <v>Scotland</v>
      </c>
      <c r="BB162" s="34" t="str">
        <f t="shared" si="46"/>
        <v>Fixed Inputs</v>
      </c>
      <c r="BC162" s="34" t="str">
        <f t="shared" si="47"/>
        <v>Variant allowances</v>
      </c>
      <c r="BD162" s="34" t="str">
        <f t="shared" si="48"/>
        <v>Variant attributes</v>
      </c>
    </row>
    <row r="163" spans="5:56" x14ac:dyDescent="0.35">
      <c r="E163" s="33" t="str">
        <f t="shared" si="42"/>
        <v>PCD_Full Site and System Rebuilds (SGN_all)</v>
      </c>
      <c r="F163" s="33" t="str">
        <f t="shared" si="49"/>
        <v>SpC 3.28</v>
      </c>
      <c r="G163" s="33" t="s">
        <v>236</v>
      </c>
      <c r="H163" s="33" t="str">
        <f t="shared" si="44"/>
        <v>FSRt</v>
      </c>
      <c r="AU163" s="139" t="b">
        <v>1</v>
      </c>
      <c r="AV163" s="22" t="b">
        <v>1</v>
      </c>
      <c r="AW163" s="24">
        <v>1</v>
      </c>
      <c r="AX163"/>
      <c r="BA163" s="34" t="str">
        <f t="shared" ca="1" si="45"/>
        <v>Scotland</v>
      </c>
      <c r="BB163" s="34" t="str">
        <f t="shared" si="46"/>
        <v>Fixed Inputs</v>
      </c>
      <c r="BC163" s="34" t="str">
        <f t="shared" si="47"/>
        <v>Variant allowances</v>
      </c>
      <c r="BD163" s="34" t="str">
        <f t="shared" si="48"/>
        <v>Variant attributes</v>
      </c>
    </row>
    <row r="164" spans="5:56" x14ac:dyDescent="0.35">
      <c r="E164" s="33" t="str">
        <f t="shared" si="42"/>
        <v>PCD_Glenmavis (Offtake) (SGN_Sc) / Full site and system rebuilds PCD (SGN)</v>
      </c>
      <c r="F164" s="33" t="str">
        <f t="shared" si="49"/>
        <v>SpC 3.28</v>
      </c>
      <c r="G164" s="33" t="s">
        <v>236</v>
      </c>
      <c r="H164" s="33" t="str">
        <f t="shared" si="44"/>
        <v>FSRt</v>
      </c>
      <c r="AU164" s="139" t="b">
        <v>1</v>
      </c>
      <c r="AV164" s="22" t="b">
        <v>1</v>
      </c>
      <c r="AW164" s="24">
        <v>1</v>
      </c>
      <c r="AX164"/>
      <c r="BA164" s="34" t="str">
        <f t="shared" ca="1" si="45"/>
        <v>Scotland</v>
      </c>
      <c r="BB164" s="34" t="str">
        <f t="shared" si="46"/>
        <v>Fixed Inputs</v>
      </c>
      <c r="BC164" s="34" t="str">
        <f t="shared" si="47"/>
        <v>Variant allowances</v>
      </c>
      <c r="BD164" s="34" t="str">
        <f t="shared" si="48"/>
        <v>Variant attributes</v>
      </c>
    </row>
    <row r="165" spans="5:56" x14ac:dyDescent="0.35">
      <c r="E165" s="33" t="str">
        <f t="shared" si="42"/>
        <v>PCD_Isle of Grain (SGN_So) / Full site and system rebuilds PCD (SGN)</v>
      </c>
      <c r="F165" s="33" t="str">
        <f t="shared" si="49"/>
        <v>SpC 3.28</v>
      </c>
      <c r="G165" s="33" t="s">
        <v>236</v>
      </c>
      <c r="H165" s="33" t="str">
        <f t="shared" si="44"/>
        <v>FSRt</v>
      </c>
      <c r="AU165" s="139" t="b">
        <v>1</v>
      </c>
      <c r="AV165" s="22" t="b">
        <v>1</v>
      </c>
      <c r="AW165" s="24">
        <v>1</v>
      </c>
      <c r="AX165"/>
      <c r="BA165" s="34" t="str">
        <f t="shared" ca="1" si="45"/>
        <v>Scotland</v>
      </c>
      <c r="BB165" s="34" t="str">
        <f t="shared" si="46"/>
        <v>Fixed Inputs</v>
      </c>
      <c r="BC165" s="34" t="str">
        <f t="shared" si="47"/>
        <v>Variant allowances</v>
      </c>
      <c r="BD165" s="34" t="str">
        <f t="shared" si="48"/>
        <v>Variant attributes</v>
      </c>
    </row>
    <row r="166" spans="5:56" x14ac:dyDescent="0.35">
      <c r="E166" s="33" t="str">
        <f t="shared" si="42"/>
        <v>PCD_EVs  / Operational Transport Emissions Reduction PCD</v>
      </c>
      <c r="F166" s="33" t="str">
        <f t="shared" si="49"/>
        <v>SpC 3.9</v>
      </c>
      <c r="G166" s="33" t="s">
        <v>236</v>
      </c>
      <c r="H166" s="33" t="str">
        <f t="shared" si="44"/>
        <v>OTCt</v>
      </c>
      <c r="AU166" s="139" t="b">
        <v>1</v>
      </c>
      <c r="AV166" s="22" t="b">
        <v>1</v>
      </c>
      <c r="AW166" s="24">
        <v>1</v>
      </c>
      <c r="AX166"/>
      <c r="BA166" s="34" t="str">
        <f t="shared" ca="1" si="45"/>
        <v>Scotland</v>
      </c>
      <c r="BB166" s="34" t="str">
        <f t="shared" si="46"/>
        <v>Fixed Inputs</v>
      </c>
      <c r="BC166" s="34" t="str">
        <f t="shared" si="47"/>
        <v>Variant allowances</v>
      </c>
      <c r="BD166" s="34" t="str">
        <f t="shared" si="48"/>
        <v>Variant attributes</v>
      </c>
    </row>
    <row r="167" spans="5:56" x14ac:dyDescent="0.35">
      <c r="E167" s="33" t="str">
        <f t="shared" si="42"/>
        <v>PCD_South London Mains (SGN_So)</v>
      </c>
      <c r="F167" s="33" t="str">
        <f t="shared" si="49"/>
        <v>SpC 3.27</v>
      </c>
      <c r="G167" s="33" t="s">
        <v>236</v>
      </c>
      <c r="H167" s="33" t="str">
        <f t="shared" si="44"/>
        <v>SLMt</v>
      </c>
      <c r="AU167" s="139" t="b">
        <v>1</v>
      </c>
      <c r="AV167" s="22" t="b">
        <v>1</v>
      </c>
      <c r="AW167" s="24">
        <v>1</v>
      </c>
      <c r="AX167"/>
      <c r="BA167" s="34" t="str">
        <f t="shared" ca="1" si="45"/>
        <v>Scotland</v>
      </c>
      <c r="BB167" s="34" t="str">
        <f t="shared" si="46"/>
        <v>Fixed Inputs</v>
      </c>
      <c r="BC167" s="34" t="str">
        <f t="shared" si="47"/>
        <v>Variant allowances</v>
      </c>
      <c r="BD167" s="34" t="str">
        <f t="shared" si="48"/>
        <v>Variant attributes</v>
      </c>
    </row>
    <row r="168" spans="5:56" x14ac:dyDescent="0.35">
      <c r="E168" s="33" t="str">
        <f t="shared" si="42"/>
        <v>PCD_WWU.7 - HS007 (WWU_WWU) / Pipeline Replacements PCD (WWU)</v>
      </c>
      <c r="F168" s="33" t="str">
        <f t="shared" si="49"/>
        <v>SpC 3.31</v>
      </c>
      <c r="G168" s="33" t="s">
        <v>236</v>
      </c>
      <c r="H168" s="33" t="str">
        <f t="shared" si="44"/>
        <v>PREt</v>
      </c>
      <c r="AU168" s="139" t="b">
        <v>1</v>
      </c>
      <c r="AV168" s="22" t="b">
        <v>1</v>
      </c>
      <c r="AW168" s="24">
        <v>1</v>
      </c>
      <c r="AX168"/>
      <c r="BA168" s="34" t="str">
        <f t="shared" ca="1" si="45"/>
        <v>Scotland</v>
      </c>
      <c r="BB168" s="34" t="str">
        <f t="shared" si="46"/>
        <v>Fixed Inputs</v>
      </c>
      <c r="BC168" s="34" t="str">
        <f t="shared" si="47"/>
        <v>Variant allowances</v>
      </c>
      <c r="BD168" s="34" t="str">
        <f t="shared" si="48"/>
        <v>Variant attributes</v>
      </c>
    </row>
    <row r="169" spans="5:56" x14ac:dyDescent="0.35">
      <c r="E169" s="33" t="str">
        <f t="shared" si="42"/>
        <v>PCD_WWU.9 - HS009 (WWU_WWU) / Pipeline Replacements PCD (WWU)</v>
      </c>
      <c r="F169" s="33" t="str">
        <f t="shared" si="49"/>
        <v>SpC 3.31</v>
      </c>
      <c r="G169" s="33" t="s">
        <v>236</v>
      </c>
      <c r="H169" s="33" t="str">
        <f t="shared" si="44"/>
        <v>PREt</v>
      </c>
      <c r="AU169" s="139" t="b">
        <v>1</v>
      </c>
      <c r="AV169" s="22" t="b">
        <v>1</v>
      </c>
      <c r="AW169" s="24">
        <v>1</v>
      </c>
      <c r="AX169"/>
      <c r="BA169" s="34" t="str">
        <f t="shared" ca="1" si="45"/>
        <v>Scotland</v>
      </c>
      <c r="BB169" s="34" t="str">
        <f t="shared" si="46"/>
        <v>Fixed Inputs</v>
      </c>
      <c r="BC169" s="34" t="str">
        <f t="shared" si="47"/>
        <v>Variant allowances</v>
      </c>
      <c r="BD169" s="34" t="str">
        <f t="shared" si="48"/>
        <v>Variant attributes</v>
      </c>
    </row>
    <row r="170" spans="5:56" x14ac:dyDescent="0.35">
      <c r="E170" s="33" t="str">
        <f t="shared" si="42"/>
        <v>PCD_WWU.9 - HS010 (WWU_WWU) / Pipeline Replacements PCD (WWU)</v>
      </c>
      <c r="F170" s="33" t="str">
        <f t="shared" si="49"/>
        <v>SpC 3.31</v>
      </c>
      <c r="G170" s="33" t="s">
        <v>236</v>
      </c>
      <c r="H170" s="33" t="str">
        <f t="shared" si="44"/>
        <v>PREt</v>
      </c>
      <c r="AU170" s="139" t="b">
        <v>1</v>
      </c>
      <c r="AV170" s="22" t="b">
        <v>1</v>
      </c>
      <c r="AW170" s="24">
        <v>1</v>
      </c>
      <c r="AX170"/>
      <c r="BA170" s="34" t="str">
        <f t="shared" ca="1" si="45"/>
        <v>Scotland</v>
      </c>
      <c r="BB170" s="34" t="str">
        <f t="shared" si="46"/>
        <v>Fixed Inputs</v>
      </c>
      <c r="BC170" s="34" t="str">
        <f t="shared" si="47"/>
        <v>Variant allowances</v>
      </c>
      <c r="BD170" s="34" t="str">
        <f t="shared" si="48"/>
        <v>Variant attributes</v>
      </c>
    </row>
    <row r="171" spans="5:56" x14ac:dyDescent="0.35">
      <c r="E171" s="33" t="str">
        <f t="shared" si="42"/>
        <v>PCD_Mandated Category 3 Security (Cadent_all)</v>
      </c>
      <c r="F171" s="33" t="str">
        <f t="shared" si="49"/>
        <v>SpC 3.30</v>
      </c>
      <c r="G171" s="33" t="s">
        <v>236</v>
      </c>
      <c r="H171" s="33" t="str">
        <f t="shared" si="44"/>
        <v>MDSt</v>
      </c>
      <c r="AU171" s="139" t="b">
        <v>1</v>
      </c>
      <c r="AV171" s="22" t="b">
        <v>1</v>
      </c>
      <c r="AW171" s="24">
        <v>1</v>
      </c>
      <c r="AX171"/>
      <c r="BA171" s="34" t="str">
        <f t="shared" ca="1" si="45"/>
        <v>Scotland</v>
      </c>
      <c r="BB171" s="34" t="str">
        <f t="shared" si="46"/>
        <v>Fixed Inputs</v>
      </c>
      <c r="BC171" s="34" t="str">
        <f t="shared" si="47"/>
        <v>Variant allowances</v>
      </c>
      <c r="BD171" s="34" t="str">
        <f t="shared" si="48"/>
        <v>Variant attributes</v>
      </c>
    </row>
    <row r="172" spans="5:56" x14ac:dyDescent="0.35">
      <c r="E172" s="33" t="str">
        <f t="shared" si="42"/>
        <v>VD_GSIUR Disconnections Volume Driver</v>
      </c>
      <c r="F172" s="33">
        <f t="shared" si="49"/>
        <v>0</v>
      </c>
      <c r="G172" s="33" t="s">
        <v>236</v>
      </c>
      <c r="H172" s="33" t="str">
        <f t="shared" si="44"/>
        <v>GDVDt</v>
      </c>
      <c r="AU172" s="139" t="b">
        <v>1</v>
      </c>
      <c r="AV172" s="22" t="b">
        <v>0</v>
      </c>
      <c r="AW172" s="24">
        <v>1</v>
      </c>
      <c r="AX172"/>
      <c r="BA172" s="34" t="str">
        <f t="shared" ca="1" si="45"/>
        <v>Scotland</v>
      </c>
      <c r="BB172" s="34" t="str">
        <f t="shared" si="46"/>
        <v>Fixed Inputs</v>
      </c>
      <c r="BC172" s="34" t="str">
        <f t="shared" si="47"/>
        <v>Variant allowances</v>
      </c>
      <c r="BD172" s="34" t="str">
        <f t="shared" si="48"/>
        <v>Variant attributes</v>
      </c>
    </row>
    <row r="173" spans="5:56" x14ac:dyDescent="0.35">
      <c r="E173" s="33" t="str">
        <f t="shared" si="42"/>
        <v>VD_[spare slot]</v>
      </c>
      <c r="F173" s="33">
        <f t="shared" ref="F173:F188" si="50">F119</f>
        <v>0</v>
      </c>
      <c r="G173" s="33" t="s">
        <v>236</v>
      </c>
      <c r="H173" s="33">
        <f t="shared" si="44"/>
        <v>0</v>
      </c>
      <c r="AU173" s="139" t="b">
        <v>1</v>
      </c>
      <c r="AV173" s="22" t="b">
        <v>1</v>
      </c>
      <c r="AW173" s="24">
        <v>1</v>
      </c>
      <c r="AX173"/>
      <c r="BA173" s="34" t="str">
        <f t="shared" ca="1" si="45"/>
        <v>Scotland</v>
      </c>
      <c r="BB173" s="34" t="str">
        <f t="shared" si="46"/>
        <v>Fixed Inputs</v>
      </c>
      <c r="BC173" s="34" t="str">
        <f t="shared" si="47"/>
        <v>Variant allowances</v>
      </c>
      <c r="BD173" s="34" t="str">
        <f t="shared" si="48"/>
        <v>Variant attributes</v>
      </c>
    </row>
    <row r="174" spans="5:56" x14ac:dyDescent="0.35">
      <c r="E174" s="33" t="str">
        <f t="shared" si="42"/>
        <v>VD_Tier 2A Mains and Services Replacement Volume Driver</v>
      </c>
      <c r="F174" s="33" t="str">
        <f t="shared" si="50"/>
        <v>SpC 3.12</v>
      </c>
      <c r="G174" s="33" t="s">
        <v>236</v>
      </c>
      <c r="H174" s="33" t="str">
        <f t="shared" si="44"/>
        <v>REt</v>
      </c>
      <c r="AU174" s="139" t="b">
        <v>0</v>
      </c>
      <c r="AV174" s="22" t="b">
        <v>0</v>
      </c>
      <c r="AW174" s="24">
        <v>1</v>
      </c>
      <c r="AX174"/>
      <c r="BA174" s="34" t="str">
        <f t="shared" ca="1" si="45"/>
        <v>Scotland</v>
      </c>
      <c r="BB174" s="34" t="str">
        <f t="shared" si="46"/>
        <v>Fixed Inputs</v>
      </c>
      <c r="BC174" s="34" t="str">
        <f t="shared" si="47"/>
        <v>Variant allowances</v>
      </c>
      <c r="BD174" s="34" t="str">
        <f t="shared" si="48"/>
        <v>Variant attributes</v>
      </c>
    </row>
    <row r="175" spans="5:56" x14ac:dyDescent="0.35">
      <c r="E175" s="33" t="str">
        <f t="shared" si="42"/>
        <v>UIOLI_Net Zero and Re-opener Development Fund / Decarbonisation Project Development Fund UIOLI</v>
      </c>
      <c r="F175" s="33" t="str">
        <f t="shared" si="50"/>
        <v>SpC 3.5</v>
      </c>
      <c r="G175" s="33" t="s">
        <v>236</v>
      </c>
      <c r="H175" s="33" t="str">
        <f t="shared" si="44"/>
        <v>DPDt</v>
      </c>
      <c r="AU175" s="139" t="b">
        <v>0</v>
      </c>
      <c r="AV175" s="22" t="b">
        <v>0</v>
      </c>
      <c r="AW175" s="24">
        <v>2</v>
      </c>
      <c r="AX175"/>
      <c r="BA175" s="34" t="str">
        <f t="shared" ca="1" si="45"/>
        <v>Scotland</v>
      </c>
      <c r="BB175" s="34" t="str">
        <f t="shared" si="46"/>
        <v>Fixed Inputs</v>
      </c>
      <c r="BC175" s="34" t="str">
        <f t="shared" si="47"/>
        <v>Variant allowances</v>
      </c>
      <c r="BD175" s="34" t="str">
        <f t="shared" si="48"/>
        <v>Variant attributes</v>
      </c>
    </row>
    <row r="176" spans="5:56" x14ac:dyDescent="0.35">
      <c r="E176" s="33" t="str">
        <f t="shared" si="42"/>
        <v>UIOLI_Cyber Resilience_NGN</v>
      </c>
      <c r="F176" s="33" t="str">
        <f t="shared" si="50"/>
        <v>SpC 3.2</v>
      </c>
      <c r="G176" s="33" t="s">
        <v>236</v>
      </c>
      <c r="H176" s="33" t="str">
        <f t="shared" si="44"/>
        <v>CYREt</v>
      </c>
      <c r="AU176" s="139" t="b">
        <v>0</v>
      </c>
      <c r="AV176" s="22" t="b">
        <v>0</v>
      </c>
      <c r="AW176" s="24">
        <v>2</v>
      </c>
      <c r="AX176"/>
      <c r="BA176" s="34" t="str">
        <f t="shared" ca="1" si="45"/>
        <v>Scotland</v>
      </c>
      <c r="BB176" s="34" t="str">
        <f t="shared" si="46"/>
        <v>Fixed Inputs</v>
      </c>
      <c r="BC176" s="34" t="str">
        <f t="shared" si="47"/>
        <v>Variant allowances</v>
      </c>
      <c r="BD176" s="34" t="str">
        <f t="shared" si="48"/>
        <v>Variant attributes</v>
      </c>
    </row>
    <row r="177" spans="5:56" x14ac:dyDescent="0.35">
      <c r="E177" s="33" t="str">
        <f t="shared" si="42"/>
        <v>UIOLI_Cyber Resilience_All except NGN and WWU</v>
      </c>
      <c r="F177" s="33" t="str">
        <f t="shared" si="50"/>
        <v>SpC 3.2</v>
      </c>
      <c r="G177" s="33" t="s">
        <v>236</v>
      </c>
      <c r="H177" s="33" t="str">
        <f t="shared" si="44"/>
        <v>CYREt</v>
      </c>
      <c r="AU177" s="139" t="b">
        <v>0</v>
      </c>
      <c r="AV177" s="22" t="b">
        <v>0</v>
      </c>
      <c r="AW177" s="24">
        <v>2</v>
      </c>
      <c r="AX177"/>
      <c r="BA177" s="34" t="str">
        <f t="shared" ca="1" si="45"/>
        <v>Scotland</v>
      </c>
      <c r="BB177" s="34" t="str">
        <f t="shared" si="46"/>
        <v>Fixed Inputs</v>
      </c>
      <c r="BC177" s="34" t="str">
        <f t="shared" si="47"/>
        <v>Variant allowances</v>
      </c>
      <c r="BD177" s="34" t="str">
        <f t="shared" si="48"/>
        <v>Variant attributes</v>
      </c>
    </row>
    <row r="178" spans="5:56" x14ac:dyDescent="0.35">
      <c r="E178" s="33" t="str">
        <f t="shared" ref="E178:E202" si="51">E124</f>
        <v>UIOLI_Biomethane connections / Biomethane Distributed Entry Reinforcement</v>
      </c>
      <c r="F178" s="33" t="str">
        <f t="shared" si="50"/>
        <v>SpC 3.21</v>
      </c>
      <c r="G178" s="33" t="s">
        <v>236</v>
      </c>
      <c r="H178" s="33" t="str">
        <f t="shared" si="44"/>
        <v>BDERt</v>
      </c>
      <c r="AU178" s="139" t="b">
        <v>0</v>
      </c>
      <c r="AV178" s="22" t="b">
        <v>0</v>
      </c>
      <c r="AW178" s="24">
        <v>2</v>
      </c>
      <c r="AX178"/>
      <c r="BA178" s="34" t="str">
        <f t="shared" ca="1" si="45"/>
        <v>Scotland</v>
      </c>
      <c r="BB178" s="34" t="str">
        <f t="shared" si="46"/>
        <v>Fixed Inputs</v>
      </c>
      <c r="BC178" s="34" t="str">
        <f t="shared" ref="BC178:BC202" si="52">$B$151</f>
        <v>Variant allowances</v>
      </c>
      <c r="BD178" s="34" t="str">
        <f t="shared" si="48"/>
        <v>Variant attributes</v>
      </c>
    </row>
    <row r="179" spans="5:56" x14ac:dyDescent="0.35">
      <c r="E179" s="33" t="str">
        <f t="shared" si="51"/>
        <v>Re-opener_Climate change resilience work</v>
      </c>
      <c r="F179" s="33">
        <f t="shared" si="50"/>
        <v>0</v>
      </c>
      <c r="G179" s="33" t="s">
        <v>236</v>
      </c>
      <c r="H179" s="33">
        <f t="shared" si="44"/>
        <v>0</v>
      </c>
      <c r="AU179" s="139" t="b">
        <v>0</v>
      </c>
      <c r="AV179" s="22" t="b">
        <v>0</v>
      </c>
      <c r="AW179" s="24">
        <v>2</v>
      </c>
      <c r="AX179"/>
      <c r="BA179" s="34" t="str">
        <f t="shared" ca="1" si="45"/>
        <v>Scotland</v>
      </c>
      <c r="BB179" s="34" t="str">
        <f t="shared" si="46"/>
        <v>Fixed Inputs</v>
      </c>
      <c r="BC179" s="34" t="str">
        <f t="shared" si="52"/>
        <v>Variant allowances</v>
      </c>
      <c r="BD179" s="34" t="str">
        <f t="shared" si="48"/>
        <v>Variant attributes</v>
      </c>
    </row>
    <row r="180" spans="5:56" x14ac:dyDescent="0.35">
      <c r="E180" s="33" t="str">
        <f t="shared" si="51"/>
        <v>Re-opener_Coordinated Adjustment Mechanism Re-opener</v>
      </c>
      <c r="F180" s="33" t="str">
        <f t="shared" si="50"/>
        <v>SpC 3.8</v>
      </c>
      <c r="G180" s="33" t="s">
        <v>236</v>
      </c>
      <c r="H180" s="33" t="str">
        <f t="shared" si="44"/>
        <v>CAMt</v>
      </c>
      <c r="AU180" s="139" t="b">
        <v>0</v>
      </c>
      <c r="AV180" s="22" t="b">
        <v>0</v>
      </c>
      <c r="AW180" s="24">
        <v>2</v>
      </c>
      <c r="AX180"/>
      <c r="BA180" s="34" t="str">
        <f t="shared" ca="1" si="45"/>
        <v>Scotland</v>
      </c>
      <c r="BB180" s="34" t="str">
        <f t="shared" si="46"/>
        <v>Fixed Inputs</v>
      </c>
      <c r="BC180" s="34" t="str">
        <f t="shared" si="52"/>
        <v>Variant allowances</v>
      </c>
      <c r="BD180" s="34" t="str">
        <f t="shared" si="48"/>
        <v>Variant attributes</v>
      </c>
    </row>
    <row r="181" spans="5:56" x14ac:dyDescent="0.35">
      <c r="E181" s="33" t="str">
        <f t="shared" si="51"/>
        <v>Re-opener_Cyber re-opener (Cadent_EoE) / Cyber resilience Re-Opener</v>
      </c>
      <c r="F181" s="33" t="str">
        <f t="shared" si="50"/>
        <v>SpC 3.2</v>
      </c>
      <c r="G181" s="33" t="s">
        <v>236</v>
      </c>
      <c r="H181" s="33" t="str">
        <f t="shared" si="44"/>
        <v>CYREt</v>
      </c>
      <c r="AU181" s="139" t="b">
        <v>0</v>
      </c>
      <c r="AV181" s="22" t="b">
        <v>0</v>
      </c>
      <c r="AW181" s="24">
        <v>2</v>
      </c>
      <c r="AX181"/>
      <c r="BA181" s="34" t="str">
        <f t="shared" ca="1" si="45"/>
        <v>Scotland</v>
      </c>
      <c r="BB181" s="34" t="str">
        <f t="shared" si="46"/>
        <v>Fixed Inputs</v>
      </c>
      <c r="BC181" s="34" t="str">
        <f t="shared" si="52"/>
        <v>Variant allowances</v>
      </c>
      <c r="BD181" s="34" t="str">
        <f t="shared" si="48"/>
        <v>Variant attributes</v>
      </c>
    </row>
    <row r="182" spans="5:56" x14ac:dyDescent="0.35">
      <c r="E182" s="33" t="str">
        <f t="shared" si="51"/>
        <v>Re-opener_Data and digitalisation</v>
      </c>
      <c r="F182" s="33">
        <f t="shared" si="50"/>
        <v>0</v>
      </c>
      <c r="G182" s="33" t="s">
        <v>236</v>
      </c>
      <c r="H182" s="33">
        <f t="shared" si="44"/>
        <v>0</v>
      </c>
      <c r="AU182" s="139" t="b">
        <v>0</v>
      </c>
      <c r="AV182" s="22" t="b">
        <v>0</v>
      </c>
      <c r="AW182" s="24">
        <v>2</v>
      </c>
      <c r="AX182"/>
      <c r="BA182" s="34" t="str">
        <f t="shared" ca="1" si="45"/>
        <v>Scotland</v>
      </c>
      <c r="BB182" s="34" t="str">
        <f t="shared" si="46"/>
        <v>Fixed Inputs</v>
      </c>
      <c r="BC182" s="34" t="str">
        <f t="shared" si="52"/>
        <v>Variant allowances</v>
      </c>
      <c r="BD182" s="34" t="str">
        <f t="shared" si="48"/>
        <v>Variant attributes</v>
      </c>
    </row>
    <row r="183" spans="5:56" x14ac:dyDescent="0.35">
      <c r="E183" s="33" t="str">
        <f t="shared" si="51"/>
        <v>Re-opener_Digitalisation re-opener</v>
      </c>
      <c r="F183" s="33" t="str">
        <f t="shared" si="50"/>
        <v>SpC 3.7</v>
      </c>
      <c r="G183" s="33" t="s">
        <v>236</v>
      </c>
      <c r="H183" s="33" t="str">
        <f t="shared" si="44"/>
        <v>DIGITt</v>
      </c>
      <c r="AU183" s="139" t="b">
        <v>0</v>
      </c>
      <c r="AV183" s="22" t="b">
        <v>0</v>
      </c>
      <c r="AW183" s="24">
        <v>2</v>
      </c>
      <c r="AX183"/>
      <c r="BA183" s="34" t="str">
        <f t="shared" ca="1" si="45"/>
        <v>Scotland</v>
      </c>
      <c r="BB183" s="34" t="str">
        <f t="shared" si="46"/>
        <v>Fixed Inputs</v>
      </c>
      <c r="BC183" s="34" t="str">
        <f t="shared" si="52"/>
        <v>Variant allowances</v>
      </c>
      <c r="BD183" s="34" t="str">
        <f t="shared" si="48"/>
        <v>Variant attributes</v>
      </c>
    </row>
    <row r="184" spans="5:56" x14ac:dyDescent="0.35">
      <c r="E184" s="33" t="str">
        <f t="shared" si="51"/>
        <v>Re-opener_Diversions and Loss of Development Claims Re-opener</v>
      </c>
      <c r="F184" s="33" t="str">
        <f t="shared" si="50"/>
        <v>SpC 3.15</v>
      </c>
      <c r="G184" s="33" t="s">
        <v>236</v>
      </c>
      <c r="H184" s="33" t="str">
        <f t="shared" si="44"/>
        <v>DIVt</v>
      </c>
      <c r="AU184" s="139" t="b">
        <v>0</v>
      </c>
      <c r="AV184" s="22" t="b">
        <v>0</v>
      </c>
      <c r="AW184" s="24">
        <v>2</v>
      </c>
      <c r="AX184"/>
      <c r="BA184" s="34" t="str">
        <f t="shared" ca="1" si="45"/>
        <v>Scotland</v>
      </c>
      <c r="BB184" s="34" t="str">
        <f t="shared" si="46"/>
        <v>Fixed Inputs</v>
      </c>
      <c r="BC184" s="34" t="str">
        <f t="shared" si="52"/>
        <v>Variant allowances</v>
      </c>
      <c r="BD184" s="34" t="str">
        <f t="shared" si="48"/>
        <v>Variant attributes</v>
      </c>
    </row>
    <row r="185" spans="5:56" x14ac:dyDescent="0.35">
      <c r="E185" s="33" t="str">
        <f t="shared" si="51"/>
        <v>Re-opener_Heat Policy re-opener</v>
      </c>
      <c r="F185" s="33" t="str">
        <f t="shared" si="50"/>
        <v>SpC 3.14</v>
      </c>
      <c r="G185" s="33" t="s">
        <v>236</v>
      </c>
      <c r="H185" s="33" t="str">
        <f t="shared" si="44"/>
        <v>HPRAt</v>
      </c>
      <c r="AU185" s="139" t="b">
        <v>0</v>
      </c>
      <c r="AV185" s="22" t="b">
        <v>0</v>
      </c>
      <c r="AW185" s="24">
        <v>2</v>
      </c>
      <c r="AX185"/>
      <c r="BA185" s="34" t="str">
        <f t="shared" ca="1" si="45"/>
        <v>Scotland</v>
      </c>
      <c r="BB185" s="34" t="str">
        <f t="shared" si="46"/>
        <v>Fixed Inputs</v>
      </c>
      <c r="BC185" s="34" t="str">
        <f t="shared" si="52"/>
        <v>Variant allowances</v>
      </c>
      <c r="BD185" s="34" t="str">
        <f t="shared" si="48"/>
        <v>Variant attributes</v>
      </c>
    </row>
    <row r="186" spans="5:56" x14ac:dyDescent="0.35">
      <c r="E186" s="33" t="str">
        <f t="shared" si="51"/>
        <v>Re-opener_HSE Policy Re-opener</v>
      </c>
      <c r="F186" s="33" t="str">
        <f t="shared" si="50"/>
        <v>SpC 3.13</v>
      </c>
      <c r="G186" s="33" t="s">
        <v>236</v>
      </c>
      <c r="H186" s="33" t="str">
        <f t="shared" si="44"/>
        <v>REPt</v>
      </c>
      <c r="AU186" s="139" t="b">
        <v>0</v>
      </c>
      <c r="AV186" s="22" t="b">
        <v>0</v>
      </c>
      <c r="AW186" s="24">
        <v>2</v>
      </c>
      <c r="AX186"/>
      <c r="BA186" s="34" t="str">
        <f t="shared" ca="1" si="45"/>
        <v>Scotland</v>
      </c>
      <c r="BB186" s="34" t="str">
        <f t="shared" si="46"/>
        <v>Fixed Inputs</v>
      </c>
      <c r="BC186" s="34" t="str">
        <f t="shared" si="52"/>
        <v>Variant allowances</v>
      </c>
      <c r="BD186" s="34" t="str">
        <f t="shared" si="48"/>
        <v>Variant attributes</v>
      </c>
    </row>
    <row r="187" spans="5:56" x14ac:dyDescent="0.35">
      <c r="E187" s="33" t="str">
        <f t="shared" si="51"/>
        <v>Re-opener_London Subways and Tunnels</v>
      </c>
      <c r="F187" s="33" t="str">
        <f t="shared" si="50"/>
        <v>SpC 3.26</v>
      </c>
      <c r="G187" s="33" t="s">
        <v>236</v>
      </c>
      <c r="H187" s="33" t="str">
        <f t="shared" si="44"/>
        <v>LSTt</v>
      </c>
      <c r="AU187" s="139" t="b">
        <v>0</v>
      </c>
      <c r="AV187" s="22" t="b">
        <v>0</v>
      </c>
      <c r="AW187" s="24">
        <v>2</v>
      </c>
      <c r="AX187"/>
      <c r="BA187" s="34" t="str">
        <f t="shared" ca="1" si="45"/>
        <v>Scotland</v>
      </c>
      <c r="BB187" s="34" t="str">
        <f t="shared" si="46"/>
        <v>Fixed Inputs</v>
      </c>
      <c r="BC187" s="34" t="str">
        <f t="shared" si="52"/>
        <v>Variant allowances</v>
      </c>
      <c r="BD187" s="34" t="str">
        <f t="shared" si="48"/>
        <v>Variant attributes</v>
      </c>
    </row>
    <row r="188" spans="5:56" x14ac:dyDescent="0.35">
      <c r="E188" s="33" t="str">
        <f t="shared" si="51"/>
        <v>Re-opener_Net Zero Pre-construction Works and Small Net Zero Projects Re-opener / Small Decarbonisation Projects Re-opener</v>
      </c>
      <c r="F188" s="33" t="str">
        <f t="shared" si="50"/>
        <v>SpC 3.4</v>
      </c>
      <c r="G188" s="33" t="s">
        <v>236</v>
      </c>
      <c r="H188" s="33" t="str">
        <f t="shared" si="44"/>
        <v>SDPt</v>
      </c>
      <c r="AU188" s="139" t="b">
        <v>0</v>
      </c>
      <c r="AV188" s="22" t="b">
        <v>0</v>
      </c>
      <c r="AW188" s="24">
        <v>2</v>
      </c>
      <c r="AX188"/>
      <c r="BA188" s="34" t="str">
        <f t="shared" ca="1" si="45"/>
        <v>Scotland</v>
      </c>
      <c r="BB188" s="34" t="str">
        <f t="shared" si="46"/>
        <v>Fixed Inputs</v>
      </c>
      <c r="BC188" s="34" t="str">
        <f t="shared" si="52"/>
        <v>Variant allowances</v>
      </c>
      <c r="BD188" s="34" t="str">
        <f t="shared" si="48"/>
        <v>Variant attributes</v>
      </c>
    </row>
    <row r="189" spans="5:56" x14ac:dyDescent="0.35">
      <c r="E189" s="33" t="str">
        <f t="shared" si="51"/>
        <v>Re-opener_Net zero re-opener / Decarbonisation and Environmental Policy Re-opener</v>
      </c>
      <c r="F189" s="33" t="str">
        <f t="shared" ref="F189:F202" si="53">F135</f>
        <v>SpC 3.6</v>
      </c>
      <c r="G189" s="33" t="s">
        <v>236</v>
      </c>
      <c r="H189" s="33" t="str">
        <f t="shared" si="44"/>
        <v>DEPt</v>
      </c>
      <c r="AU189" s="139" t="b">
        <v>0</v>
      </c>
      <c r="AV189" s="22" t="b">
        <v>0</v>
      </c>
      <c r="AW189" s="24">
        <v>2</v>
      </c>
      <c r="AX189"/>
      <c r="BA189" s="34" t="str">
        <f t="shared" ca="1" si="45"/>
        <v>Scotland</v>
      </c>
      <c r="BB189" s="34" t="str">
        <f t="shared" si="46"/>
        <v>Fixed Inputs</v>
      </c>
      <c r="BC189" s="34" t="str">
        <f t="shared" si="52"/>
        <v>Variant allowances</v>
      </c>
      <c r="BD189" s="34" t="str">
        <f t="shared" si="48"/>
        <v>Variant attributes</v>
      </c>
    </row>
    <row r="190" spans="5:56" x14ac:dyDescent="0.35">
      <c r="E190" s="33" t="str">
        <f t="shared" si="51"/>
        <v>Re-opener_New Large Load Connections Re-opener</v>
      </c>
      <c r="F190" s="33" t="str">
        <f t="shared" si="53"/>
        <v>SpC 3.16</v>
      </c>
      <c r="G190" s="33" t="s">
        <v>236</v>
      </c>
      <c r="H190" s="33" t="str">
        <f t="shared" si="44"/>
        <v>NLLRt</v>
      </c>
      <c r="AU190" s="139" t="b">
        <v>0</v>
      </c>
      <c r="AV190" s="22" t="b">
        <v>0</v>
      </c>
      <c r="AW190" s="24">
        <v>2</v>
      </c>
      <c r="AX190"/>
      <c r="BA190" s="34" t="str">
        <f t="shared" ca="1" si="45"/>
        <v>Scotland</v>
      </c>
      <c r="BB190" s="34" t="str">
        <f t="shared" si="46"/>
        <v>Fixed Inputs</v>
      </c>
      <c r="BC190" s="34" t="str">
        <f t="shared" si="52"/>
        <v>Variant allowances</v>
      </c>
      <c r="BD190" s="34" t="str">
        <f t="shared" si="48"/>
        <v>Variant attributes</v>
      </c>
    </row>
    <row r="191" spans="5:56" x14ac:dyDescent="0.35">
      <c r="E191" s="33" t="str">
        <f t="shared" si="51"/>
        <v>Re-opener_Resilience re-opener / Resilience Activity Re-opener</v>
      </c>
      <c r="F191" s="33" t="str">
        <f t="shared" si="53"/>
        <v>SpC 3.3</v>
      </c>
      <c r="G191" s="33" t="s">
        <v>236</v>
      </c>
      <c r="H191" s="33" t="str">
        <f t="shared" si="44"/>
        <v>RESREt</v>
      </c>
      <c r="AU191" s="139" t="b">
        <v>0</v>
      </c>
      <c r="AV191" s="22" t="b">
        <v>0</v>
      </c>
      <c r="AW191" s="24">
        <v>2</v>
      </c>
      <c r="AX191"/>
      <c r="BA191" s="34" t="str">
        <f t="shared" ca="1" si="45"/>
        <v>Scotland</v>
      </c>
      <c r="BB191" s="34" t="str">
        <f t="shared" si="46"/>
        <v>Fixed Inputs</v>
      </c>
      <c r="BC191" s="34" t="str">
        <f t="shared" si="52"/>
        <v>Variant allowances</v>
      </c>
      <c r="BD191" s="34" t="str">
        <f t="shared" si="48"/>
        <v>Variant attributes</v>
      </c>
    </row>
    <row r="192" spans="5:56" x14ac:dyDescent="0.35">
      <c r="E192" s="33" t="str">
        <f t="shared" si="51"/>
        <v>Re-opener_Specified Streetworks Costs Re-opener</v>
      </c>
      <c r="F192" s="33" t="str">
        <f t="shared" si="53"/>
        <v>SpC 3.17</v>
      </c>
      <c r="G192" s="33" t="s">
        <v>236</v>
      </c>
      <c r="H192" s="33" t="str">
        <f t="shared" si="44"/>
        <v>STWt</v>
      </c>
      <c r="AU192" s="139" t="b">
        <v>0</v>
      </c>
      <c r="AV192" s="22" t="b">
        <v>0</v>
      </c>
      <c r="AW192" s="24">
        <v>2</v>
      </c>
      <c r="AX192"/>
      <c r="BA192" s="34" t="str">
        <f t="shared" ca="1" si="45"/>
        <v>Scotland</v>
      </c>
      <c r="BB192" s="34" t="str">
        <f t="shared" si="46"/>
        <v>Fixed Inputs</v>
      </c>
      <c r="BC192" s="34" t="str">
        <f t="shared" si="52"/>
        <v>Variant allowances</v>
      </c>
      <c r="BD192" s="34" t="str">
        <f t="shared" si="48"/>
        <v>Variant attributes</v>
      </c>
    </row>
    <row r="193" spans="3:56" x14ac:dyDescent="0.35">
      <c r="E193" s="33" t="str">
        <f t="shared" si="51"/>
        <v>Re-opener_Physical Security Re-opener</v>
      </c>
      <c r="F193" s="33" t="str">
        <f t="shared" si="53"/>
        <v>SpC 3.3</v>
      </c>
      <c r="G193" s="33" t="s">
        <v>236</v>
      </c>
      <c r="H193" s="33" t="str">
        <f t="shared" si="44"/>
        <v>RESREt</v>
      </c>
      <c r="AU193" s="139" t="b">
        <v>0</v>
      </c>
      <c r="AV193" s="22" t="b">
        <v>0</v>
      </c>
      <c r="AW193" s="24">
        <v>2</v>
      </c>
      <c r="AX193"/>
      <c r="BA193" s="34" t="str">
        <f t="shared" ca="1" si="45"/>
        <v>Scotland</v>
      </c>
      <c r="BB193" s="34" t="str">
        <f t="shared" si="46"/>
        <v>Fixed Inputs</v>
      </c>
      <c r="BC193" s="34" t="str">
        <f t="shared" si="52"/>
        <v>Variant allowances</v>
      </c>
      <c r="BD193" s="34" t="str">
        <f t="shared" si="48"/>
        <v>Variant attributes</v>
      </c>
    </row>
    <row r="194" spans="3:56" x14ac:dyDescent="0.35">
      <c r="E194" s="33" t="str">
        <f t="shared" si="51"/>
        <v>Re-opener_East Coast Hydrogen NZASP Re-Opener (EoE and NGN) / GD2/GD3 Crossover Adjustment</v>
      </c>
      <c r="F194" s="33" t="str">
        <f t="shared" si="53"/>
        <v>SpC 3.32</v>
      </c>
      <c r="G194" s="33" t="s">
        <v>236</v>
      </c>
      <c r="H194" s="33" t="str">
        <f t="shared" si="44"/>
        <v xml:space="preserve">GD2ACAt </v>
      </c>
      <c r="AU194" s="139" t="b">
        <v>0</v>
      </c>
      <c r="AV194" s="22" t="b">
        <v>0</v>
      </c>
      <c r="AW194" s="24">
        <v>2</v>
      </c>
      <c r="AX194"/>
      <c r="BA194" s="34" t="str">
        <f t="shared" ca="1" si="45"/>
        <v>Scotland</v>
      </c>
      <c r="BB194" s="34" t="str">
        <f t="shared" si="46"/>
        <v>Fixed Inputs</v>
      </c>
      <c r="BC194" s="34" t="str">
        <f t="shared" si="52"/>
        <v>Variant allowances</v>
      </c>
      <c r="BD194" s="34" t="str">
        <f t="shared" si="48"/>
        <v>Variant attributes</v>
      </c>
    </row>
    <row r="195" spans="3:56" x14ac:dyDescent="0.35">
      <c r="E195" s="33" t="str">
        <f t="shared" si="51"/>
        <v>Re-opener_Complex Distributions Systems Re-opener</v>
      </c>
      <c r="F195" s="33" t="str">
        <f t="shared" si="53"/>
        <v>SpC 3.22</v>
      </c>
      <c r="G195" s="33" t="s">
        <v>236</v>
      </c>
      <c r="H195" s="33" t="str">
        <f t="shared" si="44"/>
        <v>CDSt</v>
      </c>
      <c r="AU195" s="139" t="b">
        <v>0</v>
      </c>
      <c r="AV195" s="22" t="b">
        <v>0</v>
      </c>
      <c r="AW195" s="24">
        <v>2</v>
      </c>
      <c r="AX195"/>
      <c r="BA195" s="34" t="str">
        <f t="shared" ca="1" si="45"/>
        <v>Scotland</v>
      </c>
      <c r="BB195" s="34" t="str">
        <f t="shared" si="46"/>
        <v>Fixed Inputs</v>
      </c>
      <c r="BC195" s="34" t="str">
        <f t="shared" si="52"/>
        <v>Variant allowances</v>
      </c>
      <c r="BD195" s="34" t="str">
        <f t="shared" si="48"/>
        <v>Variant attributes</v>
      </c>
    </row>
    <row r="196" spans="3:56" x14ac:dyDescent="0.35">
      <c r="E196" s="33" t="str">
        <f t="shared" si="51"/>
        <v>Re-opener_Mandated Category 3 Security Re-opener</v>
      </c>
      <c r="F196" s="33">
        <f t="shared" si="53"/>
        <v>0</v>
      </c>
      <c r="G196" s="33" t="s">
        <v>236</v>
      </c>
      <c r="H196" s="33">
        <f t="shared" si="44"/>
        <v>0</v>
      </c>
      <c r="AU196" s="139" t="b">
        <v>0</v>
      </c>
      <c r="AV196" s="22" t="b">
        <v>0</v>
      </c>
      <c r="AW196" s="24">
        <v>2</v>
      </c>
      <c r="AX196"/>
      <c r="BA196" s="34" t="str">
        <f t="shared" ca="1" si="45"/>
        <v>Scotland</v>
      </c>
      <c r="BB196" s="34" t="str">
        <f t="shared" si="46"/>
        <v>Fixed Inputs</v>
      </c>
      <c r="BC196" s="34" t="str">
        <f t="shared" si="52"/>
        <v>Variant allowances</v>
      </c>
      <c r="BD196" s="34" t="str">
        <f t="shared" si="48"/>
        <v>Variant attributes</v>
      </c>
    </row>
    <row r="197" spans="3:56" x14ac:dyDescent="0.35">
      <c r="E197" s="33" t="str">
        <f t="shared" si="51"/>
        <v>Re-opener_General Reinforcement</v>
      </c>
      <c r="F197" s="33">
        <f t="shared" si="53"/>
        <v>0</v>
      </c>
      <c r="G197" s="33" t="s">
        <v>236</v>
      </c>
      <c r="H197" s="33">
        <f t="shared" si="44"/>
        <v>0</v>
      </c>
      <c r="AU197" s="139" t="b">
        <v>0</v>
      </c>
      <c r="AV197" s="22" t="b">
        <v>0</v>
      </c>
      <c r="AW197" s="24">
        <v>2</v>
      </c>
      <c r="AX197"/>
      <c r="BA197" s="34" t="str">
        <f t="shared" ca="1" si="45"/>
        <v>Scotland</v>
      </c>
      <c r="BB197" s="34" t="str">
        <f t="shared" si="46"/>
        <v>Fixed Inputs</v>
      </c>
      <c r="BC197" s="34" t="str">
        <f t="shared" si="52"/>
        <v>Variant allowances</v>
      </c>
      <c r="BD197" s="34" t="str">
        <f t="shared" si="48"/>
        <v>Variant attributes</v>
      </c>
    </row>
    <row r="198" spans="3:56" x14ac:dyDescent="0.35">
      <c r="E198" s="33" t="str">
        <f t="shared" si="51"/>
        <v>Spare 2</v>
      </c>
      <c r="F198" s="33">
        <f t="shared" si="53"/>
        <v>0</v>
      </c>
      <c r="G198" s="33" t="s">
        <v>236</v>
      </c>
      <c r="H198" s="33">
        <f t="shared" si="44"/>
        <v>0</v>
      </c>
      <c r="AU198" s="139" t="b">
        <v>0</v>
      </c>
      <c r="AV198" s="22" t="b">
        <v>0</v>
      </c>
      <c r="AW198" s="24">
        <v>2</v>
      </c>
      <c r="AX198"/>
      <c r="BA198" s="34" t="str">
        <f t="shared" ca="1" si="45"/>
        <v>Scotland</v>
      </c>
      <c r="BB198" s="34" t="str">
        <f t="shared" si="46"/>
        <v>Fixed Inputs</v>
      </c>
      <c r="BC198" s="34" t="str">
        <f t="shared" si="52"/>
        <v>Variant allowances</v>
      </c>
      <c r="BD198" s="34" t="str">
        <f t="shared" si="48"/>
        <v>Variant attributes</v>
      </c>
    </row>
    <row r="199" spans="3:56" x14ac:dyDescent="0.35">
      <c r="E199" s="33" t="str">
        <f t="shared" si="51"/>
        <v>Spare 3</v>
      </c>
      <c r="F199" s="33">
        <f t="shared" si="53"/>
        <v>0</v>
      </c>
      <c r="G199" s="33" t="s">
        <v>236</v>
      </c>
      <c r="H199" s="33">
        <f t="shared" si="44"/>
        <v>0</v>
      </c>
      <c r="AU199" s="139" t="b">
        <v>0</v>
      </c>
      <c r="AV199" s="22" t="b">
        <v>0</v>
      </c>
      <c r="AW199" s="24">
        <v>2</v>
      </c>
      <c r="AX199"/>
      <c r="BA199" s="34" t="str">
        <f t="shared" ca="1" si="45"/>
        <v>Scotland</v>
      </c>
      <c r="BB199" s="34" t="str">
        <f t="shared" si="46"/>
        <v>Fixed Inputs</v>
      </c>
      <c r="BC199" s="34" t="str">
        <f t="shared" si="52"/>
        <v>Variant allowances</v>
      </c>
      <c r="BD199" s="34" t="str">
        <f t="shared" si="48"/>
        <v>Variant attributes</v>
      </c>
    </row>
    <row r="200" spans="3:56" x14ac:dyDescent="0.35">
      <c r="E200" s="33" t="str">
        <f t="shared" si="51"/>
        <v>Spare 4</v>
      </c>
      <c r="F200" s="33">
        <f t="shared" si="53"/>
        <v>0</v>
      </c>
      <c r="G200" s="33" t="s">
        <v>236</v>
      </c>
      <c r="H200" s="33">
        <f t="shared" si="44"/>
        <v>0</v>
      </c>
      <c r="AU200" s="139" t="b">
        <v>0</v>
      </c>
      <c r="AV200" s="22" t="b">
        <v>0</v>
      </c>
      <c r="AW200" s="24">
        <v>2</v>
      </c>
      <c r="AX200"/>
      <c r="BA200" s="34" t="str">
        <f t="shared" ca="1" si="45"/>
        <v>Scotland</v>
      </c>
      <c r="BB200" s="34" t="str">
        <f t="shared" si="46"/>
        <v>Fixed Inputs</v>
      </c>
      <c r="BC200" s="34" t="str">
        <f t="shared" si="52"/>
        <v>Variant allowances</v>
      </c>
      <c r="BD200" s="34" t="str">
        <f t="shared" si="48"/>
        <v>Variant attributes</v>
      </c>
    </row>
    <row r="201" spans="3:56" x14ac:dyDescent="0.35">
      <c r="E201" s="33" t="str">
        <f t="shared" si="51"/>
        <v>Spare 5</v>
      </c>
      <c r="F201" s="33">
        <f t="shared" si="53"/>
        <v>0</v>
      </c>
      <c r="G201" s="33" t="s">
        <v>236</v>
      </c>
      <c r="H201" s="33">
        <f t="shared" si="44"/>
        <v>0</v>
      </c>
      <c r="AU201" s="139" t="b">
        <v>0</v>
      </c>
      <c r="AV201" s="22" t="b">
        <v>0</v>
      </c>
      <c r="AW201" s="24">
        <v>2</v>
      </c>
      <c r="AX201"/>
      <c r="BA201" s="34" t="str">
        <f t="shared" ca="1" si="45"/>
        <v>Scotland</v>
      </c>
      <c r="BB201" s="34" t="str">
        <f t="shared" si="46"/>
        <v>Fixed Inputs</v>
      </c>
      <c r="BC201" s="34" t="str">
        <f t="shared" si="52"/>
        <v>Variant allowances</v>
      </c>
      <c r="BD201" s="34" t="str">
        <f t="shared" si="48"/>
        <v>Variant attributes</v>
      </c>
    </row>
    <row r="202" spans="3:56" x14ac:dyDescent="0.35">
      <c r="E202" s="33" t="str">
        <f t="shared" si="51"/>
        <v>Spare 6</v>
      </c>
      <c r="F202" s="33">
        <f t="shared" si="53"/>
        <v>0</v>
      </c>
      <c r="G202" s="33" t="s">
        <v>236</v>
      </c>
      <c r="H202" s="33">
        <f t="shared" si="44"/>
        <v>0</v>
      </c>
      <c r="AU202" s="139" t="b">
        <v>0</v>
      </c>
      <c r="AV202" s="22" t="b">
        <v>0</v>
      </c>
      <c r="AW202" s="24">
        <v>2</v>
      </c>
      <c r="AX202"/>
      <c r="BA202" s="34" t="str">
        <f t="shared" ca="1" si="45"/>
        <v>Scotland</v>
      </c>
      <c r="BB202" s="34" t="str">
        <f t="shared" si="46"/>
        <v>Fixed Inputs</v>
      </c>
      <c r="BC202" s="34" t="str">
        <f t="shared" si="52"/>
        <v>Variant allowances</v>
      </c>
      <c r="BD202" s="34" t="str">
        <f t="shared" si="48"/>
        <v>Variant attributes</v>
      </c>
    </row>
    <row r="203" spans="3:56" x14ac:dyDescent="0.35"/>
    <row r="204" spans="3:56" ht="16.5" thickBot="1" x14ac:dyDescent="0.4">
      <c r="C204" s="9" t="s">
        <v>167</v>
      </c>
    </row>
    <row r="205" spans="3:56" x14ac:dyDescent="0.35">
      <c r="E205" s="187" t="str" cm="1">
        <f t="array" ref="E205">INDEX($E$99:$E$202,INT((ROW()-ROW($E$205))/5)+1)</f>
        <v>PCD_Baseline Network Risk Output</v>
      </c>
      <c r="F205" s="188"/>
      <c r="G205" s="188" t="s">
        <v>109</v>
      </c>
      <c r="H205" s="188" t="s">
        <v>168</v>
      </c>
      <c r="I205" s="188"/>
      <c r="J205" s="188"/>
      <c r="K205" s="188"/>
      <c r="L205" s="188"/>
      <c r="M205" s="188"/>
      <c r="N205" s="188"/>
      <c r="O205" s="188"/>
      <c r="P205" s="188"/>
      <c r="Q205" s="188"/>
      <c r="R205" s="188"/>
      <c r="S205" s="188"/>
      <c r="T205" s="188"/>
      <c r="U205" s="188"/>
      <c r="V205" s="188"/>
      <c r="W205" s="188"/>
      <c r="X205" s="188"/>
      <c r="Y205" s="188"/>
      <c r="Z205" s="188"/>
      <c r="AA205" s="188"/>
      <c r="AB205" s="188"/>
      <c r="AC205" s="188"/>
      <c r="AD205" s="188"/>
      <c r="AE205" s="188"/>
      <c r="AF205" s="188"/>
      <c r="AG205" s="188"/>
      <c r="AH205" s="188"/>
      <c r="AI205" s="188"/>
      <c r="AJ205" s="188"/>
      <c r="AK205" s="188"/>
      <c r="AL205" s="188"/>
      <c r="AM205" s="188"/>
      <c r="AN205" s="188"/>
      <c r="AO205" s="188"/>
      <c r="AP205" s="188"/>
      <c r="AQ205" s="188"/>
      <c r="AR205" s="188"/>
      <c r="AS205" s="188"/>
      <c r="AT205" s="202"/>
      <c r="AU205" s="190"/>
      <c r="AV205" s="191">
        <v>0</v>
      </c>
      <c r="AW205" s="191">
        <v>0</v>
      </c>
      <c r="AX205" s="191">
        <v>0</v>
      </c>
      <c r="AY205" s="192">
        <v>0</v>
      </c>
      <c r="BA205" s="34" t="str">
        <f t="shared" ref="BA205:BA454" ca="1" si="54">$A$1</f>
        <v>Scotland</v>
      </c>
      <c r="BB205" s="34" t="str">
        <f t="shared" ref="BB205:BB454" si="55">$A$150</f>
        <v>Fixed Inputs</v>
      </c>
      <c r="BC205" s="34" t="str">
        <f t="shared" ref="BC205:BC268" si="56">$B$151</f>
        <v>Variant allowances</v>
      </c>
      <c r="BD205" s="34" t="str">
        <f t="shared" ref="BD205:BD454" si="57">$C$204</f>
        <v>Totex variant allowances allocation percentages</v>
      </c>
    </row>
    <row r="206" spans="3:56" x14ac:dyDescent="0.35">
      <c r="E206" s="193" t="str" cm="1">
        <f t="array" ref="E206">INDEX($E$99:$E$202,INT((ROW()-ROW($E$205))/5)+1)</f>
        <v>PCD_Baseline Network Risk Output</v>
      </c>
      <c r="G206" s="33" t="s">
        <v>109</v>
      </c>
      <c r="H206" s="33" t="s">
        <v>169</v>
      </c>
      <c r="AU206" s="140">
        <v>0.28212543924181549</v>
      </c>
      <c r="AV206" s="23">
        <v>0.28212543924181549</v>
      </c>
      <c r="AW206" s="23">
        <v>0.28212543924181549</v>
      </c>
      <c r="AX206" s="23">
        <v>0.28212543924181549</v>
      </c>
      <c r="AY206" s="194">
        <v>0.28212543924181549</v>
      </c>
      <c r="BA206" s="34" t="str">
        <f t="shared" ca="1" si="54"/>
        <v>Scotland</v>
      </c>
      <c r="BB206" s="34" t="str">
        <f t="shared" si="55"/>
        <v>Fixed Inputs</v>
      </c>
      <c r="BC206" s="34" t="str">
        <f t="shared" si="56"/>
        <v>Variant allowances</v>
      </c>
      <c r="BD206" s="34" t="str">
        <f t="shared" si="57"/>
        <v>Totex variant allowances allocation percentages</v>
      </c>
    </row>
    <row r="207" spans="3:56" x14ac:dyDescent="0.35">
      <c r="E207" s="193" t="str" cm="1">
        <f t="array" ref="E207">INDEX($E$99:$E$202,INT((ROW()-ROW($E$205))/5)+1)</f>
        <v>PCD_Baseline Network Risk Output</v>
      </c>
      <c r="G207" s="33" t="s">
        <v>109</v>
      </c>
      <c r="H207" s="33" t="s">
        <v>170</v>
      </c>
      <c r="AU207" s="140"/>
      <c r="AV207" s="23">
        <v>0</v>
      </c>
      <c r="AW207" s="23">
        <v>0</v>
      </c>
      <c r="AX207" s="23">
        <v>0</v>
      </c>
      <c r="AY207" s="194">
        <v>0</v>
      </c>
      <c r="BA207" s="34" t="str">
        <f t="shared" ca="1" si="54"/>
        <v>Scotland</v>
      </c>
      <c r="BB207" s="34" t="str">
        <f t="shared" si="55"/>
        <v>Fixed Inputs</v>
      </c>
      <c r="BC207" s="34" t="str">
        <f t="shared" si="56"/>
        <v>Variant allowances</v>
      </c>
      <c r="BD207" s="34" t="str">
        <f t="shared" si="57"/>
        <v>Totex variant allowances allocation percentages</v>
      </c>
    </row>
    <row r="208" spans="3:56" x14ac:dyDescent="0.35">
      <c r="E208" s="193" t="str" cm="1">
        <f t="array" ref="E208">INDEX($E$99:$E$202,INT((ROW()-ROW($E$205))/5)+1)</f>
        <v>PCD_Baseline Network Risk Output</v>
      </c>
      <c r="G208" s="33" t="s">
        <v>109</v>
      </c>
      <c r="H208" s="33" t="s">
        <v>171</v>
      </c>
      <c r="AU208" s="140"/>
      <c r="AV208" s="23">
        <v>0</v>
      </c>
      <c r="AW208" s="23">
        <v>0</v>
      </c>
      <c r="AX208" s="23">
        <v>0</v>
      </c>
      <c r="AY208" s="194">
        <v>0</v>
      </c>
      <c r="BA208" s="34" t="str">
        <f t="shared" ca="1" si="54"/>
        <v>Scotland</v>
      </c>
      <c r="BB208" s="34" t="str">
        <f t="shared" si="55"/>
        <v>Fixed Inputs</v>
      </c>
      <c r="BC208" s="34" t="str">
        <f t="shared" si="56"/>
        <v>Variant allowances</v>
      </c>
      <c r="BD208" s="34" t="str">
        <f t="shared" si="57"/>
        <v>Totex variant allowances allocation percentages</v>
      </c>
    </row>
    <row r="209" spans="5:56" x14ac:dyDescent="0.35">
      <c r="E209" s="195" t="str" cm="1">
        <f t="array" ref="E209">INDEX($E$99:$E$202,INT((ROW()-ROW($E$205))/5)+1)</f>
        <v>PCD_Baseline Network Risk Output</v>
      </c>
      <c r="F209" s="196"/>
      <c r="G209" s="196" t="s">
        <v>109</v>
      </c>
      <c r="H209" s="196" t="s">
        <v>172</v>
      </c>
      <c r="I209" s="196"/>
      <c r="J209" s="196"/>
      <c r="K209" s="196"/>
      <c r="L209" s="196"/>
      <c r="M209" s="196"/>
      <c r="N209" s="196"/>
      <c r="O209" s="196"/>
      <c r="P209" s="196"/>
      <c r="Q209" s="196"/>
      <c r="R209" s="196"/>
      <c r="S209" s="196"/>
      <c r="T209" s="196"/>
      <c r="U209" s="196"/>
      <c r="V209" s="196"/>
      <c r="W209" s="196"/>
      <c r="X209" s="196"/>
      <c r="Y209" s="196"/>
      <c r="Z209" s="196"/>
      <c r="AA209" s="196"/>
      <c r="AB209" s="196"/>
      <c r="AC209" s="196"/>
      <c r="AD209" s="196"/>
      <c r="AE209" s="196"/>
      <c r="AF209" s="196"/>
      <c r="AG209" s="196"/>
      <c r="AH209" s="196"/>
      <c r="AI209" s="196"/>
      <c r="AJ209" s="196"/>
      <c r="AK209" s="196"/>
      <c r="AL209" s="196"/>
      <c r="AM209" s="196"/>
      <c r="AN209" s="196"/>
      <c r="AO209" s="196"/>
      <c r="AP209" s="196"/>
      <c r="AQ209" s="196"/>
      <c r="AR209" s="196"/>
      <c r="AS209" s="196"/>
      <c r="AT209" s="208"/>
      <c r="AU209" s="198">
        <v>0.71787456075818457</v>
      </c>
      <c r="AV209" s="199">
        <v>0.71787456075818457</v>
      </c>
      <c r="AW209" s="199">
        <v>0.71787456075818457</v>
      </c>
      <c r="AX209" s="199">
        <v>0.71787456075818457</v>
      </c>
      <c r="AY209" s="200">
        <v>0.71787456075818457</v>
      </c>
      <c r="BA209" s="34" t="str">
        <f t="shared" ca="1" si="54"/>
        <v>Scotland</v>
      </c>
      <c r="BB209" s="34" t="str">
        <f t="shared" si="55"/>
        <v>Fixed Inputs</v>
      </c>
      <c r="BC209" s="34" t="str">
        <f t="shared" si="56"/>
        <v>Variant allowances</v>
      </c>
      <c r="BD209" s="34" t="str">
        <f t="shared" si="57"/>
        <v>Totex variant allowances allocation percentages</v>
      </c>
    </row>
    <row r="210" spans="5:56" x14ac:dyDescent="0.35">
      <c r="E210" s="187" t="str" cm="1">
        <f t="array" ref="E210">INDEX($E$99:$E$202,INT((ROW()-ROW($E$205))/5)+1)</f>
        <v>PCD_Cyber PCDs</v>
      </c>
      <c r="F210" s="188"/>
      <c r="G210" s="188" t="s">
        <v>109</v>
      </c>
      <c r="H210" s="188" t="s">
        <v>168</v>
      </c>
      <c r="I210" s="188"/>
      <c r="J210" s="188"/>
      <c r="K210" s="188"/>
      <c r="L210" s="188"/>
      <c r="M210" s="188"/>
      <c r="N210" s="188"/>
      <c r="O210" s="188"/>
      <c r="P210" s="188"/>
      <c r="Q210" s="188"/>
      <c r="R210" s="188"/>
      <c r="S210" s="188"/>
      <c r="T210" s="188"/>
      <c r="U210" s="188"/>
      <c r="V210" s="188"/>
      <c r="W210" s="188"/>
      <c r="X210" s="188"/>
      <c r="Y210" s="188"/>
      <c r="Z210" s="188"/>
      <c r="AA210" s="188"/>
      <c r="AB210" s="188"/>
      <c r="AC210" s="188"/>
      <c r="AD210" s="188"/>
      <c r="AE210" s="188"/>
      <c r="AF210" s="188"/>
      <c r="AG210" s="188"/>
      <c r="AH210" s="188"/>
      <c r="AI210" s="188"/>
      <c r="AJ210" s="188"/>
      <c r="AK210" s="188"/>
      <c r="AL210" s="188"/>
      <c r="AM210" s="188"/>
      <c r="AN210" s="188"/>
      <c r="AO210" s="188"/>
      <c r="AP210" s="188"/>
      <c r="AQ210" s="188"/>
      <c r="AR210" s="188"/>
      <c r="AS210" s="188"/>
      <c r="AT210" s="202"/>
      <c r="AU210" s="190"/>
      <c r="AV210" s="191">
        <v>0</v>
      </c>
      <c r="AW210" s="191">
        <v>0</v>
      </c>
      <c r="AX210" s="191">
        <v>0</v>
      </c>
      <c r="AY210" s="192">
        <v>0</v>
      </c>
      <c r="BA210" s="34" t="str">
        <f t="shared" ca="1" si="54"/>
        <v>Scotland</v>
      </c>
      <c r="BB210" s="34" t="str">
        <f t="shared" si="55"/>
        <v>Fixed Inputs</v>
      </c>
      <c r="BC210" s="34" t="str">
        <f t="shared" si="56"/>
        <v>Variant allowances</v>
      </c>
      <c r="BD210" s="34" t="str">
        <f t="shared" si="57"/>
        <v>Totex variant allowances allocation percentages</v>
      </c>
    </row>
    <row r="211" spans="5:56" x14ac:dyDescent="0.35">
      <c r="E211" s="193" t="str" cm="1">
        <f t="array" ref="E211">INDEX($E$99:$E$202,INT((ROW()-ROW($E$205))/5)+1)</f>
        <v>PCD_Cyber PCDs</v>
      </c>
      <c r="G211" s="33" t="s">
        <v>109</v>
      </c>
      <c r="H211" s="33" t="s">
        <v>169</v>
      </c>
      <c r="AU211" s="140">
        <v>0.282008718503301</v>
      </c>
      <c r="AV211" s="23">
        <v>0.282008718503301</v>
      </c>
      <c r="AW211" s="23">
        <v>0.282008718503301</v>
      </c>
      <c r="AX211" s="23">
        <v>0.282008718503301</v>
      </c>
      <c r="AY211" s="194">
        <v>0.282008718503301</v>
      </c>
      <c r="BA211" s="34" t="str">
        <f t="shared" ca="1" si="54"/>
        <v>Scotland</v>
      </c>
      <c r="BB211" s="34" t="str">
        <f t="shared" si="55"/>
        <v>Fixed Inputs</v>
      </c>
      <c r="BC211" s="34" t="str">
        <f t="shared" si="56"/>
        <v>Variant allowances</v>
      </c>
      <c r="BD211" s="34" t="str">
        <f t="shared" si="57"/>
        <v>Totex variant allowances allocation percentages</v>
      </c>
    </row>
    <row r="212" spans="5:56" x14ac:dyDescent="0.35">
      <c r="E212" s="193" t="str" cm="1">
        <f t="array" ref="E212">INDEX($E$99:$E$202,INT((ROW()-ROW($E$205))/5)+1)</f>
        <v>PCD_Cyber PCDs</v>
      </c>
      <c r="G212" s="33" t="s">
        <v>109</v>
      </c>
      <c r="H212" s="33" t="s">
        <v>170</v>
      </c>
      <c r="AU212" s="140">
        <v>0.717991281496699</v>
      </c>
      <c r="AV212" s="23">
        <v>0.717991281496699</v>
      </c>
      <c r="AW212" s="23">
        <v>0.717991281496699</v>
      </c>
      <c r="AX212" s="23">
        <v>0.717991281496699</v>
      </c>
      <c r="AY212" s="194">
        <v>0.717991281496699</v>
      </c>
      <c r="BA212" s="34" t="str">
        <f t="shared" ca="1" si="54"/>
        <v>Scotland</v>
      </c>
      <c r="BB212" s="34" t="str">
        <f t="shared" si="55"/>
        <v>Fixed Inputs</v>
      </c>
      <c r="BC212" s="34" t="str">
        <f t="shared" si="56"/>
        <v>Variant allowances</v>
      </c>
      <c r="BD212" s="34" t="str">
        <f t="shared" si="57"/>
        <v>Totex variant allowances allocation percentages</v>
      </c>
    </row>
    <row r="213" spans="5:56" x14ac:dyDescent="0.35">
      <c r="E213" s="193" t="str" cm="1">
        <f t="array" ref="E213">INDEX($E$99:$E$202,INT((ROW()-ROW($E$205))/5)+1)</f>
        <v>PCD_Cyber PCDs</v>
      </c>
      <c r="G213" s="33" t="s">
        <v>109</v>
      </c>
      <c r="H213" s="33" t="s">
        <v>171</v>
      </c>
      <c r="AU213" s="140"/>
      <c r="AV213" s="23">
        <v>0</v>
      </c>
      <c r="AW213" s="23">
        <v>0</v>
      </c>
      <c r="AX213" s="23">
        <v>0</v>
      </c>
      <c r="AY213" s="194">
        <v>0</v>
      </c>
      <c r="BA213" s="34" t="str">
        <f t="shared" ca="1" si="54"/>
        <v>Scotland</v>
      </c>
      <c r="BB213" s="34" t="str">
        <f t="shared" si="55"/>
        <v>Fixed Inputs</v>
      </c>
      <c r="BC213" s="34" t="str">
        <f t="shared" si="56"/>
        <v>Variant allowances</v>
      </c>
      <c r="BD213" s="34" t="str">
        <f t="shared" si="57"/>
        <v>Totex variant allowances allocation percentages</v>
      </c>
    </row>
    <row r="214" spans="5:56" x14ac:dyDescent="0.35">
      <c r="E214" s="195" t="str" cm="1">
        <f t="array" ref="E214">INDEX($E$99:$E$202,INT((ROW()-ROW($E$205))/5)+1)</f>
        <v>PCD_Cyber PCDs</v>
      </c>
      <c r="F214" s="196"/>
      <c r="G214" s="196" t="s">
        <v>109</v>
      </c>
      <c r="H214" s="196" t="s">
        <v>172</v>
      </c>
      <c r="I214" s="196"/>
      <c r="J214" s="196"/>
      <c r="K214" s="196"/>
      <c r="L214" s="196"/>
      <c r="M214" s="196"/>
      <c r="N214" s="196"/>
      <c r="O214" s="196"/>
      <c r="P214" s="196"/>
      <c r="Q214" s="196"/>
      <c r="R214" s="196"/>
      <c r="S214" s="196"/>
      <c r="T214" s="196"/>
      <c r="U214" s="196"/>
      <c r="V214" s="196"/>
      <c r="W214" s="196"/>
      <c r="X214" s="196"/>
      <c r="Y214" s="196"/>
      <c r="Z214" s="196"/>
      <c r="AA214" s="196"/>
      <c r="AB214" s="196"/>
      <c r="AC214" s="196"/>
      <c r="AD214" s="196"/>
      <c r="AE214" s="196"/>
      <c r="AF214" s="196"/>
      <c r="AG214" s="196"/>
      <c r="AH214" s="196"/>
      <c r="AI214" s="196"/>
      <c r="AJ214" s="196"/>
      <c r="AK214" s="196"/>
      <c r="AL214" s="196"/>
      <c r="AM214" s="196"/>
      <c r="AN214" s="196"/>
      <c r="AO214" s="196"/>
      <c r="AP214" s="196"/>
      <c r="AQ214" s="196"/>
      <c r="AR214" s="196"/>
      <c r="AS214" s="196"/>
      <c r="AT214" s="208"/>
      <c r="AU214" s="198"/>
      <c r="AV214" s="199">
        <v>0</v>
      </c>
      <c r="AW214" s="199">
        <v>0</v>
      </c>
      <c r="AX214" s="199">
        <v>0</v>
      </c>
      <c r="AY214" s="200">
        <v>0</v>
      </c>
      <c r="BA214" s="34" t="str">
        <f t="shared" ca="1" si="54"/>
        <v>Scotland</v>
      </c>
      <c r="BB214" s="34" t="str">
        <f t="shared" si="55"/>
        <v>Fixed Inputs</v>
      </c>
      <c r="BC214" s="34" t="str">
        <f t="shared" si="56"/>
        <v>Variant allowances</v>
      </c>
      <c r="BD214" s="34" t="str">
        <f t="shared" si="57"/>
        <v>Totex variant allowances allocation percentages</v>
      </c>
    </row>
    <row r="215" spans="5:56" x14ac:dyDescent="0.35">
      <c r="E215" s="187" t="str" cm="1">
        <f t="array" ref="E215">INDEX($E$99:$E$202,INT((ROW()-ROW($E$205))/5)+1)</f>
        <v>PCD_Flow Weighted Average Calorific Value Compliance (Cadent_all) / FWACV Compliance (Cadent_all)</v>
      </c>
      <c r="F215" s="188"/>
      <c r="G215" s="188" t="s">
        <v>109</v>
      </c>
      <c r="H215" s="188" t="s">
        <v>168</v>
      </c>
      <c r="I215" s="188"/>
      <c r="J215" s="188"/>
      <c r="K215" s="188"/>
      <c r="L215" s="188"/>
      <c r="M215" s="188"/>
      <c r="N215" s="188"/>
      <c r="O215" s="188"/>
      <c r="P215" s="188"/>
      <c r="Q215" s="188"/>
      <c r="R215" s="188"/>
      <c r="S215" s="188"/>
      <c r="T215" s="188"/>
      <c r="U215" s="188"/>
      <c r="V215" s="188"/>
      <c r="W215" s="188"/>
      <c r="X215" s="188"/>
      <c r="Y215" s="188"/>
      <c r="Z215" s="188"/>
      <c r="AA215" s="188"/>
      <c r="AB215" s="188"/>
      <c r="AC215" s="188"/>
      <c r="AD215" s="188"/>
      <c r="AE215" s="188"/>
      <c r="AF215" s="188"/>
      <c r="AG215" s="188"/>
      <c r="AH215" s="188"/>
      <c r="AI215" s="188"/>
      <c r="AJ215" s="188"/>
      <c r="AK215" s="188"/>
      <c r="AL215" s="188"/>
      <c r="AM215" s="188"/>
      <c r="AN215" s="188"/>
      <c r="AO215" s="188"/>
      <c r="AP215" s="188"/>
      <c r="AQ215" s="188"/>
      <c r="AR215" s="188"/>
      <c r="AS215" s="188"/>
      <c r="AT215" s="202"/>
      <c r="AU215" s="190">
        <v>0</v>
      </c>
      <c r="AV215" s="191">
        <v>0</v>
      </c>
      <c r="AW215" s="191">
        <v>0</v>
      </c>
      <c r="AX215" s="191">
        <v>0</v>
      </c>
      <c r="AY215" s="192">
        <v>0</v>
      </c>
      <c r="BA215" s="34" t="str">
        <f t="shared" ca="1" si="54"/>
        <v>Scotland</v>
      </c>
      <c r="BB215" s="34" t="str">
        <f t="shared" si="55"/>
        <v>Fixed Inputs</v>
      </c>
      <c r="BC215" s="34" t="str">
        <f t="shared" si="56"/>
        <v>Variant allowances</v>
      </c>
      <c r="BD215" s="34" t="str">
        <f t="shared" si="57"/>
        <v>Totex variant allowances allocation percentages</v>
      </c>
    </row>
    <row r="216" spans="5:56" x14ac:dyDescent="0.35">
      <c r="E216" s="193" t="str" cm="1">
        <f t="array" ref="E216">INDEX($E$99:$E$202,INT((ROW()-ROW($E$205))/5)+1)</f>
        <v>PCD_Flow Weighted Average Calorific Value Compliance (Cadent_all) / FWACV Compliance (Cadent_all)</v>
      </c>
      <c r="G216" s="33" t="s">
        <v>109</v>
      </c>
      <c r="H216" s="33" t="s">
        <v>169</v>
      </c>
      <c r="AU216" s="140">
        <v>1</v>
      </c>
      <c r="AV216" s="23">
        <v>1</v>
      </c>
      <c r="AW216" s="23">
        <v>1</v>
      </c>
      <c r="AX216" s="23">
        <v>1</v>
      </c>
      <c r="AY216" s="194">
        <v>1</v>
      </c>
      <c r="BA216" s="34" t="str">
        <f t="shared" ca="1" si="54"/>
        <v>Scotland</v>
      </c>
      <c r="BB216" s="34" t="str">
        <f t="shared" si="55"/>
        <v>Fixed Inputs</v>
      </c>
      <c r="BC216" s="34" t="str">
        <f t="shared" si="56"/>
        <v>Variant allowances</v>
      </c>
      <c r="BD216" s="34" t="str">
        <f t="shared" si="57"/>
        <v>Totex variant allowances allocation percentages</v>
      </c>
    </row>
    <row r="217" spans="5:56" x14ac:dyDescent="0.35">
      <c r="E217" s="193" t="str" cm="1">
        <f t="array" ref="E217">INDEX($E$99:$E$202,INT((ROW()-ROW($E$205))/5)+1)</f>
        <v>PCD_Flow Weighted Average Calorific Value Compliance (Cadent_all) / FWACV Compliance (Cadent_all)</v>
      </c>
      <c r="G217" s="33" t="s">
        <v>109</v>
      </c>
      <c r="H217" s="33" t="s">
        <v>170</v>
      </c>
      <c r="AU217" s="140">
        <v>0</v>
      </c>
      <c r="AV217" s="23">
        <v>0</v>
      </c>
      <c r="AW217" s="23">
        <v>0</v>
      </c>
      <c r="AX217" s="23">
        <v>0</v>
      </c>
      <c r="AY217" s="194">
        <v>0</v>
      </c>
      <c r="BA217" s="34" t="str">
        <f t="shared" ca="1" si="54"/>
        <v>Scotland</v>
      </c>
      <c r="BB217" s="34" t="str">
        <f t="shared" si="55"/>
        <v>Fixed Inputs</v>
      </c>
      <c r="BC217" s="34" t="str">
        <f t="shared" si="56"/>
        <v>Variant allowances</v>
      </c>
      <c r="BD217" s="34" t="str">
        <f t="shared" si="57"/>
        <v>Totex variant allowances allocation percentages</v>
      </c>
    </row>
    <row r="218" spans="5:56" x14ac:dyDescent="0.35">
      <c r="E218" s="193" t="str" cm="1">
        <f t="array" ref="E218">INDEX($E$99:$E$202,INT((ROW()-ROW($E$205))/5)+1)</f>
        <v>PCD_Flow Weighted Average Calorific Value Compliance (Cadent_all) / FWACV Compliance (Cadent_all)</v>
      </c>
      <c r="G218" s="33" t="s">
        <v>109</v>
      </c>
      <c r="H218" s="33" t="s">
        <v>171</v>
      </c>
      <c r="AU218" s="140">
        <v>0</v>
      </c>
      <c r="AV218" s="23">
        <v>0</v>
      </c>
      <c r="AW218" s="23">
        <v>0</v>
      </c>
      <c r="AX218" s="23">
        <v>0</v>
      </c>
      <c r="AY218" s="194">
        <v>0</v>
      </c>
      <c r="BA218" s="34" t="str">
        <f t="shared" ca="1" si="54"/>
        <v>Scotland</v>
      </c>
      <c r="BB218" s="34" t="str">
        <f t="shared" si="55"/>
        <v>Fixed Inputs</v>
      </c>
      <c r="BC218" s="34" t="str">
        <f t="shared" si="56"/>
        <v>Variant allowances</v>
      </c>
      <c r="BD218" s="34" t="str">
        <f t="shared" si="57"/>
        <v>Totex variant allowances allocation percentages</v>
      </c>
    </row>
    <row r="219" spans="5:56" x14ac:dyDescent="0.35">
      <c r="E219" s="195" t="str" cm="1">
        <f t="array" ref="E219">INDEX($E$99:$E$202,INT((ROW()-ROW($E$205))/5)+1)</f>
        <v>PCD_Flow Weighted Average Calorific Value Compliance (Cadent_all) / FWACV Compliance (Cadent_all)</v>
      </c>
      <c r="F219" s="196"/>
      <c r="G219" s="196" t="s">
        <v>109</v>
      </c>
      <c r="H219" s="196" t="s">
        <v>172</v>
      </c>
      <c r="I219" s="196"/>
      <c r="J219" s="196"/>
      <c r="K219" s="196"/>
      <c r="L219" s="196"/>
      <c r="M219" s="196"/>
      <c r="N219" s="196"/>
      <c r="O219" s="196"/>
      <c r="P219" s="196"/>
      <c r="Q219" s="196"/>
      <c r="R219" s="196"/>
      <c r="S219" s="196"/>
      <c r="T219" s="196"/>
      <c r="U219" s="196"/>
      <c r="V219" s="196"/>
      <c r="W219" s="196"/>
      <c r="X219" s="196"/>
      <c r="Y219" s="196"/>
      <c r="Z219" s="196"/>
      <c r="AA219" s="196"/>
      <c r="AB219" s="196"/>
      <c r="AC219" s="196"/>
      <c r="AD219" s="196"/>
      <c r="AE219" s="196"/>
      <c r="AF219" s="196"/>
      <c r="AG219" s="196"/>
      <c r="AH219" s="196"/>
      <c r="AI219" s="196"/>
      <c r="AJ219" s="196"/>
      <c r="AK219" s="196"/>
      <c r="AL219" s="196"/>
      <c r="AM219" s="196"/>
      <c r="AN219" s="196"/>
      <c r="AO219" s="196"/>
      <c r="AP219" s="196"/>
      <c r="AQ219" s="196"/>
      <c r="AR219" s="196"/>
      <c r="AS219" s="196"/>
      <c r="AT219" s="208"/>
      <c r="AU219" s="198">
        <v>0</v>
      </c>
      <c r="AV219" s="199">
        <v>0</v>
      </c>
      <c r="AW219" s="199">
        <v>0</v>
      </c>
      <c r="AX219" s="199">
        <v>0</v>
      </c>
      <c r="AY219" s="200">
        <v>0</v>
      </c>
      <c r="BA219" s="34" t="str">
        <f t="shared" ca="1" si="54"/>
        <v>Scotland</v>
      </c>
      <c r="BB219" s="34" t="str">
        <f t="shared" si="55"/>
        <v>Fixed Inputs</v>
      </c>
      <c r="BC219" s="34" t="str">
        <f t="shared" si="56"/>
        <v>Variant allowances</v>
      </c>
      <c r="BD219" s="34" t="str">
        <f t="shared" si="57"/>
        <v>Totex variant allowances allocation percentages</v>
      </c>
    </row>
    <row r="220" spans="5:56" x14ac:dyDescent="0.35">
      <c r="E220" s="187" t="str" cm="1">
        <f t="array" ref="E220">INDEX($E$99:$E$202,INT((ROW()-ROW($E$205))/5)+1)</f>
        <v>PCD_Grays medium pressure (Cadent_Lon)</v>
      </c>
      <c r="F220" s="188"/>
      <c r="G220" s="188" t="s">
        <v>109</v>
      </c>
      <c r="H220" s="188" t="s">
        <v>168</v>
      </c>
      <c r="I220" s="188"/>
      <c r="J220" s="188"/>
      <c r="K220" s="188"/>
      <c r="L220" s="188"/>
      <c r="M220" s="188"/>
      <c r="N220" s="188"/>
      <c r="O220" s="188"/>
      <c r="P220" s="188"/>
      <c r="Q220" s="188"/>
      <c r="R220" s="188"/>
      <c r="S220" s="188"/>
      <c r="T220" s="188"/>
      <c r="U220" s="188"/>
      <c r="V220" s="188"/>
      <c r="W220" s="188"/>
      <c r="X220" s="188"/>
      <c r="Y220" s="188"/>
      <c r="Z220" s="188"/>
      <c r="AA220" s="188"/>
      <c r="AB220" s="188"/>
      <c r="AC220" s="188"/>
      <c r="AD220" s="188"/>
      <c r="AE220" s="188"/>
      <c r="AF220" s="188"/>
      <c r="AG220" s="188"/>
      <c r="AH220" s="188"/>
      <c r="AI220" s="188"/>
      <c r="AJ220" s="188"/>
      <c r="AK220" s="188"/>
      <c r="AL220" s="188"/>
      <c r="AM220" s="188"/>
      <c r="AN220" s="188"/>
      <c r="AO220" s="188"/>
      <c r="AP220" s="188"/>
      <c r="AQ220" s="188"/>
      <c r="AR220" s="188"/>
      <c r="AS220" s="188"/>
      <c r="AT220" s="202"/>
      <c r="AU220" s="190">
        <v>0</v>
      </c>
      <c r="AV220" s="191">
        <v>0</v>
      </c>
      <c r="AW220" s="191">
        <v>0</v>
      </c>
      <c r="AX220" s="191">
        <v>0</v>
      </c>
      <c r="AY220" s="192">
        <v>0</v>
      </c>
      <c r="BA220" s="34" t="str">
        <f t="shared" ca="1" si="54"/>
        <v>Scotland</v>
      </c>
      <c r="BB220" s="34" t="str">
        <f t="shared" si="55"/>
        <v>Fixed Inputs</v>
      </c>
      <c r="BC220" s="34" t="str">
        <f t="shared" si="56"/>
        <v>Variant allowances</v>
      </c>
      <c r="BD220" s="34" t="str">
        <f t="shared" si="57"/>
        <v>Totex variant allowances allocation percentages</v>
      </c>
    </row>
    <row r="221" spans="5:56" x14ac:dyDescent="0.35">
      <c r="E221" s="193" t="str" cm="1">
        <f t="array" ref="E221">INDEX($E$99:$E$202,INT((ROW()-ROW($E$205))/5)+1)</f>
        <v>PCD_Grays medium pressure (Cadent_Lon)</v>
      </c>
      <c r="G221" s="33" t="s">
        <v>109</v>
      </c>
      <c r="H221" s="33" t="s">
        <v>169</v>
      </c>
      <c r="AU221" s="140">
        <v>6.3919869632148518E-2</v>
      </c>
      <c r="AV221" s="23">
        <v>6.3919869632148518E-2</v>
      </c>
      <c r="AW221" s="23">
        <v>6.3919869632148518E-2</v>
      </c>
      <c r="AX221" s="23">
        <v>6.3919869632148518E-2</v>
      </c>
      <c r="AY221" s="194">
        <v>6.3919869632148518E-2</v>
      </c>
      <c r="BA221" s="34" t="str">
        <f t="shared" ca="1" si="54"/>
        <v>Scotland</v>
      </c>
      <c r="BB221" s="34" t="str">
        <f t="shared" si="55"/>
        <v>Fixed Inputs</v>
      </c>
      <c r="BC221" s="34" t="str">
        <f t="shared" si="56"/>
        <v>Variant allowances</v>
      </c>
      <c r="BD221" s="34" t="str">
        <f t="shared" si="57"/>
        <v>Totex variant allowances allocation percentages</v>
      </c>
    </row>
    <row r="222" spans="5:56" x14ac:dyDescent="0.35">
      <c r="E222" s="193" t="str" cm="1">
        <f t="array" ref="E222">INDEX($E$99:$E$202,INT((ROW()-ROW($E$205))/5)+1)</f>
        <v>PCD_Grays medium pressure (Cadent_Lon)</v>
      </c>
      <c r="G222" s="33" t="s">
        <v>109</v>
      </c>
      <c r="H222" s="33" t="s">
        <v>170</v>
      </c>
      <c r="AU222" s="140">
        <v>0</v>
      </c>
      <c r="AV222" s="23">
        <v>0</v>
      </c>
      <c r="AW222" s="23">
        <v>0</v>
      </c>
      <c r="AX222" s="23">
        <v>0</v>
      </c>
      <c r="AY222" s="194">
        <v>0</v>
      </c>
      <c r="BA222" s="34" t="str">
        <f t="shared" ca="1" si="54"/>
        <v>Scotland</v>
      </c>
      <c r="BB222" s="34" t="str">
        <f t="shared" si="55"/>
        <v>Fixed Inputs</v>
      </c>
      <c r="BC222" s="34" t="str">
        <f t="shared" si="56"/>
        <v>Variant allowances</v>
      </c>
      <c r="BD222" s="34" t="str">
        <f t="shared" si="57"/>
        <v>Totex variant allowances allocation percentages</v>
      </c>
    </row>
    <row r="223" spans="5:56" x14ac:dyDescent="0.35">
      <c r="E223" s="193" t="str" cm="1">
        <f t="array" ref="E223">INDEX($E$99:$E$202,INT((ROW()-ROW($E$205))/5)+1)</f>
        <v>PCD_Grays medium pressure (Cadent_Lon)</v>
      </c>
      <c r="G223" s="33" t="s">
        <v>109</v>
      </c>
      <c r="H223" s="33" t="s">
        <v>171</v>
      </c>
      <c r="AU223" s="140">
        <v>0</v>
      </c>
      <c r="AV223" s="23">
        <v>0</v>
      </c>
      <c r="AW223" s="23">
        <v>0</v>
      </c>
      <c r="AX223" s="23">
        <v>0</v>
      </c>
      <c r="AY223" s="194">
        <v>0</v>
      </c>
      <c r="BA223" s="34" t="str">
        <f t="shared" ca="1" si="54"/>
        <v>Scotland</v>
      </c>
      <c r="BB223" s="34" t="str">
        <f t="shared" si="55"/>
        <v>Fixed Inputs</v>
      </c>
      <c r="BC223" s="34" t="str">
        <f t="shared" si="56"/>
        <v>Variant allowances</v>
      </c>
      <c r="BD223" s="34" t="str">
        <f t="shared" si="57"/>
        <v>Totex variant allowances allocation percentages</v>
      </c>
    </row>
    <row r="224" spans="5:56" x14ac:dyDescent="0.35">
      <c r="E224" s="195" t="str" cm="1">
        <f t="array" ref="E224">INDEX($E$99:$E$202,INT((ROW()-ROW($E$205))/5)+1)</f>
        <v>PCD_Grays medium pressure (Cadent_Lon)</v>
      </c>
      <c r="F224" s="196"/>
      <c r="G224" s="196" t="s">
        <v>109</v>
      </c>
      <c r="H224" s="196" t="s">
        <v>172</v>
      </c>
      <c r="I224" s="196"/>
      <c r="J224" s="196"/>
      <c r="K224" s="196"/>
      <c r="L224" s="196"/>
      <c r="M224" s="196"/>
      <c r="N224" s="196"/>
      <c r="O224" s="196"/>
      <c r="P224" s="196"/>
      <c r="Q224" s="196"/>
      <c r="R224" s="196"/>
      <c r="S224" s="196"/>
      <c r="T224" s="196"/>
      <c r="U224" s="196"/>
      <c r="V224" s="196"/>
      <c r="W224" s="196"/>
      <c r="X224" s="196"/>
      <c r="Y224" s="196"/>
      <c r="Z224" s="196"/>
      <c r="AA224" s="196"/>
      <c r="AB224" s="196"/>
      <c r="AC224" s="196"/>
      <c r="AD224" s="196"/>
      <c r="AE224" s="196"/>
      <c r="AF224" s="196"/>
      <c r="AG224" s="196"/>
      <c r="AH224" s="196"/>
      <c r="AI224" s="196"/>
      <c r="AJ224" s="196"/>
      <c r="AK224" s="196"/>
      <c r="AL224" s="196"/>
      <c r="AM224" s="196"/>
      <c r="AN224" s="196"/>
      <c r="AO224" s="196"/>
      <c r="AP224" s="196"/>
      <c r="AQ224" s="196"/>
      <c r="AR224" s="196"/>
      <c r="AS224" s="196"/>
      <c r="AT224" s="208"/>
      <c r="AU224" s="198">
        <v>0.93608013036785143</v>
      </c>
      <c r="AV224" s="199">
        <v>0.93608013036785143</v>
      </c>
      <c r="AW224" s="199">
        <v>0.93608013036785143</v>
      </c>
      <c r="AX224" s="199">
        <v>0.93608013036785143</v>
      </c>
      <c r="AY224" s="200">
        <v>0.93608013036785143</v>
      </c>
      <c r="BA224" s="34" t="str">
        <f t="shared" ca="1" si="54"/>
        <v>Scotland</v>
      </c>
      <c r="BB224" s="34" t="str">
        <f t="shared" si="55"/>
        <v>Fixed Inputs</v>
      </c>
      <c r="BC224" s="34" t="str">
        <f t="shared" si="56"/>
        <v>Variant allowances</v>
      </c>
      <c r="BD224" s="34" t="str">
        <f t="shared" si="57"/>
        <v>Totex variant allowances allocation percentages</v>
      </c>
    </row>
    <row r="225" spans="5:56" x14ac:dyDescent="0.35">
      <c r="E225" s="187" t="str" cm="1">
        <f t="array" ref="E225">INDEX($E$99:$E$202,INT((ROW()-ROW($E$205))/5)+1)</f>
        <v>PCD_Welling PRS - Full Site Rebuild  (SGN_So) / Full site and system rebuilds PCD (SGN)</v>
      </c>
      <c r="F225" s="188"/>
      <c r="G225" s="188" t="s">
        <v>109</v>
      </c>
      <c r="H225" s="188" t="s">
        <v>168</v>
      </c>
      <c r="I225" s="188"/>
      <c r="J225" s="188"/>
      <c r="K225" s="188"/>
      <c r="L225" s="188"/>
      <c r="M225" s="188"/>
      <c r="N225" s="188"/>
      <c r="O225" s="188"/>
      <c r="P225" s="188"/>
      <c r="Q225" s="188"/>
      <c r="R225" s="188"/>
      <c r="S225" s="188"/>
      <c r="T225" s="188"/>
      <c r="U225" s="188"/>
      <c r="V225" s="188"/>
      <c r="W225" s="188"/>
      <c r="X225" s="188"/>
      <c r="Y225" s="188"/>
      <c r="Z225" s="188"/>
      <c r="AA225" s="188"/>
      <c r="AB225" s="188"/>
      <c r="AC225" s="188"/>
      <c r="AD225" s="188"/>
      <c r="AE225" s="188"/>
      <c r="AF225" s="188"/>
      <c r="AG225" s="188"/>
      <c r="AH225" s="188"/>
      <c r="AI225" s="188"/>
      <c r="AJ225" s="188"/>
      <c r="AK225" s="188"/>
      <c r="AL225" s="188"/>
      <c r="AM225" s="188"/>
      <c r="AN225" s="188"/>
      <c r="AO225" s="188"/>
      <c r="AP225" s="188"/>
      <c r="AQ225" s="188"/>
      <c r="AR225" s="188"/>
      <c r="AS225" s="188"/>
      <c r="AT225" s="202"/>
      <c r="AU225" s="190">
        <v>0</v>
      </c>
      <c r="AV225" s="191">
        <v>0</v>
      </c>
      <c r="AW225" s="191">
        <v>0</v>
      </c>
      <c r="AX225" s="191">
        <v>0</v>
      </c>
      <c r="AY225" s="192">
        <v>0</v>
      </c>
      <c r="BA225" s="34" t="str">
        <f t="shared" ca="1" si="54"/>
        <v>Scotland</v>
      </c>
      <c r="BB225" s="34" t="str">
        <f t="shared" si="55"/>
        <v>Fixed Inputs</v>
      </c>
      <c r="BC225" s="34" t="str">
        <f t="shared" si="56"/>
        <v>Variant allowances</v>
      </c>
      <c r="BD225" s="34" t="str">
        <f t="shared" si="57"/>
        <v>Totex variant allowances allocation percentages</v>
      </c>
    </row>
    <row r="226" spans="5:56" x14ac:dyDescent="0.35">
      <c r="E226" s="193" t="str" cm="1">
        <f t="array" ref="E226">INDEX($E$99:$E$202,INT((ROW()-ROW($E$205))/5)+1)</f>
        <v>PCD_Welling PRS - Full Site Rebuild  (SGN_So) / Full site and system rebuilds PCD (SGN)</v>
      </c>
      <c r="G226" s="33" t="s">
        <v>109</v>
      </c>
      <c r="H226" s="33" t="s">
        <v>169</v>
      </c>
      <c r="AU226" s="140">
        <v>1</v>
      </c>
      <c r="AV226" s="23">
        <v>1</v>
      </c>
      <c r="AW226" s="23">
        <v>1</v>
      </c>
      <c r="AX226" s="23">
        <v>1</v>
      </c>
      <c r="AY226" s="194">
        <v>1</v>
      </c>
      <c r="BA226" s="34" t="str">
        <f t="shared" ca="1" si="54"/>
        <v>Scotland</v>
      </c>
      <c r="BB226" s="34" t="str">
        <f t="shared" si="55"/>
        <v>Fixed Inputs</v>
      </c>
      <c r="BC226" s="34" t="str">
        <f t="shared" si="56"/>
        <v>Variant allowances</v>
      </c>
      <c r="BD226" s="34" t="str">
        <f t="shared" si="57"/>
        <v>Totex variant allowances allocation percentages</v>
      </c>
    </row>
    <row r="227" spans="5:56" x14ac:dyDescent="0.35">
      <c r="E227" s="193" t="str" cm="1">
        <f t="array" ref="E227">INDEX($E$99:$E$202,INT((ROW()-ROW($E$205))/5)+1)</f>
        <v>PCD_Welling PRS - Full Site Rebuild  (SGN_So) / Full site and system rebuilds PCD (SGN)</v>
      </c>
      <c r="G227" s="33" t="s">
        <v>109</v>
      </c>
      <c r="H227" s="33" t="s">
        <v>170</v>
      </c>
      <c r="AU227" s="140">
        <v>0</v>
      </c>
      <c r="AV227" s="23">
        <v>0</v>
      </c>
      <c r="AW227" s="23">
        <v>0</v>
      </c>
      <c r="AX227" s="23">
        <v>0</v>
      </c>
      <c r="AY227" s="194">
        <v>0</v>
      </c>
      <c r="BA227" s="34" t="str">
        <f t="shared" ca="1" si="54"/>
        <v>Scotland</v>
      </c>
      <c r="BB227" s="34" t="str">
        <f t="shared" si="55"/>
        <v>Fixed Inputs</v>
      </c>
      <c r="BC227" s="34" t="str">
        <f t="shared" si="56"/>
        <v>Variant allowances</v>
      </c>
      <c r="BD227" s="34" t="str">
        <f t="shared" si="57"/>
        <v>Totex variant allowances allocation percentages</v>
      </c>
    </row>
    <row r="228" spans="5:56" x14ac:dyDescent="0.35">
      <c r="E228" s="193" t="str" cm="1">
        <f t="array" ref="E228">INDEX($E$99:$E$202,INT((ROW()-ROW($E$205))/5)+1)</f>
        <v>PCD_Welling PRS - Full Site Rebuild  (SGN_So) / Full site and system rebuilds PCD (SGN)</v>
      </c>
      <c r="G228" s="33" t="s">
        <v>109</v>
      </c>
      <c r="H228" s="33" t="s">
        <v>171</v>
      </c>
      <c r="AU228" s="140">
        <v>0</v>
      </c>
      <c r="AV228" s="23">
        <v>0</v>
      </c>
      <c r="AW228" s="23">
        <v>0</v>
      </c>
      <c r="AX228" s="23">
        <v>0</v>
      </c>
      <c r="AY228" s="194">
        <v>0</v>
      </c>
      <c r="BA228" s="34" t="str">
        <f t="shared" ca="1" si="54"/>
        <v>Scotland</v>
      </c>
      <c r="BB228" s="34" t="str">
        <f t="shared" si="55"/>
        <v>Fixed Inputs</v>
      </c>
      <c r="BC228" s="34" t="str">
        <f t="shared" si="56"/>
        <v>Variant allowances</v>
      </c>
      <c r="BD228" s="34" t="str">
        <f t="shared" si="57"/>
        <v>Totex variant allowances allocation percentages</v>
      </c>
    </row>
    <row r="229" spans="5:56" x14ac:dyDescent="0.35">
      <c r="E229" s="195" t="str" cm="1">
        <f t="array" ref="E229">INDEX($E$99:$E$202,INT((ROW()-ROW($E$205))/5)+1)</f>
        <v>PCD_Welling PRS - Full Site Rebuild  (SGN_So) / Full site and system rebuilds PCD (SGN)</v>
      </c>
      <c r="F229" s="196"/>
      <c r="G229" s="196" t="s">
        <v>109</v>
      </c>
      <c r="H229" s="196" t="s">
        <v>172</v>
      </c>
      <c r="I229" s="196"/>
      <c r="J229" s="196"/>
      <c r="K229" s="196"/>
      <c r="L229" s="196"/>
      <c r="M229" s="196"/>
      <c r="N229" s="196"/>
      <c r="O229" s="196"/>
      <c r="P229" s="196"/>
      <c r="Q229" s="196"/>
      <c r="R229" s="196"/>
      <c r="S229" s="196"/>
      <c r="T229" s="196"/>
      <c r="U229" s="196"/>
      <c r="V229" s="196"/>
      <c r="W229" s="196"/>
      <c r="X229" s="196"/>
      <c r="Y229" s="196"/>
      <c r="Z229" s="196"/>
      <c r="AA229" s="196"/>
      <c r="AB229" s="196"/>
      <c r="AC229" s="196"/>
      <c r="AD229" s="196"/>
      <c r="AE229" s="196"/>
      <c r="AF229" s="196"/>
      <c r="AG229" s="196"/>
      <c r="AH229" s="196"/>
      <c r="AI229" s="196"/>
      <c r="AJ229" s="196"/>
      <c r="AK229" s="196"/>
      <c r="AL229" s="196"/>
      <c r="AM229" s="196"/>
      <c r="AN229" s="196"/>
      <c r="AO229" s="196"/>
      <c r="AP229" s="196"/>
      <c r="AQ229" s="196"/>
      <c r="AR229" s="196"/>
      <c r="AS229" s="196"/>
      <c r="AT229" s="208"/>
      <c r="AU229" s="198">
        <v>0</v>
      </c>
      <c r="AV229" s="199">
        <v>0</v>
      </c>
      <c r="AW229" s="199">
        <v>0</v>
      </c>
      <c r="AX229" s="199">
        <v>0</v>
      </c>
      <c r="AY229" s="200">
        <v>0</v>
      </c>
      <c r="BA229" s="34" t="str">
        <f t="shared" ca="1" si="54"/>
        <v>Scotland</v>
      </c>
      <c r="BB229" s="34" t="str">
        <f t="shared" si="55"/>
        <v>Fixed Inputs</v>
      </c>
      <c r="BC229" s="34" t="str">
        <f t="shared" si="56"/>
        <v>Variant allowances</v>
      </c>
      <c r="BD229" s="34" t="str">
        <f t="shared" si="57"/>
        <v>Totex variant allowances allocation percentages</v>
      </c>
    </row>
    <row r="230" spans="5:56" x14ac:dyDescent="0.35">
      <c r="E230" s="187" t="str" cm="1">
        <f t="array" ref="E230">INDEX($E$99:$E$202,INT((ROW()-ROW($E$205))/5)+1)</f>
        <v>PCD_London Medium Pressure PCD (Cadent_Lon)</v>
      </c>
      <c r="F230" s="188"/>
      <c r="G230" s="188" t="s">
        <v>109</v>
      </c>
      <c r="H230" s="188" t="s">
        <v>168</v>
      </c>
      <c r="I230" s="188"/>
      <c r="J230" s="188"/>
      <c r="K230" s="188"/>
      <c r="L230" s="188"/>
      <c r="M230" s="188"/>
      <c r="N230" s="188"/>
      <c r="O230" s="188"/>
      <c r="P230" s="188"/>
      <c r="Q230" s="188"/>
      <c r="R230" s="188"/>
      <c r="S230" s="188"/>
      <c r="T230" s="188"/>
      <c r="U230" s="188"/>
      <c r="V230" s="188"/>
      <c r="W230" s="188"/>
      <c r="X230" s="188"/>
      <c r="Y230" s="188"/>
      <c r="Z230" s="188"/>
      <c r="AA230" s="188"/>
      <c r="AB230" s="188"/>
      <c r="AC230" s="188"/>
      <c r="AD230" s="188"/>
      <c r="AE230" s="188"/>
      <c r="AF230" s="188"/>
      <c r="AG230" s="188"/>
      <c r="AH230" s="188"/>
      <c r="AI230" s="188"/>
      <c r="AJ230" s="188"/>
      <c r="AK230" s="188"/>
      <c r="AL230" s="188"/>
      <c r="AM230" s="188"/>
      <c r="AN230" s="188"/>
      <c r="AO230" s="188"/>
      <c r="AP230" s="188"/>
      <c r="AQ230" s="188"/>
      <c r="AR230" s="188"/>
      <c r="AS230" s="188"/>
      <c r="AT230" s="202"/>
      <c r="AU230" s="190">
        <v>0</v>
      </c>
      <c r="AV230" s="191">
        <v>0</v>
      </c>
      <c r="AW230" s="191">
        <v>0</v>
      </c>
      <c r="AX230" s="191">
        <v>0</v>
      </c>
      <c r="AY230" s="192">
        <v>0</v>
      </c>
      <c r="BA230" s="34" t="str">
        <f t="shared" ca="1" si="54"/>
        <v>Scotland</v>
      </c>
      <c r="BB230" s="34" t="str">
        <f t="shared" si="55"/>
        <v>Fixed Inputs</v>
      </c>
      <c r="BC230" s="34" t="str">
        <f t="shared" si="56"/>
        <v>Variant allowances</v>
      </c>
      <c r="BD230" s="34" t="str">
        <f t="shared" si="57"/>
        <v>Totex variant allowances allocation percentages</v>
      </c>
    </row>
    <row r="231" spans="5:56" x14ac:dyDescent="0.35">
      <c r="E231" s="193" t="str" cm="1">
        <f t="array" ref="E231">INDEX($E$99:$E$202,INT((ROW()-ROW($E$205))/5)+1)</f>
        <v>PCD_London Medium Pressure PCD (Cadent_Lon)</v>
      </c>
      <c r="G231" s="33" t="s">
        <v>109</v>
      </c>
      <c r="H231" s="33" t="s">
        <v>169</v>
      </c>
      <c r="AU231" s="140">
        <v>0.25237712677134183</v>
      </c>
      <c r="AV231" s="23">
        <v>0.25237712677134183</v>
      </c>
      <c r="AW231" s="23">
        <v>0.25237712677134183</v>
      </c>
      <c r="AX231" s="23">
        <v>0.25237712677134183</v>
      </c>
      <c r="AY231" s="194">
        <v>0.25237712677134183</v>
      </c>
      <c r="BA231" s="34" t="str">
        <f t="shared" ca="1" si="54"/>
        <v>Scotland</v>
      </c>
      <c r="BB231" s="34" t="str">
        <f t="shared" si="55"/>
        <v>Fixed Inputs</v>
      </c>
      <c r="BC231" s="34" t="str">
        <f t="shared" si="56"/>
        <v>Variant allowances</v>
      </c>
      <c r="BD231" s="34" t="str">
        <f t="shared" si="57"/>
        <v>Totex variant allowances allocation percentages</v>
      </c>
    </row>
    <row r="232" spans="5:56" x14ac:dyDescent="0.35">
      <c r="E232" s="193" t="str" cm="1">
        <f t="array" ref="E232">INDEX($E$99:$E$202,INT((ROW()-ROW($E$205))/5)+1)</f>
        <v>PCD_London Medium Pressure PCD (Cadent_Lon)</v>
      </c>
      <c r="G232" s="33" t="s">
        <v>109</v>
      </c>
      <c r="H232" s="33" t="s">
        <v>170</v>
      </c>
      <c r="AU232" s="140">
        <v>0</v>
      </c>
      <c r="AV232" s="23">
        <v>0</v>
      </c>
      <c r="AW232" s="23">
        <v>0</v>
      </c>
      <c r="AX232" s="23">
        <v>0</v>
      </c>
      <c r="AY232" s="194">
        <v>0</v>
      </c>
      <c r="BA232" s="34" t="str">
        <f t="shared" ca="1" si="54"/>
        <v>Scotland</v>
      </c>
      <c r="BB232" s="34" t="str">
        <f t="shared" si="55"/>
        <v>Fixed Inputs</v>
      </c>
      <c r="BC232" s="34" t="str">
        <f t="shared" si="56"/>
        <v>Variant allowances</v>
      </c>
      <c r="BD232" s="34" t="str">
        <f t="shared" si="57"/>
        <v>Totex variant allowances allocation percentages</v>
      </c>
    </row>
    <row r="233" spans="5:56" x14ac:dyDescent="0.35">
      <c r="E233" s="193" t="str" cm="1">
        <f t="array" ref="E233">INDEX($E$99:$E$202,INT((ROW()-ROW($E$205))/5)+1)</f>
        <v>PCD_London Medium Pressure PCD (Cadent_Lon)</v>
      </c>
      <c r="G233" s="33" t="s">
        <v>109</v>
      </c>
      <c r="H233" s="33" t="s">
        <v>171</v>
      </c>
      <c r="AU233" s="140">
        <v>0</v>
      </c>
      <c r="AV233" s="23">
        <v>0</v>
      </c>
      <c r="AW233" s="23">
        <v>0</v>
      </c>
      <c r="AX233" s="23">
        <v>0</v>
      </c>
      <c r="AY233" s="194">
        <v>0</v>
      </c>
      <c r="BA233" s="34" t="str">
        <f t="shared" ca="1" si="54"/>
        <v>Scotland</v>
      </c>
      <c r="BB233" s="34" t="str">
        <f t="shared" si="55"/>
        <v>Fixed Inputs</v>
      </c>
      <c r="BC233" s="34" t="str">
        <f t="shared" si="56"/>
        <v>Variant allowances</v>
      </c>
      <c r="BD233" s="34" t="str">
        <f t="shared" si="57"/>
        <v>Totex variant allowances allocation percentages</v>
      </c>
    </row>
    <row r="234" spans="5:56" x14ac:dyDescent="0.35">
      <c r="E234" s="195" t="str" cm="1">
        <f t="array" ref="E234">INDEX($E$99:$E$202,INT((ROW()-ROW($E$205))/5)+1)</f>
        <v>PCD_London Medium Pressure PCD (Cadent_Lon)</v>
      </c>
      <c r="F234" s="196"/>
      <c r="G234" s="196" t="s">
        <v>109</v>
      </c>
      <c r="H234" s="196" t="s">
        <v>172</v>
      </c>
      <c r="I234" s="196"/>
      <c r="J234" s="196"/>
      <c r="K234" s="196"/>
      <c r="L234" s="196"/>
      <c r="M234" s="196"/>
      <c r="N234" s="196"/>
      <c r="O234" s="196"/>
      <c r="P234" s="196"/>
      <c r="Q234" s="196"/>
      <c r="R234" s="196"/>
      <c r="S234" s="196"/>
      <c r="T234" s="196"/>
      <c r="U234" s="196"/>
      <c r="V234" s="196"/>
      <c r="W234" s="196"/>
      <c r="X234" s="196"/>
      <c r="Y234" s="196"/>
      <c r="Z234" s="196"/>
      <c r="AA234" s="196"/>
      <c r="AB234" s="196"/>
      <c r="AC234" s="196"/>
      <c r="AD234" s="196"/>
      <c r="AE234" s="196"/>
      <c r="AF234" s="196"/>
      <c r="AG234" s="196"/>
      <c r="AH234" s="196"/>
      <c r="AI234" s="196"/>
      <c r="AJ234" s="196"/>
      <c r="AK234" s="196"/>
      <c r="AL234" s="196"/>
      <c r="AM234" s="196"/>
      <c r="AN234" s="196"/>
      <c r="AO234" s="196"/>
      <c r="AP234" s="196"/>
      <c r="AQ234" s="196"/>
      <c r="AR234" s="196"/>
      <c r="AS234" s="196"/>
      <c r="AT234" s="208"/>
      <c r="AU234" s="198">
        <v>0.74762287322865806</v>
      </c>
      <c r="AV234" s="199">
        <v>0.74762287322865806</v>
      </c>
      <c r="AW234" s="199">
        <v>0.74762287322865806</v>
      </c>
      <c r="AX234" s="199">
        <v>0.74762287322865806</v>
      </c>
      <c r="AY234" s="200">
        <v>0.74762287322865806</v>
      </c>
      <c r="BA234" s="34" t="str">
        <f t="shared" ca="1" si="54"/>
        <v>Scotland</v>
      </c>
      <c r="BB234" s="34" t="str">
        <f t="shared" si="55"/>
        <v>Fixed Inputs</v>
      </c>
      <c r="BC234" s="34" t="str">
        <f t="shared" si="56"/>
        <v>Variant allowances</v>
      </c>
      <c r="BD234" s="34" t="str">
        <f t="shared" si="57"/>
        <v>Totex variant allowances allocation percentages</v>
      </c>
    </row>
    <row r="235" spans="5:56" x14ac:dyDescent="0.35">
      <c r="E235" s="187" t="str" cm="1">
        <f t="array" ref="E235">INDEX($E$99:$E$202,INT((ROW()-ROW($E$205))/5)+1)</f>
        <v>PCD_Tier 1 Mains Decommissioned PCD</v>
      </c>
      <c r="F235" s="188"/>
      <c r="G235" s="188" t="s">
        <v>109</v>
      </c>
      <c r="H235" s="188" t="s">
        <v>168</v>
      </c>
      <c r="I235" s="188"/>
      <c r="J235" s="188"/>
      <c r="K235" s="188"/>
      <c r="L235" s="188"/>
      <c r="M235" s="188"/>
      <c r="N235" s="188"/>
      <c r="O235" s="188"/>
      <c r="P235" s="188"/>
      <c r="Q235" s="188"/>
      <c r="R235" s="188"/>
      <c r="S235" s="188"/>
      <c r="T235" s="188"/>
      <c r="U235" s="188"/>
      <c r="V235" s="188"/>
      <c r="W235" s="188"/>
      <c r="X235" s="188"/>
      <c r="Y235" s="188"/>
      <c r="Z235" s="188"/>
      <c r="AA235" s="188"/>
      <c r="AB235" s="188"/>
      <c r="AC235" s="188"/>
      <c r="AD235" s="188"/>
      <c r="AE235" s="188"/>
      <c r="AF235" s="188"/>
      <c r="AG235" s="188"/>
      <c r="AH235" s="188"/>
      <c r="AI235" s="188"/>
      <c r="AJ235" s="188"/>
      <c r="AK235" s="188"/>
      <c r="AL235" s="188"/>
      <c r="AM235" s="188"/>
      <c r="AN235" s="188"/>
      <c r="AO235" s="188"/>
      <c r="AP235" s="188"/>
      <c r="AQ235" s="188"/>
      <c r="AR235" s="188"/>
      <c r="AS235" s="188"/>
      <c r="AT235" s="202"/>
      <c r="AU235" s="190">
        <v>0</v>
      </c>
      <c r="AV235" s="191">
        <v>0</v>
      </c>
      <c r="AW235" s="191">
        <v>0</v>
      </c>
      <c r="AX235" s="191">
        <v>0</v>
      </c>
      <c r="AY235" s="192">
        <v>0</v>
      </c>
      <c r="BA235" s="34" t="str">
        <f t="shared" ca="1" si="54"/>
        <v>Scotland</v>
      </c>
      <c r="BB235" s="34" t="str">
        <f t="shared" si="55"/>
        <v>Fixed Inputs</v>
      </c>
      <c r="BC235" s="34" t="str">
        <f t="shared" si="56"/>
        <v>Variant allowances</v>
      </c>
      <c r="BD235" s="34" t="str">
        <f t="shared" si="57"/>
        <v>Totex variant allowances allocation percentages</v>
      </c>
    </row>
    <row r="236" spans="5:56" x14ac:dyDescent="0.35">
      <c r="E236" s="193" t="str" cm="1">
        <f t="array" ref="E236">INDEX($E$99:$E$202,INT((ROW()-ROW($E$205))/5)+1)</f>
        <v>PCD_Tier 1 Mains Decommissioned PCD</v>
      </c>
      <c r="G236" s="33" t="s">
        <v>109</v>
      </c>
      <c r="H236" s="33" t="s">
        <v>169</v>
      </c>
      <c r="AU236" s="140">
        <v>0</v>
      </c>
      <c r="AV236" s="23">
        <v>0</v>
      </c>
      <c r="AW236" s="23">
        <v>0</v>
      </c>
      <c r="AX236" s="23">
        <v>0</v>
      </c>
      <c r="AY236" s="194">
        <v>0</v>
      </c>
      <c r="BA236" s="34" t="str">
        <f t="shared" ca="1" si="54"/>
        <v>Scotland</v>
      </c>
      <c r="BB236" s="34" t="str">
        <f t="shared" si="55"/>
        <v>Fixed Inputs</v>
      </c>
      <c r="BC236" s="34" t="str">
        <f t="shared" si="56"/>
        <v>Variant allowances</v>
      </c>
      <c r="BD236" s="34" t="str">
        <f t="shared" si="57"/>
        <v>Totex variant allowances allocation percentages</v>
      </c>
    </row>
    <row r="237" spans="5:56" x14ac:dyDescent="0.35">
      <c r="E237" s="193" t="str" cm="1">
        <f t="array" ref="E237">INDEX($E$99:$E$202,INT((ROW()-ROW($E$205))/5)+1)</f>
        <v>PCD_Tier 1 Mains Decommissioned PCD</v>
      </c>
      <c r="G237" s="33" t="s">
        <v>109</v>
      </c>
      <c r="H237" s="33" t="s">
        <v>170</v>
      </c>
      <c r="AU237" s="140">
        <v>0</v>
      </c>
      <c r="AV237" s="23">
        <v>0</v>
      </c>
      <c r="AW237" s="23">
        <v>0</v>
      </c>
      <c r="AX237" s="23">
        <v>0</v>
      </c>
      <c r="AY237" s="194">
        <v>0</v>
      </c>
      <c r="BA237" s="34" t="str">
        <f t="shared" ca="1" si="54"/>
        <v>Scotland</v>
      </c>
      <c r="BB237" s="34" t="str">
        <f t="shared" si="55"/>
        <v>Fixed Inputs</v>
      </c>
      <c r="BC237" s="34" t="str">
        <f t="shared" si="56"/>
        <v>Variant allowances</v>
      </c>
      <c r="BD237" s="34" t="str">
        <f t="shared" si="57"/>
        <v>Totex variant allowances allocation percentages</v>
      </c>
    </row>
    <row r="238" spans="5:56" x14ac:dyDescent="0.35">
      <c r="E238" s="193" t="str" cm="1">
        <f t="array" ref="E238">INDEX($E$99:$E$202,INT((ROW()-ROW($E$205))/5)+1)</f>
        <v>PCD_Tier 1 Mains Decommissioned PCD</v>
      </c>
      <c r="G238" s="33" t="s">
        <v>109</v>
      </c>
      <c r="H238" s="33" t="s">
        <v>171</v>
      </c>
      <c r="AU238" s="140">
        <v>0</v>
      </c>
      <c r="AV238" s="23">
        <v>0</v>
      </c>
      <c r="AW238" s="23">
        <v>0</v>
      </c>
      <c r="AX238" s="23">
        <v>0</v>
      </c>
      <c r="AY238" s="194">
        <v>0</v>
      </c>
      <c r="BA238" s="34" t="str">
        <f t="shared" ca="1" si="54"/>
        <v>Scotland</v>
      </c>
      <c r="BB238" s="34" t="str">
        <f t="shared" si="55"/>
        <v>Fixed Inputs</v>
      </c>
      <c r="BC238" s="34" t="str">
        <f t="shared" si="56"/>
        <v>Variant allowances</v>
      </c>
      <c r="BD238" s="34" t="str">
        <f t="shared" si="57"/>
        <v>Totex variant allowances allocation percentages</v>
      </c>
    </row>
    <row r="239" spans="5:56" x14ac:dyDescent="0.35">
      <c r="E239" s="195" t="str" cm="1">
        <f t="array" ref="E239">INDEX($E$99:$E$202,INT((ROW()-ROW($E$205))/5)+1)</f>
        <v>PCD_Tier 1 Mains Decommissioned PCD</v>
      </c>
      <c r="F239" s="196"/>
      <c r="G239" s="196" t="s">
        <v>109</v>
      </c>
      <c r="H239" s="196" t="s">
        <v>172</v>
      </c>
      <c r="I239" s="196"/>
      <c r="J239" s="196"/>
      <c r="K239" s="196"/>
      <c r="L239" s="196"/>
      <c r="M239" s="196"/>
      <c r="N239" s="196"/>
      <c r="O239" s="196"/>
      <c r="P239" s="196"/>
      <c r="Q239" s="196"/>
      <c r="R239" s="196"/>
      <c r="S239" s="196"/>
      <c r="T239" s="196"/>
      <c r="U239" s="196"/>
      <c r="V239" s="196"/>
      <c r="W239" s="196"/>
      <c r="X239" s="196"/>
      <c r="Y239" s="196"/>
      <c r="Z239" s="196"/>
      <c r="AA239" s="196"/>
      <c r="AB239" s="196"/>
      <c r="AC239" s="196"/>
      <c r="AD239" s="196"/>
      <c r="AE239" s="196"/>
      <c r="AF239" s="196"/>
      <c r="AG239" s="196"/>
      <c r="AH239" s="196"/>
      <c r="AI239" s="196"/>
      <c r="AJ239" s="196"/>
      <c r="AK239" s="196"/>
      <c r="AL239" s="196"/>
      <c r="AM239" s="196"/>
      <c r="AN239" s="196"/>
      <c r="AO239" s="196"/>
      <c r="AP239" s="196"/>
      <c r="AQ239" s="196"/>
      <c r="AR239" s="196"/>
      <c r="AS239" s="196"/>
      <c r="AT239" s="208"/>
      <c r="AU239" s="198">
        <v>1</v>
      </c>
      <c r="AV239" s="199">
        <v>1</v>
      </c>
      <c r="AW239" s="199">
        <v>1</v>
      </c>
      <c r="AX239" s="199">
        <v>1</v>
      </c>
      <c r="AY239" s="200">
        <v>1</v>
      </c>
      <c r="BA239" s="34" t="str">
        <f t="shared" ca="1" si="54"/>
        <v>Scotland</v>
      </c>
      <c r="BB239" s="34" t="str">
        <f t="shared" si="55"/>
        <v>Fixed Inputs</v>
      </c>
      <c r="BC239" s="34" t="str">
        <f t="shared" si="56"/>
        <v>Variant allowances</v>
      </c>
      <c r="BD239" s="34" t="str">
        <f t="shared" si="57"/>
        <v>Totex variant allowances allocation percentages</v>
      </c>
    </row>
    <row r="240" spans="5:56" x14ac:dyDescent="0.35">
      <c r="E240" s="187" t="str" cm="1">
        <f t="array" ref="E240">INDEX($E$99:$E$202,INT((ROW()-ROW($E$205))/5)+1)</f>
        <v>PCD_Tier 1 Services PCD / Tier 1 Services Repex PCD</v>
      </c>
      <c r="F240" s="188"/>
      <c r="G240" s="188" t="s">
        <v>109</v>
      </c>
      <c r="H240" s="188" t="s">
        <v>168</v>
      </c>
      <c r="I240" s="188"/>
      <c r="J240" s="188"/>
      <c r="K240" s="188"/>
      <c r="L240" s="188"/>
      <c r="M240" s="188"/>
      <c r="N240" s="188"/>
      <c r="O240" s="188"/>
      <c r="P240" s="188"/>
      <c r="Q240" s="188"/>
      <c r="R240" s="188"/>
      <c r="S240" s="188"/>
      <c r="T240" s="188"/>
      <c r="U240" s="188"/>
      <c r="V240" s="188"/>
      <c r="W240" s="188"/>
      <c r="X240" s="188"/>
      <c r="Y240" s="188"/>
      <c r="Z240" s="188"/>
      <c r="AA240" s="188"/>
      <c r="AB240" s="188"/>
      <c r="AC240" s="188"/>
      <c r="AD240" s="188"/>
      <c r="AE240" s="188"/>
      <c r="AF240" s="188"/>
      <c r="AG240" s="188"/>
      <c r="AH240" s="188"/>
      <c r="AI240" s="188"/>
      <c r="AJ240" s="188"/>
      <c r="AK240" s="188"/>
      <c r="AL240" s="188"/>
      <c r="AM240" s="188"/>
      <c r="AN240" s="188"/>
      <c r="AO240" s="188"/>
      <c r="AP240" s="188"/>
      <c r="AQ240" s="188"/>
      <c r="AR240" s="188"/>
      <c r="AS240" s="188"/>
      <c r="AT240" s="202"/>
      <c r="AU240" s="190">
        <v>0</v>
      </c>
      <c r="AV240" s="191">
        <v>0</v>
      </c>
      <c r="AW240" s="191">
        <v>0</v>
      </c>
      <c r="AX240" s="191">
        <v>0</v>
      </c>
      <c r="AY240" s="192">
        <v>0</v>
      </c>
      <c r="BA240" s="34" t="str">
        <f t="shared" ca="1" si="54"/>
        <v>Scotland</v>
      </c>
      <c r="BB240" s="34" t="str">
        <f t="shared" si="55"/>
        <v>Fixed Inputs</v>
      </c>
      <c r="BC240" s="34" t="str">
        <f t="shared" si="56"/>
        <v>Variant allowances</v>
      </c>
      <c r="BD240" s="34" t="str">
        <f t="shared" si="57"/>
        <v>Totex variant allowances allocation percentages</v>
      </c>
    </row>
    <row r="241" spans="5:56" x14ac:dyDescent="0.35">
      <c r="E241" s="193" t="str" cm="1">
        <f t="array" ref="E241">INDEX($E$99:$E$202,INT((ROW()-ROW($E$205))/5)+1)</f>
        <v>PCD_Tier 1 Services PCD / Tier 1 Services Repex PCD</v>
      </c>
      <c r="G241" s="33" t="s">
        <v>109</v>
      </c>
      <c r="H241" s="33" t="s">
        <v>169</v>
      </c>
      <c r="AU241" s="140">
        <v>0</v>
      </c>
      <c r="AV241" s="23">
        <v>0</v>
      </c>
      <c r="AW241" s="23">
        <v>0</v>
      </c>
      <c r="AX241" s="23">
        <v>0</v>
      </c>
      <c r="AY241" s="194">
        <v>0</v>
      </c>
      <c r="BA241" s="34" t="str">
        <f t="shared" ca="1" si="54"/>
        <v>Scotland</v>
      </c>
      <c r="BB241" s="34" t="str">
        <f t="shared" si="55"/>
        <v>Fixed Inputs</v>
      </c>
      <c r="BC241" s="34" t="str">
        <f t="shared" si="56"/>
        <v>Variant allowances</v>
      </c>
      <c r="BD241" s="34" t="str">
        <f t="shared" si="57"/>
        <v>Totex variant allowances allocation percentages</v>
      </c>
    </row>
    <row r="242" spans="5:56" x14ac:dyDescent="0.35">
      <c r="E242" s="193" t="str" cm="1">
        <f t="array" ref="E242">INDEX($E$99:$E$202,INT((ROW()-ROW($E$205))/5)+1)</f>
        <v>PCD_Tier 1 Services PCD / Tier 1 Services Repex PCD</v>
      </c>
      <c r="G242" s="33" t="s">
        <v>109</v>
      </c>
      <c r="H242" s="33" t="s">
        <v>170</v>
      </c>
      <c r="AU242" s="140">
        <v>0</v>
      </c>
      <c r="AV242" s="23">
        <v>0</v>
      </c>
      <c r="AW242" s="23">
        <v>0</v>
      </c>
      <c r="AX242" s="23">
        <v>0</v>
      </c>
      <c r="AY242" s="194">
        <v>0</v>
      </c>
      <c r="BA242" s="34" t="str">
        <f t="shared" ca="1" si="54"/>
        <v>Scotland</v>
      </c>
      <c r="BB242" s="34" t="str">
        <f t="shared" si="55"/>
        <v>Fixed Inputs</v>
      </c>
      <c r="BC242" s="34" t="str">
        <f t="shared" si="56"/>
        <v>Variant allowances</v>
      </c>
      <c r="BD242" s="34" t="str">
        <f t="shared" si="57"/>
        <v>Totex variant allowances allocation percentages</v>
      </c>
    </row>
    <row r="243" spans="5:56" x14ac:dyDescent="0.35">
      <c r="E243" s="193" t="str" cm="1">
        <f t="array" ref="E243">INDEX($E$99:$E$202,INT((ROW()-ROW($E$205))/5)+1)</f>
        <v>PCD_Tier 1 Services PCD / Tier 1 Services Repex PCD</v>
      </c>
      <c r="G243" s="33" t="s">
        <v>109</v>
      </c>
      <c r="H243" s="33" t="s">
        <v>171</v>
      </c>
      <c r="AU243" s="140">
        <v>0</v>
      </c>
      <c r="AV243" s="23">
        <v>0</v>
      </c>
      <c r="AW243" s="23">
        <v>0</v>
      </c>
      <c r="AX243" s="23">
        <v>0</v>
      </c>
      <c r="AY243" s="194">
        <v>0</v>
      </c>
      <c r="BA243" s="34" t="str">
        <f t="shared" ca="1" si="54"/>
        <v>Scotland</v>
      </c>
      <c r="BB243" s="34" t="str">
        <f t="shared" si="55"/>
        <v>Fixed Inputs</v>
      </c>
      <c r="BC243" s="34" t="str">
        <f t="shared" si="56"/>
        <v>Variant allowances</v>
      </c>
      <c r="BD243" s="34" t="str">
        <f t="shared" si="57"/>
        <v>Totex variant allowances allocation percentages</v>
      </c>
    </row>
    <row r="244" spans="5:56" x14ac:dyDescent="0.35">
      <c r="E244" s="195" t="str" cm="1">
        <f t="array" ref="E244">INDEX($E$99:$E$202,INT((ROW()-ROW($E$205))/5)+1)</f>
        <v>PCD_Tier 1 Services PCD / Tier 1 Services Repex PCD</v>
      </c>
      <c r="F244" s="196"/>
      <c r="G244" s="196" t="s">
        <v>109</v>
      </c>
      <c r="H244" s="196" t="s">
        <v>172</v>
      </c>
      <c r="I244" s="196"/>
      <c r="J244" s="196"/>
      <c r="K244" s="196"/>
      <c r="L244" s="196"/>
      <c r="M244" s="196"/>
      <c r="N244" s="196"/>
      <c r="O244" s="196"/>
      <c r="P244" s="196"/>
      <c r="Q244" s="196"/>
      <c r="R244" s="196"/>
      <c r="S244" s="196"/>
      <c r="T244" s="196"/>
      <c r="U244" s="196"/>
      <c r="V244" s="196"/>
      <c r="W244" s="196"/>
      <c r="X244" s="196"/>
      <c r="Y244" s="196"/>
      <c r="Z244" s="196"/>
      <c r="AA244" s="196"/>
      <c r="AB244" s="196"/>
      <c r="AC244" s="196"/>
      <c r="AD244" s="196"/>
      <c r="AE244" s="196"/>
      <c r="AF244" s="196"/>
      <c r="AG244" s="196"/>
      <c r="AH244" s="196"/>
      <c r="AI244" s="196"/>
      <c r="AJ244" s="196"/>
      <c r="AK244" s="196"/>
      <c r="AL244" s="196"/>
      <c r="AM244" s="196"/>
      <c r="AN244" s="196"/>
      <c r="AO244" s="196"/>
      <c r="AP244" s="196"/>
      <c r="AQ244" s="196"/>
      <c r="AR244" s="196"/>
      <c r="AS244" s="196"/>
      <c r="AT244" s="208"/>
      <c r="AU244" s="198">
        <v>1</v>
      </c>
      <c r="AV244" s="199">
        <v>1</v>
      </c>
      <c r="AW244" s="199">
        <v>1</v>
      </c>
      <c r="AX244" s="199">
        <v>1</v>
      </c>
      <c r="AY244" s="200">
        <v>1</v>
      </c>
      <c r="BA244" s="34" t="str">
        <f t="shared" ca="1" si="54"/>
        <v>Scotland</v>
      </c>
      <c r="BB244" s="34" t="str">
        <f t="shared" si="55"/>
        <v>Fixed Inputs</v>
      </c>
      <c r="BC244" s="34" t="str">
        <f t="shared" si="56"/>
        <v>Variant allowances</v>
      </c>
      <c r="BD244" s="34" t="str">
        <f t="shared" si="57"/>
        <v>Totex variant allowances allocation percentages</v>
      </c>
    </row>
    <row r="245" spans="5:56" x14ac:dyDescent="0.35">
      <c r="E245" s="187" t="str" cm="1">
        <f t="array" ref="E245">INDEX($E$99:$E$202,INT((ROW()-ROW($E$205))/5)+1)</f>
        <v>PCD_Tinsley viaduct diversion (Cadent_EoE)</v>
      </c>
      <c r="F245" s="188"/>
      <c r="G245" s="188" t="s">
        <v>109</v>
      </c>
      <c r="H245" s="188" t="s">
        <v>168</v>
      </c>
      <c r="I245" s="188"/>
      <c r="J245" s="188"/>
      <c r="K245" s="188"/>
      <c r="L245" s="188"/>
      <c r="M245" s="188"/>
      <c r="N245" s="188"/>
      <c r="O245" s="188"/>
      <c r="P245" s="188"/>
      <c r="Q245" s="188"/>
      <c r="R245" s="188"/>
      <c r="S245" s="188"/>
      <c r="T245" s="188"/>
      <c r="U245" s="188"/>
      <c r="V245" s="188"/>
      <c r="W245" s="188"/>
      <c r="X245" s="188"/>
      <c r="Y245" s="188"/>
      <c r="Z245" s="188"/>
      <c r="AA245" s="188"/>
      <c r="AB245" s="188"/>
      <c r="AC245" s="188"/>
      <c r="AD245" s="188"/>
      <c r="AE245" s="188"/>
      <c r="AF245" s="188"/>
      <c r="AG245" s="188"/>
      <c r="AH245" s="188"/>
      <c r="AI245" s="188"/>
      <c r="AJ245" s="188"/>
      <c r="AK245" s="188"/>
      <c r="AL245" s="188"/>
      <c r="AM245" s="188"/>
      <c r="AN245" s="188"/>
      <c r="AO245" s="188"/>
      <c r="AP245" s="188"/>
      <c r="AQ245" s="188"/>
      <c r="AR245" s="188"/>
      <c r="AS245" s="188"/>
      <c r="AT245" s="202"/>
      <c r="AU245" s="190">
        <v>0</v>
      </c>
      <c r="AV245" s="191">
        <v>0</v>
      </c>
      <c r="AW245" s="191">
        <v>0</v>
      </c>
      <c r="AX245" s="191">
        <v>0</v>
      </c>
      <c r="AY245" s="192">
        <v>0</v>
      </c>
      <c r="BA245" s="34" t="str">
        <f t="shared" ca="1" si="54"/>
        <v>Scotland</v>
      </c>
      <c r="BB245" s="34" t="str">
        <f t="shared" si="55"/>
        <v>Fixed Inputs</v>
      </c>
      <c r="BC245" s="34" t="str">
        <f t="shared" si="56"/>
        <v>Variant allowances</v>
      </c>
      <c r="BD245" s="34" t="str">
        <f t="shared" si="57"/>
        <v>Totex variant allowances allocation percentages</v>
      </c>
    </row>
    <row r="246" spans="5:56" x14ac:dyDescent="0.35">
      <c r="E246" s="193" t="str" cm="1">
        <f t="array" ref="E246">INDEX($E$99:$E$202,INT((ROW()-ROW($E$205))/5)+1)</f>
        <v>PCD_Tinsley viaduct diversion (Cadent_EoE)</v>
      </c>
      <c r="G246" s="33" t="s">
        <v>109</v>
      </c>
      <c r="H246" s="33" t="s">
        <v>169</v>
      </c>
      <c r="AU246" s="140">
        <v>1</v>
      </c>
      <c r="AV246" s="23">
        <v>1</v>
      </c>
      <c r="AW246" s="23">
        <v>1</v>
      </c>
      <c r="AX246" s="23">
        <v>1</v>
      </c>
      <c r="AY246" s="194">
        <v>1</v>
      </c>
      <c r="BA246" s="34" t="str">
        <f t="shared" ca="1" si="54"/>
        <v>Scotland</v>
      </c>
      <c r="BB246" s="34" t="str">
        <f t="shared" si="55"/>
        <v>Fixed Inputs</v>
      </c>
      <c r="BC246" s="34" t="str">
        <f t="shared" si="56"/>
        <v>Variant allowances</v>
      </c>
      <c r="BD246" s="34" t="str">
        <f t="shared" si="57"/>
        <v>Totex variant allowances allocation percentages</v>
      </c>
    </row>
    <row r="247" spans="5:56" x14ac:dyDescent="0.35">
      <c r="E247" s="193" t="str" cm="1">
        <f t="array" ref="E247">INDEX($E$99:$E$202,INT((ROW()-ROW($E$205))/5)+1)</f>
        <v>PCD_Tinsley viaduct diversion (Cadent_EoE)</v>
      </c>
      <c r="G247" s="33" t="s">
        <v>109</v>
      </c>
      <c r="H247" s="33" t="s">
        <v>170</v>
      </c>
      <c r="AU247" s="140">
        <v>0</v>
      </c>
      <c r="AV247" s="23">
        <v>0</v>
      </c>
      <c r="AW247" s="23">
        <v>0</v>
      </c>
      <c r="AX247" s="23">
        <v>0</v>
      </c>
      <c r="AY247" s="194">
        <v>0</v>
      </c>
      <c r="BA247" s="34" t="str">
        <f t="shared" ca="1" si="54"/>
        <v>Scotland</v>
      </c>
      <c r="BB247" s="34" t="str">
        <f t="shared" si="55"/>
        <v>Fixed Inputs</v>
      </c>
      <c r="BC247" s="34" t="str">
        <f t="shared" si="56"/>
        <v>Variant allowances</v>
      </c>
      <c r="BD247" s="34" t="str">
        <f t="shared" si="57"/>
        <v>Totex variant allowances allocation percentages</v>
      </c>
    </row>
    <row r="248" spans="5:56" x14ac:dyDescent="0.35">
      <c r="E248" s="193" t="str" cm="1">
        <f t="array" ref="E248">INDEX($E$99:$E$202,INT((ROW()-ROW($E$205))/5)+1)</f>
        <v>PCD_Tinsley viaduct diversion (Cadent_EoE)</v>
      </c>
      <c r="G248" s="33" t="s">
        <v>109</v>
      </c>
      <c r="H248" s="33" t="s">
        <v>171</v>
      </c>
      <c r="AU248" s="140">
        <v>0</v>
      </c>
      <c r="AV248" s="23">
        <v>0</v>
      </c>
      <c r="AW248" s="23">
        <v>0</v>
      </c>
      <c r="AX248" s="23">
        <v>0</v>
      </c>
      <c r="AY248" s="194">
        <v>0</v>
      </c>
      <c r="BA248" s="34" t="str">
        <f t="shared" ca="1" si="54"/>
        <v>Scotland</v>
      </c>
      <c r="BB248" s="34" t="str">
        <f t="shared" si="55"/>
        <v>Fixed Inputs</v>
      </c>
      <c r="BC248" s="34" t="str">
        <f t="shared" si="56"/>
        <v>Variant allowances</v>
      </c>
      <c r="BD248" s="34" t="str">
        <f t="shared" si="57"/>
        <v>Totex variant allowances allocation percentages</v>
      </c>
    </row>
    <row r="249" spans="5:56" x14ac:dyDescent="0.35">
      <c r="E249" s="195" t="str" cm="1">
        <f t="array" ref="E249">INDEX($E$99:$E$202,INT((ROW()-ROW($E$205))/5)+1)</f>
        <v>PCD_Tinsley viaduct diversion (Cadent_EoE)</v>
      </c>
      <c r="F249" s="196"/>
      <c r="G249" s="196" t="s">
        <v>109</v>
      </c>
      <c r="H249" s="196" t="s">
        <v>172</v>
      </c>
      <c r="I249" s="196"/>
      <c r="J249" s="196"/>
      <c r="K249" s="196"/>
      <c r="L249" s="196"/>
      <c r="M249" s="196"/>
      <c r="N249" s="196"/>
      <c r="O249" s="196"/>
      <c r="P249" s="196"/>
      <c r="Q249" s="196"/>
      <c r="R249" s="196"/>
      <c r="S249" s="196"/>
      <c r="T249" s="196"/>
      <c r="U249" s="196"/>
      <c r="V249" s="196"/>
      <c r="W249" s="196"/>
      <c r="X249" s="196"/>
      <c r="Y249" s="196"/>
      <c r="Z249" s="196"/>
      <c r="AA249" s="196"/>
      <c r="AB249" s="196"/>
      <c r="AC249" s="196"/>
      <c r="AD249" s="196"/>
      <c r="AE249" s="196"/>
      <c r="AF249" s="196"/>
      <c r="AG249" s="196"/>
      <c r="AH249" s="196"/>
      <c r="AI249" s="196"/>
      <c r="AJ249" s="196"/>
      <c r="AK249" s="196"/>
      <c r="AL249" s="196"/>
      <c r="AM249" s="196"/>
      <c r="AN249" s="196"/>
      <c r="AO249" s="196"/>
      <c r="AP249" s="196"/>
      <c r="AQ249" s="196"/>
      <c r="AR249" s="196"/>
      <c r="AS249" s="196"/>
      <c r="AT249" s="208"/>
      <c r="AU249" s="198">
        <v>0</v>
      </c>
      <c r="AV249" s="199">
        <v>0</v>
      </c>
      <c r="AW249" s="199">
        <v>0</v>
      </c>
      <c r="AX249" s="199">
        <v>0</v>
      </c>
      <c r="AY249" s="200">
        <v>0</v>
      </c>
      <c r="BA249" s="34" t="str">
        <f t="shared" ca="1" si="54"/>
        <v>Scotland</v>
      </c>
      <c r="BB249" s="34" t="str">
        <f t="shared" si="55"/>
        <v>Fixed Inputs</v>
      </c>
      <c r="BC249" s="34" t="str">
        <f t="shared" si="56"/>
        <v>Variant allowances</v>
      </c>
      <c r="BD249" s="34" t="str">
        <f t="shared" si="57"/>
        <v>Totex variant allowances allocation percentages</v>
      </c>
    </row>
    <row r="250" spans="5:56" x14ac:dyDescent="0.35">
      <c r="E250" s="187" t="str" cm="1">
        <f t="array" ref="E250">INDEX($E$99:$E$202,INT((ROW()-ROW($E$205))/5)+1)</f>
        <v>PCD_Iron Stubs / Tier 1 Stubs decommissioning PCD</v>
      </c>
      <c r="F250" s="188"/>
      <c r="G250" s="188" t="s">
        <v>109</v>
      </c>
      <c r="H250" s="188" t="s">
        <v>168</v>
      </c>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202"/>
      <c r="AU250" s="190">
        <v>0</v>
      </c>
      <c r="AV250" s="191">
        <v>0</v>
      </c>
      <c r="AW250" s="191">
        <v>0</v>
      </c>
      <c r="AX250" s="191">
        <v>0</v>
      </c>
      <c r="AY250" s="192">
        <v>0</v>
      </c>
      <c r="BA250" s="34" t="str">
        <f t="shared" ca="1" si="54"/>
        <v>Scotland</v>
      </c>
      <c r="BB250" s="34" t="str">
        <f t="shared" si="55"/>
        <v>Fixed Inputs</v>
      </c>
      <c r="BC250" s="34" t="str">
        <f t="shared" si="56"/>
        <v>Variant allowances</v>
      </c>
      <c r="BD250" s="34" t="str">
        <f t="shared" si="57"/>
        <v>Totex variant allowances allocation percentages</v>
      </c>
    </row>
    <row r="251" spans="5:56" x14ac:dyDescent="0.35">
      <c r="E251" s="193" t="str" cm="1">
        <f t="array" ref="E251">INDEX($E$99:$E$202,INT((ROW()-ROW($E$205))/5)+1)</f>
        <v>PCD_Iron Stubs / Tier 1 Stubs decommissioning PCD</v>
      </c>
      <c r="G251" s="33" t="s">
        <v>109</v>
      </c>
      <c r="H251" s="33" t="s">
        <v>169</v>
      </c>
      <c r="AU251" s="140">
        <v>0</v>
      </c>
      <c r="AV251" s="23">
        <v>0</v>
      </c>
      <c r="AW251" s="23">
        <v>0</v>
      </c>
      <c r="AX251" s="23">
        <v>0</v>
      </c>
      <c r="AY251" s="194">
        <v>0</v>
      </c>
      <c r="BA251" s="34" t="str">
        <f t="shared" ca="1" si="54"/>
        <v>Scotland</v>
      </c>
      <c r="BB251" s="34" t="str">
        <f t="shared" si="55"/>
        <v>Fixed Inputs</v>
      </c>
      <c r="BC251" s="34" t="str">
        <f t="shared" si="56"/>
        <v>Variant allowances</v>
      </c>
      <c r="BD251" s="34" t="str">
        <f t="shared" si="57"/>
        <v>Totex variant allowances allocation percentages</v>
      </c>
    </row>
    <row r="252" spans="5:56" x14ac:dyDescent="0.35">
      <c r="E252" s="193" t="str" cm="1">
        <f t="array" ref="E252">INDEX($E$99:$E$202,INT((ROW()-ROW($E$205))/5)+1)</f>
        <v>PCD_Iron Stubs / Tier 1 Stubs decommissioning PCD</v>
      </c>
      <c r="G252" s="33" t="s">
        <v>109</v>
      </c>
      <c r="H252" s="33" t="s">
        <v>170</v>
      </c>
      <c r="AU252" s="140">
        <v>0</v>
      </c>
      <c r="AV252" s="23">
        <v>0</v>
      </c>
      <c r="AW252" s="23">
        <v>0</v>
      </c>
      <c r="AX252" s="23">
        <v>0</v>
      </c>
      <c r="AY252" s="194">
        <v>0</v>
      </c>
      <c r="BA252" s="34" t="str">
        <f t="shared" ca="1" si="54"/>
        <v>Scotland</v>
      </c>
      <c r="BB252" s="34" t="str">
        <f t="shared" si="55"/>
        <v>Fixed Inputs</v>
      </c>
      <c r="BC252" s="34" t="str">
        <f t="shared" si="56"/>
        <v>Variant allowances</v>
      </c>
      <c r="BD252" s="34" t="str">
        <f t="shared" si="57"/>
        <v>Totex variant allowances allocation percentages</v>
      </c>
    </row>
    <row r="253" spans="5:56" x14ac:dyDescent="0.35">
      <c r="E253" s="193" t="str" cm="1">
        <f t="array" ref="E253">INDEX($E$99:$E$202,INT((ROW()-ROW($E$205))/5)+1)</f>
        <v>PCD_Iron Stubs / Tier 1 Stubs decommissioning PCD</v>
      </c>
      <c r="G253" s="33" t="s">
        <v>109</v>
      </c>
      <c r="H253" s="33" t="s">
        <v>171</v>
      </c>
      <c r="AU253" s="140">
        <v>0</v>
      </c>
      <c r="AV253" s="23">
        <v>0</v>
      </c>
      <c r="AW253" s="23">
        <v>0</v>
      </c>
      <c r="AX253" s="23">
        <v>0</v>
      </c>
      <c r="AY253" s="194">
        <v>0</v>
      </c>
      <c r="BA253" s="34" t="str">
        <f t="shared" ca="1" si="54"/>
        <v>Scotland</v>
      </c>
      <c r="BB253" s="34" t="str">
        <f t="shared" si="55"/>
        <v>Fixed Inputs</v>
      </c>
      <c r="BC253" s="34" t="str">
        <f t="shared" si="56"/>
        <v>Variant allowances</v>
      </c>
      <c r="BD253" s="34" t="str">
        <f t="shared" si="57"/>
        <v>Totex variant allowances allocation percentages</v>
      </c>
    </row>
    <row r="254" spans="5:56" x14ac:dyDescent="0.35">
      <c r="E254" s="195" t="str" cm="1">
        <f t="array" ref="E254">INDEX($E$99:$E$202,INT((ROW()-ROW($E$205))/5)+1)</f>
        <v>PCD_Iron Stubs / Tier 1 Stubs decommissioning PCD</v>
      </c>
      <c r="F254" s="196"/>
      <c r="G254" s="196" t="s">
        <v>109</v>
      </c>
      <c r="H254" s="196" t="s">
        <v>172</v>
      </c>
      <c r="I254" s="196"/>
      <c r="J254" s="196"/>
      <c r="K254" s="196"/>
      <c r="L254" s="196"/>
      <c r="M254" s="196"/>
      <c r="N254" s="196"/>
      <c r="O254" s="196"/>
      <c r="P254" s="196"/>
      <c r="Q254" s="196"/>
      <c r="R254" s="196"/>
      <c r="S254" s="196"/>
      <c r="T254" s="196"/>
      <c r="U254" s="196"/>
      <c r="V254" s="196"/>
      <c r="W254" s="196"/>
      <c r="X254" s="196"/>
      <c r="Y254" s="196"/>
      <c r="Z254" s="196"/>
      <c r="AA254" s="196"/>
      <c r="AB254" s="196"/>
      <c r="AC254" s="196"/>
      <c r="AD254" s="196"/>
      <c r="AE254" s="196"/>
      <c r="AF254" s="196"/>
      <c r="AG254" s="196"/>
      <c r="AH254" s="196"/>
      <c r="AI254" s="196"/>
      <c r="AJ254" s="196"/>
      <c r="AK254" s="196"/>
      <c r="AL254" s="196"/>
      <c r="AM254" s="196"/>
      <c r="AN254" s="196"/>
      <c r="AO254" s="196"/>
      <c r="AP254" s="196"/>
      <c r="AQ254" s="196"/>
      <c r="AR254" s="196"/>
      <c r="AS254" s="196"/>
      <c r="AT254" s="208"/>
      <c r="AU254" s="198">
        <v>1</v>
      </c>
      <c r="AV254" s="199">
        <v>1</v>
      </c>
      <c r="AW254" s="199">
        <v>1</v>
      </c>
      <c r="AX254" s="199">
        <v>1</v>
      </c>
      <c r="AY254" s="200">
        <v>1</v>
      </c>
      <c r="BA254" s="34" t="str">
        <f t="shared" ca="1" si="54"/>
        <v>Scotland</v>
      </c>
      <c r="BB254" s="34" t="str">
        <f t="shared" si="55"/>
        <v>Fixed Inputs</v>
      </c>
      <c r="BC254" s="34" t="str">
        <f t="shared" si="56"/>
        <v>Variant allowances</v>
      </c>
      <c r="BD254" s="34" t="str">
        <f t="shared" si="57"/>
        <v>Totex variant allowances allocation percentages</v>
      </c>
    </row>
    <row r="255" spans="5:56" x14ac:dyDescent="0.35">
      <c r="E255" s="187" t="str" cm="1">
        <f t="array" ref="E255">INDEX($E$99:$E$202,INT((ROW()-ROW($E$205))/5)+1)</f>
        <v>PCD_Full Site and System Rebuilds (SGN_all)</v>
      </c>
      <c r="F255" s="188"/>
      <c r="G255" s="188" t="s">
        <v>109</v>
      </c>
      <c r="H255" s="188" t="s">
        <v>168</v>
      </c>
      <c r="I255" s="188"/>
      <c r="J255" s="188"/>
      <c r="K255" s="188"/>
      <c r="L255" s="188"/>
      <c r="M255" s="188"/>
      <c r="N255" s="188"/>
      <c r="O255" s="188"/>
      <c r="P255" s="188"/>
      <c r="Q255" s="188"/>
      <c r="R255" s="188"/>
      <c r="S255" s="188"/>
      <c r="T255" s="188"/>
      <c r="U255" s="188"/>
      <c r="V255" s="188"/>
      <c r="W255" s="188"/>
      <c r="X255" s="188"/>
      <c r="Y255" s="188"/>
      <c r="Z255" s="188"/>
      <c r="AA255" s="188"/>
      <c r="AB255" s="188"/>
      <c r="AC255" s="188"/>
      <c r="AD255" s="188"/>
      <c r="AE255" s="188"/>
      <c r="AF255" s="188"/>
      <c r="AG255" s="188"/>
      <c r="AH255" s="188"/>
      <c r="AI255" s="188"/>
      <c r="AJ255" s="188"/>
      <c r="AK255" s="188"/>
      <c r="AL255" s="188"/>
      <c r="AM255" s="188"/>
      <c r="AN255" s="188"/>
      <c r="AO255" s="188"/>
      <c r="AP255" s="188"/>
      <c r="AQ255" s="188"/>
      <c r="AR255" s="188"/>
      <c r="AS255" s="188"/>
      <c r="AT255" s="202"/>
      <c r="AU255" s="190">
        <v>0</v>
      </c>
      <c r="AV255" s="191">
        <v>0</v>
      </c>
      <c r="AW255" s="191">
        <v>0</v>
      </c>
      <c r="AX255" s="191">
        <v>0</v>
      </c>
      <c r="AY255" s="192">
        <v>0</v>
      </c>
      <c r="BA255" s="34" t="str">
        <f t="shared" ca="1" si="54"/>
        <v>Scotland</v>
      </c>
      <c r="BB255" s="34" t="str">
        <f t="shared" si="55"/>
        <v>Fixed Inputs</v>
      </c>
      <c r="BC255" s="34" t="str">
        <f t="shared" si="56"/>
        <v>Variant allowances</v>
      </c>
      <c r="BD255" s="34" t="str">
        <f t="shared" si="57"/>
        <v>Totex variant allowances allocation percentages</v>
      </c>
    </row>
    <row r="256" spans="5:56" x14ac:dyDescent="0.35">
      <c r="E256" s="193" t="str" cm="1">
        <f t="array" ref="E256">INDEX($E$99:$E$202,INT((ROW()-ROW($E$205))/5)+1)</f>
        <v>PCD_Full Site and System Rebuilds (SGN_all)</v>
      </c>
      <c r="G256" s="33" t="s">
        <v>109</v>
      </c>
      <c r="H256" s="33" t="s">
        <v>169</v>
      </c>
      <c r="AU256" s="140">
        <v>1</v>
      </c>
      <c r="AV256" s="23">
        <v>1</v>
      </c>
      <c r="AW256" s="23">
        <v>1</v>
      </c>
      <c r="AX256" s="23">
        <v>1</v>
      </c>
      <c r="AY256" s="194">
        <v>1</v>
      </c>
      <c r="BA256" s="34" t="str">
        <f t="shared" ca="1" si="54"/>
        <v>Scotland</v>
      </c>
      <c r="BB256" s="34" t="str">
        <f t="shared" si="55"/>
        <v>Fixed Inputs</v>
      </c>
      <c r="BC256" s="34" t="str">
        <f t="shared" si="56"/>
        <v>Variant allowances</v>
      </c>
      <c r="BD256" s="34" t="str">
        <f t="shared" si="57"/>
        <v>Totex variant allowances allocation percentages</v>
      </c>
    </row>
    <row r="257" spans="5:56" x14ac:dyDescent="0.35">
      <c r="E257" s="193" t="str" cm="1">
        <f t="array" ref="E257">INDEX($E$99:$E$202,INT((ROW()-ROW($E$205))/5)+1)</f>
        <v>PCD_Full Site and System Rebuilds (SGN_all)</v>
      </c>
      <c r="G257" s="33" t="s">
        <v>109</v>
      </c>
      <c r="H257" s="33" t="s">
        <v>170</v>
      </c>
      <c r="AU257" s="140">
        <v>0</v>
      </c>
      <c r="AV257" s="23">
        <v>0</v>
      </c>
      <c r="AW257" s="23">
        <v>0</v>
      </c>
      <c r="AX257" s="23">
        <v>0</v>
      </c>
      <c r="AY257" s="194">
        <v>0</v>
      </c>
      <c r="BA257" s="34" t="str">
        <f t="shared" ca="1" si="54"/>
        <v>Scotland</v>
      </c>
      <c r="BB257" s="34" t="str">
        <f t="shared" si="55"/>
        <v>Fixed Inputs</v>
      </c>
      <c r="BC257" s="34" t="str">
        <f t="shared" si="56"/>
        <v>Variant allowances</v>
      </c>
      <c r="BD257" s="34" t="str">
        <f t="shared" si="57"/>
        <v>Totex variant allowances allocation percentages</v>
      </c>
    </row>
    <row r="258" spans="5:56" x14ac:dyDescent="0.35">
      <c r="E258" s="193" t="str" cm="1">
        <f t="array" ref="E258">INDEX($E$99:$E$202,INT((ROW()-ROW($E$205))/5)+1)</f>
        <v>PCD_Full Site and System Rebuilds (SGN_all)</v>
      </c>
      <c r="G258" s="33" t="s">
        <v>109</v>
      </c>
      <c r="H258" s="33" t="s">
        <v>171</v>
      </c>
      <c r="AU258" s="140">
        <v>0</v>
      </c>
      <c r="AV258" s="23">
        <v>0</v>
      </c>
      <c r="AW258" s="23">
        <v>0</v>
      </c>
      <c r="AX258" s="23">
        <v>0</v>
      </c>
      <c r="AY258" s="194">
        <v>0</v>
      </c>
      <c r="BA258" s="34" t="str">
        <f t="shared" ca="1" si="54"/>
        <v>Scotland</v>
      </c>
      <c r="BB258" s="34" t="str">
        <f t="shared" si="55"/>
        <v>Fixed Inputs</v>
      </c>
      <c r="BC258" s="34" t="str">
        <f t="shared" si="56"/>
        <v>Variant allowances</v>
      </c>
      <c r="BD258" s="34" t="str">
        <f t="shared" si="57"/>
        <v>Totex variant allowances allocation percentages</v>
      </c>
    </row>
    <row r="259" spans="5:56" x14ac:dyDescent="0.35">
      <c r="E259" s="195" t="str" cm="1">
        <f t="array" ref="E259">INDEX($E$99:$E$202,INT((ROW()-ROW($E$205))/5)+1)</f>
        <v>PCD_Full Site and System Rebuilds (SGN_all)</v>
      </c>
      <c r="F259" s="196"/>
      <c r="G259" s="196" t="s">
        <v>109</v>
      </c>
      <c r="H259" s="196" t="s">
        <v>172</v>
      </c>
      <c r="I259" s="196"/>
      <c r="J259" s="196"/>
      <c r="K259" s="196"/>
      <c r="L259" s="196"/>
      <c r="M259" s="196"/>
      <c r="N259" s="196"/>
      <c r="O259" s="196"/>
      <c r="P259" s="196"/>
      <c r="Q259" s="196"/>
      <c r="R259" s="196"/>
      <c r="S259" s="196"/>
      <c r="T259" s="196"/>
      <c r="U259" s="196"/>
      <c r="V259" s="196"/>
      <c r="W259" s="196"/>
      <c r="X259" s="196"/>
      <c r="Y259" s="196"/>
      <c r="Z259" s="196"/>
      <c r="AA259" s="196"/>
      <c r="AB259" s="196"/>
      <c r="AC259" s="196"/>
      <c r="AD259" s="196"/>
      <c r="AE259" s="196"/>
      <c r="AF259" s="196"/>
      <c r="AG259" s="196"/>
      <c r="AH259" s="196"/>
      <c r="AI259" s="196"/>
      <c r="AJ259" s="196"/>
      <c r="AK259" s="196"/>
      <c r="AL259" s="196"/>
      <c r="AM259" s="196"/>
      <c r="AN259" s="196"/>
      <c r="AO259" s="196"/>
      <c r="AP259" s="196"/>
      <c r="AQ259" s="196"/>
      <c r="AR259" s="196"/>
      <c r="AS259" s="196"/>
      <c r="AT259" s="208"/>
      <c r="AU259" s="198">
        <v>0</v>
      </c>
      <c r="AV259" s="199">
        <v>0</v>
      </c>
      <c r="AW259" s="199">
        <v>0</v>
      </c>
      <c r="AX259" s="199">
        <v>0</v>
      </c>
      <c r="AY259" s="200">
        <v>0</v>
      </c>
      <c r="BA259" s="34" t="str">
        <f t="shared" ca="1" si="54"/>
        <v>Scotland</v>
      </c>
      <c r="BB259" s="34" t="str">
        <f t="shared" si="55"/>
        <v>Fixed Inputs</v>
      </c>
      <c r="BC259" s="34" t="str">
        <f t="shared" si="56"/>
        <v>Variant allowances</v>
      </c>
      <c r="BD259" s="34" t="str">
        <f t="shared" si="57"/>
        <v>Totex variant allowances allocation percentages</v>
      </c>
    </row>
    <row r="260" spans="5:56" x14ac:dyDescent="0.35">
      <c r="E260" s="187" t="str" cm="1">
        <f t="array" ref="E260">INDEX($E$99:$E$202,INT((ROW()-ROW($E$205))/5)+1)</f>
        <v>PCD_Glenmavis (Offtake) (SGN_Sc) / Full site and system rebuilds PCD (SGN)</v>
      </c>
      <c r="F260" s="188"/>
      <c r="G260" s="188" t="s">
        <v>109</v>
      </c>
      <c r="H260" s="188" t="s">
        <v>168</v>
      </c>
      <c r="I260" s="188"/>
      <c r="J260" s="188"/>
      <c r="K260" s="188"/>
      <c r="L260" s="188"/>
      <c r="M260" s="188"/>
      <c r="N260" s="188"/>
      <c r="O260" s="188"/>
      <c r="P260" s="188"/>
      <c r="Q260" s="188"/>
      <c r="R260" s="188"/>
      <c r="S260" s="188"/>
      <c r="T260" s="188"/>
      <c r="U260" s="188"/>
      <c r="V260" s="188"/>
      <c r="W260" s="188"/>
      <c r="X260" s="188"/>
      <c r="Y260" s="188"/>
      <c r="Z260" s="188"/>
      <c r="AA260" s="188"/>
      <c r="AB260" s="188"/>
      <c r="AC260" s="188"/>
      <c r="AD260" s="188"/>
      <c r="AE260" s="188"/>
      <c r="AF260" s="188"/>
      <c r="AG260" s="188"/>
      <c r="AH260" s="188"/>
      <c r="AI260" s="188"/>
      <c r="AJ260" s="188"/>
      <c r="AK260" s="188"/>
      <c r="AL260" s="188"/>
      <c r="AM260" s="188"/>
      <c r="AN260" s="188"/>
      <c r="AO260" s="188"/>
      <c r="AP260" s="188"/>
      <c r="AQ260" s="188"/>
      <c r="AR260" s="188"/>
      <c r="AS260" s="188"/>
      <c r="AT260" s="202"/>
      <c r="AU260" s="190">
        <v>0</v>
      </c>
      <c r="AV260" s="191">
        <v>0</v>
      </c>
      <c r="AW260" s="191">
        <v>0</v>
      </c>
      <c r="AX260" s="191">
        <v>0</v>
      </c>
      <c r="AY260" s="192">
        <v>0</v>
      </c>
      <c r="BA260" s="34" t="str">
        <f t="shared" ca="1" si="54"/>
        <v>Scotland</v>
      </c>
      <c r="BB260" s="34" t="str">
        <f t="shared" si="55"/>
        <v>Fixed Inputs</v>
      </c>
      <c r="BC260" s="34" t="str">
        <f t="shared" si="56"/>
        <v>Variant allowances</v>
      </c>
      <c r="BD260" s="34" t="str">
        <f t="shared" si="57"/>
        <v>Totex variant allowances allocation percentages</v>
      </c>
    </row>
    <row r="261" spans="5:56" x14ac:dyDescent="0.35">
      <c r="E261" s="193" t="str" cm="1">
        <f t="array" ref="E261">INDEX($E$99:$E$202,INT((ROW()-ROW($E$205))/5)+1)</f>
        <v>PCD_Glenmavis (Offtake) (SGN_Sc) / Full site and system rebuilds PCD (SGN)</v>
      </c>
      <c r="G261" s="33" t="s">
        <v>109</v>
      </c>
      <c r="H261" s="33" t="s">
        <v>169</v>
      </c>
      <c r="AU261" s="140">
        <v>1</v>
      </c>
      <c r="AV261" s="23">
        <v>1</v>
      </c>
      <c r="AW261" s="23">
        <v>1</v>
      </c>
      <c r="AX261" s="23">
        <v>1</v>
      </c>
      <c r="AY261" s="194">
        <v>1</v>
      </c>
      <c r="BA261" s="34" t="str">
        <f t="shared" ca="1" si="54"/>
        <v>Scotland</v>
      </c>
      <c r="BB261" s="34" t="str">
        <f t="shared" si="55"/>
        <v>Fixed Inputs</v>
      </c>
      <c r="BC261" s="34" t="str">
        <f t="shared" si="56"/>
        <v>Variant allowances</v>
      </c>
      <c r="BD261" s="34" t="str">
        <f t="shared" si="57"/>
        <v>Totex variant allowances allocation percentages</v>
      </c>
    </row>
    <row r="262" spans="5:56" x14ac:dyDescent="0.35">
      <c r="E262" s="193" t="str" cm="1">
        <f t="array" ref="E262">INDEX($E$99:$E$202,INT((ROW()-ROW($E$205))/5)+1)</f>
        <v>PCD_Glenmavis (Offtake) (SGN_Sc) / Full site and system rebuilds PCD (SGN)</v>
      </c>
      <c r="G262" s="33" t="s">
        <v>109</v>
      </c>
      <c r="H262" s="33" t="s">
        <v>170</v>
      </c>
      <c r="AU262" s="140">
        <v>0</v>
      </c>
      <c r="AV262" s="23">
        <v>0</v>
      </c>
      <c r="AW262" s="23">
        <v>0</v>
      </c>
      <c r="AX262" s="23">
        <v>0</v>
      </c>
      <c r="AY262" s="194">
        <v>0</v>
      </c>
      <c r="BA262" s="34" t="str">
        <f t="shared" ca="1" si="54"/>
        <v>Scotland</v>
      </c>
      <c r="BB262" s="34" t="str">
        <f t="shared" si="55"/>
        <v>Fixed Inputs</v>
      </c>
      <c r="BC262" s="34" t="str">
        <f t="shared" si="56"/>
        <v>Variant allowances</v>
      </c>
      <c r="BD262" s="34" t="str">
        <f t="shared" si="57"/>
        <v>Totex variant allowances allocation percentages</v>
      </c>
    </row>
    <row r="263" spans="5:56" x14ac:dyDescent="0.35">
      <c r="E263" s="193" t="str" cm="1">
        <f t="array" ref="E263">INDEX($E$99:$E$202,INT((ROW()-ROW($E$205))/5)+1)</f>
        <v>PCD_Glenmavis (Offtake) (SGN_Sc) / Full site and system rebuilds PCD (SGN)</v>
      </c>
      <c r="G263" s="33" t="s">
        <v>109</v>
      </c>
      <c r="H263" s="33" t="s">
        <v>171</v>
      </c>
      <c r="AU263" s="140">
        <v>0</v>
      </c>
      <c r="AV263" s="23">
        <v>0</v>
      </c>
      <c r="AW263" s="23">
        <v>0</v>
      </c>
      <c r="AX263" s="23">
        <v>0</v>
      </c>
      <c r="AY263" s="194">
        <v>0</v>
      </c>
      <c r="BA263" s="34" t="str">
        <f t="shared" ca="1" si="54"/>
        <v>Scotland</v>
      </c>
      <c r="BB263" s="34" t="str">
        <f t="shared" si="55"/>
        <v>Fixed Inputs</v>
      </c>
      <c r="BC263" s="34" t="str">
        <f t="shared" si="56"/>
        <v>Variant allowances</v>
      </c>
      <c r="BD263" s="34" t="str">
        <f t="shared" si="57"/>
        <v>Totex variant allowances allocation percentages</v>
      </c>
    </row>
    <row r="264" spans="5:56" x14ac:dyDescent="0.35">
      <c r="E264" s="195" t="str" cm="1">
        <f t="array" ref="E264">INDEX($E$99:$E$202,INT((ROW()-ROW($E$205))/5)+1)</f>
        <v>PCD_Glenmavis (Offtake) (SGN_Sc) / Full site and system rebuilds PCD (SGN)</v>
      </c>
      <c r="F264" s="196"/>
      <c r="G264" s="196" t="s">
        <v>109</v>
      </c>
      <c r="H264" s="196" t="s">
        <v>172</v>
      </c>
      <c r="I264" s="196"/>
      <c r="J264" s="196"/>
      <c r="K264" s="196"/>
      <c r="L264" s="196"/>
      <c r="M264" s="196"/>
      <c r="N264" s="196"/>
      <c r="O264" s="196"/>
      <c r="P264" s="196"/>
      <c r="Q264" s="196"/>
      <c r="R264" s="196"/>
      <c r="S264" s="196"/>
      <c r="T264" s="196"/>
      <c r="U264" s="196"/>
      <c r="V264" s="196"/>
      <c r="W264" s="196"/>
      <c r="X264" s="196"/>
      <c r="Y264" s="196"/>
      <c r="Z264" s="196"/>
      <c r="AA264" s="196"/>
      <c r="AB264" s="196"/>
      <c r="AC264" s="196"/>
      <c r="AD264" s="196"/>
      <c r="AE264" s="196"/>
      <c r="AF264" s="196"/>
      <c r="AG264" s="196"/>
      <c r="AH264" s="196"/>
      <c r="AI264" s="196"/>
      <c r="AJ264" s="196"/>
      <c r="AK264" s="196"/>
      <c r="AL264" s="196"/>
      <c r="AM264" s="196"/>
      <c r="AN264" s="196"/>
      <c r="AO264" s="196"/>
      <c r="AP264" s="196"/>
      <c r="AQ264" s="196"/>
      <c r="AR264" s="196"/>
      <c r="AS264" s="196"/>
      <c r="AT264" s="208"/>
      <c r="AU264" s="198">
        <v>0</v>
      </c>
      <c r="AV264" s="199">
        <v>0</v>
      </c>
      <c r="AW264" s="199">
        <v>0</v>
      </c>
      <c r="AX264" s="199">
        <v>0</v>
      </c>
      <c r="AY264" s="200">
        <v>0</v>
      </c>
      <c r="BA264" s="34" t="str">
        <f t="shared" ca="1" si="54"/>
        <v>Scotland</v>
      </c>
      <c r="BB264" s="34" t="str">
        <f t="shared" si="55"/>
        <v>Fixed Inputs</v>
      </c>
      <c r="BC264" s="34" t="str">
        <f t="shared" si="56"/>
        <v>Variant allowances</v>
      </c>
      <c r="BD264" s="34" t="str">
        <f t="shared" si="57"/>
        <v>Totex variant allowances allocation percentages</v>
      </c>
    </row>
    <row r="265" spans="5:56" x14ac:dyDescent="0.35">
      <c r="E265" s="187" t="str" cm="1">
        <f t="array" ref="E265">INDEX($E$99:$E$202,INT((ROW()-ROW($E$205))/5)+1)</f>
        <v>PCD_Isle of Grain (SGN_So) / Full site and system rebuilds PCD (SGN)</v>
      </c>
      <c r="F265" s="188"/>
      <c r="G265" s="188" t="s">
        <v>109</v>
      </c>
      <c r="H265" s="188" t="s">
        <v>168</v>
      </c>
      <c r="I265" s="188"/>
      <c r="J265" s="188"/>
      <c r="K265" s="188"/>
      <c r="L265" s="188"/>
      <c r="M265" s="188"/>
      <c r="N265" s="188"/>
      <c r="O265" s="188"/>
      <c r="P265" s="188"/>
      <c r="Q265" s="188"/>
      <c r="R265" s="188"/>
      <c r="S265" s="188"/>
      <c r="T265" s="188"/>
      <c r="U265" s="188"/>
      <c r="V265" s="188"/>
      <c r="W265" s="188"/>
      <c r="X265" s="188"/>
      <c r="Y265" s="188"/>
      <c r="Z265" s="188"/>
      <c r="AA265" s="188"/>
      <c r="AB265" s="188"/>
      <c r="AC265" s="188"/>
      <c r="AD265" s="188"/>
      <c r="AE265" s="188"/>
      <c r="AF265" s="188"/>
      <c r="AG265" s="188"/>
      <c r="AH265" s="188"/>
      <c r="AI265" s="188"/>
      <c r="AJ265" s="188"/>
      <c r="AK265" s="188"/>
      <c r="AL265" s="188"/>
      <c r="AM265" s="188"/>
      <c r="AN265" s="188"/>
      <c r="AO265" s="188"/>
      <c r="AP265" s="188"/>
      <c r="AQ265" s="188"/>
      <c r="AR265" s="188"/>
      <c r="AS265" s="188"/>
      <c r="AT265" s="202"/>
      <c r="AU265" s="190">
        <v>0</v>
      </c>
      <c r="AV265" s="191">
        <v>0</v>
      </c>
      <c r="AW265" s="191">
        <v>0</v>
      </c>
      <c r="AX265" s="191">
        <v>0</v>
      </c>
      <c r="AY265" s="192">
        <v>0</v>
      </c>
      <c r="BA265" s="34" t="str">
        <f t="shared" ca="1" si="54"/>
        <v>Scotland</v>
      </c>
      <c r="BB265" s="34" t="str">
        <f t="shared" si="55"/>
        <v>Fixed Inputs</v>
      </c>
      <c r="BC265" s="34" t="str">
        <f t="shared" si="56"/>
        <v>Variant allowances</v>
      </c>
      <c r="BD265" s="34" t="str">
        <f t="shared" si="57"/>
        <v>Totex variant allowances allocation percentages</v>
      </c>
    </row>
    <row r="266" spans="5:56" x14ac:dyDescent="0.35">
      <c r="E266" s="193" t="str" cm="1">
        <f t="array" ref="E266">INDEX($E$99:$E$202,INT((ROW()-ROW($E$205))/5)+1)</f>
        <v>PCD_Isle of Grain (SGN_So) / Full site and system rebuilds PCD (SGN)</v>
      </c>
      <c r="G266" s="33" t="s">
        <v>109</v>
      </c>
      <c r="H266" s="33" t="s">
        <v>169</v>
      </c>
      <c r="AU266" s="140">
        <v>1</v>
      </c>
      <c r="AV266" s="23">
        <v>1</v>
      </c>
      <c r="AW266" s="23">
        <v>1</v>
      </c>
      <c r="AX266" s="23">
        <v>1</v>
      </c>
      <c r="AY266" s="194">
        <v>1</v>
      </c>
      <c r="BA266" s="34" t="str">
        <f t="shared" ca="1" si="54"/>
        <v>Scotland</v>
      </c>
      <c r="BB266" s="34" t="str">
        <f t="shared" si="55"/>
        <v>Fixed Inputs</v>
      </c>
      <c r="BC266" s="34" t="str">
        <f t="shared" si="56"/>
        <v>Variant allowances</v>
      </c>
      <c r="BD266" s="34" t="str">
        <f t="shared" si="57"/>
        <v>Totex variant allowances allocation percentages</v>
      </c>
    </row>
    <row r="267" spans="5:56" x14ac:dyDescent="0.35">
      <c r="E267" s="193" t="str" cm="1">
        <f t="array" ref="E267">INDEX($E$99:$E$202,INT((ROW()-ROW($E$205))/5)+1)</f>
        <v>PCD_Isle of Grain (SGN_So) / Full site and system rebuilds PCD (SGN)</v>
      </c>
      <c r="G267" s="33" t="s">
        <v>109</v>
      </c>
      <c r="H267" s="33" t="s">
        <v>170</v>
      </c>
      <c r="AU267" s="140">
        <v>0</v>
      </c>
      <c r="AV267" s="23">
        <v>0</v>
      </c>
      <c r="AW267" s="23">
        <v>0</v>
      </c>
      <c r="AX267" s="23">
        <v>0</v>
      </c>
      <c r="AY267" s="194">
        <v>0</v>
      </c>
      <c r="BA267" s="34" t="str">
        <f t="shared" ca="1" si="54"/>
        <v>Scotland</v>
      </c>
      <c r="BB267" s="34" t="str">
        <f t="shared" si="55"/>
        <v>Fixed Inputs</v>
      </c>
      <c r="BC267" s="34" t="str">
        <f t="shared" si="56"/>
        <v>Variant allowances</v>
      </c>
      <c r="BD267" s="34" t="str">
        <f t="shared" si="57"/>
        <v>Totex variant allowances allocation percentages</v>
      </c>
    </row>
    <row r="268" spans="5:56" x14ac:dyDescent="0.35">
      <c r="E268" s="193" t="str" cm="1">
        <f t="array" ref="E268">INDEX($E$99:$E$202,INT((ROW()-ROW($E$205))/5)+1)</f>
        <v>PCD_Isle of Grain (SGN_So) / Full site and system rebuilds PCD (SGN)</v>
      </c>
      <c r="G268" s="33" t="s">
        <v>109</v>
      </c>
      <c r="H268" s="33" t="s">
        <v>171</v>
      </c>
      <c r="AU268" s="140">
        <v>0</v>
      </c>
      <c r="AV268" s="23">
        <v>0</v>
      </c>
      <c r="AW268" s="23">
        <v>0</v>
      </c>
      <c r="AX268" s="23">
        <v>0</v>
      </c>
      <c r="AY268" s="194">
        <v>0</v>
      </c>
      <c r="BA268" s="34" t="str">
        <f t="shared" ca="1" si="54"/>
        <v>Scotland</v>
      </c>
      <c r="BB268" s="34" t="str">
        <f t="shared" si="55"/>
        <v>Fixed Inputs</v>
      </c>
      <c r="BC268" s="34" t="str">
        <f t="shared" si="56"/>
        <v>Variant allowances</v>
      </c>
      <c r="BD268" s="34" t="str">
        <f t="shared" si="57"/>
        <v>Totex variant allowances allocation percentages</v>
      </c>
    </row>
    <row r="269" spans="5:56" x14ac:dyDescent="0.35">
      <c r="E269" s="195" t="str" cm="1">
        <f t="array" ref="E269">INDEX($E$99:$E$202,INT((ROW()-ROW($E$205))/5)+1)</f>
        <v>PCD_Isle of Grain (SGN_So) / Full site and system rebuilds PCD (SGN)</v>
      </c>
      <c r="F269" s="196"/>
      <c r="G269" s="196" t="s">
        <v>109</v>
      </c>
      <c r="H269" s="196" t="s">
        <v>172</v>
      </c>
      <c r="I269" s="196"/>
      <c r="J269" s="196"/>
      <c r="K269" s="196"/>
      <c r="L269" s="196"/>
      <c r="M269" s="196"/>
      <c r="N269" s="196"/>
      <c r="O269" s="196"/>
      <c r="P269" s="196"/>
      <c r="Q269" s="196"/>
      <c r="R269" s="196"/>
      <c r="S269" s="196"/>
      <c r="T269" s="196"/>
      <c r="U269" s="196"/>
      <c r="V269" s="196"/>
      <c r="W269" s="196"/>
      <c r="X269" s="196"/>
      <c r="Y269" s="196"/>
      <c r="Z269" s="196"/>
      <c r="AA269" s="196"/>
      <c r="AB269" s="196"/>
      <c r="AC269" s="196"/>
      <c r="AD269" s="196"/>
      <c r="AE269" s="196"/>
      <c r="AF269" s="196"/>
      <c r="AG269" s="196"/>
      <c r="AH269" s="196"/>
      <c r="AI269" s="196"/>
      <c r="AJ269" s="196"/>
      <c r="AK269" s="196"/>
      <c r="AL269" s="196"/>
      <c r="AM269" s="196"/>
      <c r="AN269" s="196"/>
      <c r="AO269" s="196"/>
      <c r="AP269" s="196"/>
      <c r="AQ269" s="196"/>
      <c r="AR269" s="196"/>
      <c r="AS269" s="196"/>
      <c r="AT269" s="208"/>
      <c r="AU269" s="198">
        <v>0</v>
      </c>
      <c r="AV269" s="199">
        <v>0</v>
      </c>
      <c r="AW269" s="199">
        <v>0</v>
      </c>
      <c r="AX269" s="199">
        <v>0</v>
      </c>
      <c r="AY269" s="200">
        <v>0</v>
      </c>
      <c r="BA269" s="34" t="str">
        <f t="shared" ca="1" si="54"/>
        <v>Scotland</v>
      </c>
      <c r="BB269" s="34" t="str">
        <f t="shared" si="55"/>
        <v>Fixed Inputs</v>
      </c>
      <c r="BC269" s="34" t="str">
        <f t="shared" ref="BC269:BC332" si="58">$B$151</f>
        <v>Variant allowances</v>
      </c>
      <c r="BD269" s="34" t="str">
        <f t="shared" si="57"/>
        <v>Totex variant allowances allocation percentages</v>
      </c>
    </row>
    <row r="270" spans="5:56" x14ac:dyDescent="0.35">
      <c r="E270" s="187" t="str" cm="1">
        <f t="array" ref="E270">INDEX($E$99:$E$202,INT((ROW()-ROW($E$205))/5)+1)</f>
        <v>PCD_EVs  / Operational Transport Emissions Reduction PCD</v>
      </c>
      <c r="F270" s="188"/>
      <c r="G270" s="188" t="s">
        <v>109</v>
      </c>
      <c r="H270" s="188" t="s">
        <v>168</v>
      </c>
      <c r="I270" s="188"/>
      <c r="J270" s="188"/>
      <c r="K270" s="188"/>
      <c r="L270" s="188"/>
      <c r="M270" s="188"/>
      <c r="N270" s="188"/>
      <c r="O270" s="188"/>
      <c r="P270" s="188"/>
      <c r="Q270" s="188"/>
      <c r="R270" s="188"/>
      <c r="S270" s="188"/>
      <c r="T270" s="188"/>
      <c r="U270" s="188"/>
      <c r="V270" s="188"/>
      <c r="W270" s="188"/>
      <c r="X270" s="188"/>
      <c r="Y270" s="188"/>
      <c r="Z270" s="188"/>
      <c r="AA270" s="188"/>
      <c r="AB270" s="188"/>
      <c r="AC270" s="188"/>
      <c r="AD270" s="188"/>
      <c r="AE270" s="188"/>
      <c r="AF270" s="188"/>
      <c r="AG270" s="188"/>
      <c r="AH270" s="188"/>
      <c r="AI270" s="188"/>
      <c r="AJ270" s="188"/>
      <c r="AK270" s="188"/>
      <c r="AL270" s="188"/>
      <c r="AM270" s="188"/>
      <c r="AN270" s="188"/>
      <c r="AO270" s="188"/>
      <c r="AP270" s="188"/>
      <c r="AQ270" s="188"/>
      <c r="AR270" s="188"/>
      <c r="AS270" s="188"/>
      <c r="AT270" s="202"/>
      <c r="AU270" s="190">
        <v>0</v>
      </c>
      <c r="AV270" s="191">
        <v>0</v>
      </c>
      <c r="AW270" s="191">
        <v>0</v>
      </c>
      <c r="AX270" s="191">
        <v>0</v>
      </c>
      <c r="AY270" s="192">
        <v>0</v>
      </c>
      <c r="BA270" s="34" t="str">
        <f t="shared" ca="1" si="54"/>
        <v>Scotland</v>
      </c>
      <c r="BB270" s="34" t="str">
        <f t="shared" si="55"/>
        <v>Fixed Inputs</v>
      </c>
      <c r="BC270" s="34" t="str">
        <f t="shared" si="58"/>
        <v>Variant allowances</v>
      </c>
      <c r="BD270" s="34" t="str">
        <f t="shared" si="57"/>
        <v>Totex variant allowances allocation percentages</v>
      </c>
    </row>
    <row r="271" spans="5:56" x14ac:dyDescent="0.35">
      <c r="E271" s="193" t="str" cm="1">
        <f t="array" ref="E271">INDEX($E$99:$E$202,INT((ROW()-ROW($E$205))/5)+1)</f>
        <v>PCD_EVs  / Operational Transport Emissions Reduction PCD</v>
      </c>
      <c r="G271" s="33" t="s">
        <v>109</v>
      </c>
      <c r="H271" s="33" t="s">
        <v>169</v>
      </c>
      <c r="AU271" s="140">
        <v>0</v>
      </c>
      <c r="AV271" s="23">
        <v>0</v>
      </c>
      <c r="AW271" s="23">
        <v>0</v>
      </c>
      <c r="AX271" s="23">
        <v>0</v>
      </c>
      <c r="AY271" s="194">
        <v>0</v>
      </c>
      <c r="BA271" s="34" t="str">
        <f t="shared" ca="1" si="54"/>
        <v>Scotland</v>
      </c>
      <c r="BB271" s="34" t="str">
        <f t="shared" si="55"/>
        <v>Fixed Inputs</v>
      </c>
      <c r="BC271" s="34" t="str">
        <f t="shared" si="58"/>
        <v>Variant allowances</v>
      </c>
      <c r="BD271" s="34" t="str">
        <f t="shared" si="57"/>
        <v>Totex variant allowances allocation percentages</v>
      </c>
    </row>
    <row r="272" spans="5:56" x14ac:dyDescent="0.35">
      <c r="E272" s="193" t="str" cm="1">
        <f t="array" ref="E272">INDEX($E$99:$E$202,INT((ROW()-ROW($E$205))/5)+1)</f>
        <v>PCD_EVs  / Operational Transport Emissions Reduction PCD</v>
      </c>
      <c r="G272" s="33" t="s">
        <v>109</v>
      </c>
      <c r="H272" s="33" t="s">
        <v>170</v>
      </c>
      <c r="AU272" s="140">
        <v>0</v>
      </c>
      <c r="AV272" s="23">
        <v>0</v>
      </c>
      <c r="AW272" s="23">
        <v>0</v>
      </c>
      <c r="AX272" s="23">
        <v>0</v>
      </c>
      <c r="AY272" s="194">
        <v>0</v>
      </c>
      <c r="BA272" s="34" t="str">
        <f t="shared" ca="1" si="54"/>
        <v>Scotland</v>
      </c>
      <c r="BB272" s="34" t="str">
        <f t="shared" si="55"/>
        <v>Fixed Inputs</v>
      </c>
      <c r="BC272" s="34" t="str">
        <f t="shared" si="58"/>
        <v>Variant allowances</v>
      </c>
      <c r="BD272" s="34" t="str">
        <f t="shared" si="57"/>
        <v>Totex variant allowances allocation percentages</v>
      </c>
    </row>
    <row r="273" spans="5:56" x14ac:dyDescent="0.35">
      <c r="E273" s="193" t="str" cm="1">
        <f t="array" ref="E273">INDEX($E$99:$E$202,INT((ROW()-ROW($E$205))/5)+1)</f>
        <v>PCD_EVs  / Operational Transport Emissions Reduction PCD</v>
      </c>
      <c r="G273" s="33" t="s">
        <v>109</v>
      </c>
      <c r="H273" s="33" t="s">
        <v>171</v>
      </c>
      <c r="AU273" s="140">
        <v>1</v>
      </c>
      <c r="AV273" s="23">
        <v>1</v>
      </c>
      <c r="AW273" s="23">
        <v>1</v>
      </c>
      <c r="AX273" s="23">
        <v>1</v>
      </c>
      <c r="AY273" s="194">
        <v>1</v>
      </c>
      <c r="BA273" s="34" t="str">
        <f t="shared" ca="1" si="54"/>
        <v>Scotland</v>
      </c>
      <c r="BB273" s="34" t="str">
        <f t="shared" si="55"/>
        <v>Fixed Inputs</v>
      </c>
      <c r="BC273" s="34" t="str">
        <f t="shared" si="58"/>
        <v>Variant allowances</v>
      </c>
      <c r="BD273" s="34" t="str">
        <f t="shared" si="57"/>
        <v>Totex variant allowances allocation percentages</v>
      </c>
    </row>
    <row r="274" spans="5:56" x14ac:dyDescent="0.35">
      <c r="E274" s="195" t="str" cm="1">
        <f t="array" ref="E274">INDEX($E$99:$E$202,INT((ROW()-ROW($E$205))/5)+1)</f>
        <v>PCD_EVs  / Operational Transport Emissions Reduction PCD</v>
      </c>
      <c r="F274" s="196"/>
      <c r="G274" s="196" t="s">
        <v>109</v>
      </c>
      <c r="H274" s="196" t="s">
        <v>172</v>
      </c>
      <c r="I274" s="196"/>
      <c r="J274" s="196"/>
      <c r="K274" s="196"/>
      <c r="L274" s="196"/>
      <c r="M274" s="196"/>
      <c r="N274" s="196"/>
      <c r="O274" s="196"/>
      <c r="P274" s="196"/>
      <c r="Q274" s="196"/>
      <c r="R274" s="196"/>
      <c r="S274" s="196"/>
      <c r="T274" s="196"/>
      <c r="U274" s="196"/>
      <c r="V274" s="196"/>
      <c r="W274" s="196"/>
      <c r="X274" s="196"/>
      <c r="Y274" s="196"/>
      <c r="Z274" s="196"/>
      <c r="AA274" s="196"/>
      <c r="AB274" s="196"/>
      <c r="AC274" s="196"/>
      <c r="AD274" s="196"/>
      <c r="AE274" s="196"/>
      <c r="AF274" s="196"/>
      <c r="AG274" s="196"/>
      <c r="AH274" s="196"/>
      <c r="AI274" s="196"/>
      <c r="AJ274" s="196"/>
      <c r="AK274" s="196"/>
      <c r="AL274" s="196"/>
      <c r="AM274" s="196"/>
      <c r="AN274" s="196"/>
      <c r="AO274" s="196"/>
      <c r="AP274" s="196"/>
      <c r="AQ274" s="196"/>
      <c r="AR274" s="196"/>
      <c r="AS274" s="196"/>
      <c r="AT274" s="208"/>
      <c r="AU274" s="198">
        <v>0</v>
      </c>
      <c r="AV274" s="199">
        <v>0</v>
      </c>
      <c r="AW274" s="199">
        <v>0</v>
      </c>
      <c r="AX274" s="199">
        <v>0</v>
      </c>
      <c r="AY274" s="200">
        <v>0</v>
      </c>
      <c r="BA274" s="34" t="str">
        <f t="shared" ca="1" si="54"/>
        <v>Scotland</v>
      </c>
      <c r="BB274" s="34" t="str">
        <f t="shared" si="55"/>
        <v>Fixed Inputs</v>
      </c>
      <c r="BC274" s="34" t="str">
        <f t="shared" si="58"/>
        <v>Variant allowances</v>
      </c>
      <c r="BD274" s="34" t="str">
        <f t="shared" si="57"/>
        <v>Totex variant allowances allocation percentages</v>
      </c>
    </row>
    <row r="275" spans="5:56" x14ac:dyDescent="0.35">
      <c r="E275" s="187" t="str" cm="1">
        <f t="array" ref="E275">INDEX($E$99:$E$202,INT((ROW()-ROW($E$205))/5)+1)</f>
        <v>PCD_South London Mains (SGN_So)</v>
      </c>
      <c r="F275" s="188"/>
      <c r="G275" s="188" t="s">
        <v>109</v>
      </c>
      <c r="H275" s="188" t="s">
        <v>168</v>
      </c>
      <c r="I275" s="188"/>
      <c r="J275" s="188"/>
      <c r="K275" s="188"/>
      <c r="L275" s="188"/>
      <c r="M275" s="188"/>
      <c r="N275" s="188"/>
      <c r="O275" s="188"/>
      <c r="P275" s="188"/>
      <c r="Q275" s="188"/>
      <c r="R275" s="188"/>
      <c r="S275" s="188"/>
      <c r="T275" s="188"/>
      <c r="U275" s="188"/>
      <c r="V275" s="188"/>
      <c r="W275" s="188"/>
      <c r="X275" s="188"/>
      <c r="Y275" s="188"/>
      <c r="Z275" s="188"/>
      <c r="AA275" s="188"/>
      <c r="AB275" s="188"/>
      <c r="AC275" s="188"/>
      <c r="AD275" s="188"/>
      <c r="AE275" s="188"/>
      <c r="AF275" s="188"/>
      <c r="AG275" s="188"/>
      <c r="AH275" s="188"/>
      <c r="AI275" s="188"/>
      <c r="AJ275" s="188"/>
      <c r="AK275" s="188"/>
      <c r="AL275" s="188"/>
      <c r="AM275" s="188"/>
      <c r="AN275" s="188"/>
      <c r="AO275" s="188"/>
      <c r="AP275" s="188"/>
      <c r="AQ275" s="188"/>
      <c r="AR275" s="188"/>
      <c r="AS275" s="188"/>
      <c r="AT275" s="202"/>
      <c r="AU275" s="190">
        <v>0</v>
      </c>
      <c r="AV275" s="191">
        <v>0</v>
      </c>
      <c r="AW275" s="191">
        <v>0</v>
      </c>
      <c r="AX275" s="191">
        <v>0</v>
      </c>
      <c r="AY275" s="192">
        <v>0</v>
      </c>
      <c r="BA275" s="34" t="str">
        <f t="shared" ca="1" si="54"/>
        <v>Scotland</v>
      </c>
      <c r="BB275" s="34" t="str">
        <f t="shared" si="55"/>
        <v>Fixed Inputs</v>
      </c>
      <c r="BC275" s="34" t="str">
        <f t="shared" si="58"/>
        <v>Variant allowances</v>
      </c>
      <c r="BD275" s="34" t="str">
        <f t="shared" si="57"/>
        <v>Totex variant allowances allocation percentages</v>
      </c>
    </row>
    <row r="276" spans="5:56" x14ac:dyDescent="0.35">
      <c r="E276" s="193" t="str" cm="1">
        <f t="array" ref="E276">INDEX($E$99:$E$202,INT((ROW()-ROW($E$205))/5)+1)</f>
        <v>PCD_South London Mains (SGN_So)</v>
      </c>
      <c r="G276" s="33" t="s">
        <v>109</v>
      </c>
      <c r="H276" s="33" t="s">
        <v>169</v>
      </c>
      <c r="AU276" s="140">
        <v>0</v>
      </c>
      <c r="AV276" s="23">
        <v>0</v>
      </c>
      <c r="AW276" s="23">
        <v>0</v>
      </c>
      <c r="AX276" s="23">
        <v>0</v>
      </c>
      <c r="AY276" s="194">
        <v>0</v>
      </c>
      <c r="BA276" s="34" t="str">
        <f t="shared" ca="1" si="54"/>
        <v>Scotland</v>
      </c>
      <c r="BB276" s="34" t="str">
        <f t="shared" si="55"/>
        <v>Fixed Inputs</v>
      </c>
      <c r="BC276" s="34" t="str">
        <f t="shared" si="58"/>
        <v>Variant allowances</v>
      </c>
      <c r="BD276" s="34" t="str">
        <f t="shared" si="57"/>
        <v>Totex variant allowances allocation percentages</v>
      </c>
    </row>
    <row r="277" spans="5:56" x14ac:dyDescent="0.35">
      <c r="E277" s="193" t="str" cm="1">
        <f t="array" ref="E277">INDEX($E$99:$E$202,INT((ROW()-ROW($E$205))/5)+1)</f>
        <v>PCD_South London Mains (SGN_So)</v>
      </c>
      <c r="G277" s="33" t="s">
        <v>109</v>
      </c>
      <c r="H277" s="33" t="s">
        <v>170</v>
      </c>
      <c r="AU277" s="140">
        <v>0</v>
      </c>
      <c r="AV277" s="23">
        <v>0</v>
      </c>
      <c r="AW277" s="23">
        <v>0</v>
      </c>
      <c r="AX277" s="23">
        <v>0</v>
      </c>
      <c r="AY277" s="194">
        <v>0</v>
      </c>
      <c r="BA277" s="34" t="str">
        <f t="shared" ca="1" si="54"/>
        <v>Scotland</v>
      </c>
      <c r="BB277" s="34" t="str">
        <f t="shared" si="55"/>
        <v>Fixed Inputs</v>
      </c>
      <c r="BC277" s="34" t="str">
        <f t="shared" si="58"/>
        <v>Variant allowances</v>
      </c>
      <c r="BD277" s="34" t="str">
        <f t="shared" si="57"/>
        <v>Totex variant allowances allocation percentages</v>
      </c>
    </row>
    <row r="278" spans="5:56" x14ac:dyDescent="0.35">
      <c r="E278" s="193" t="str" cm="1">
        <f t="array" ref="E278">INDEX($E$99:$E$202,INT((ROW()-ROW($E$205))/5)+1)</f>
        <v>PCD_South London Mains (SGN_So)</v>
      </c>
      <c r="G278" s="33" t="s">
        <v>109</v>
      </c>
      <c r="H278" s="33" t="s">
        <v>171</v>
      </c>
      <c r="AU278" s="140">
        <v>0</v>
      </c>
      <c r="AV278" s="23">
        <v>0</v>
      </c>
      <c r="AW278" s="23">
        <v>0</v>
      </c>
      <c r="AX278" s="23">
        <v>0</v>
      </c>
      <c r="AY278" s="194">
        <v>0</v>
      </c>
      <c r="BA278" s="34" t="str">
        <f t="shared" ca="1" si="54"/>
        <v>Scotland</v>
      </c>
      <c r="BB278" s="34" t="str">
        <f t="shared" si="55"/>
        <v>Fixed Inputs</v>
      </c>
      <c r="BC278" s="34" t="str">
        <f t="shared" si="58"/>
        <v>Variant allowances</v>
      </c>
      <c r="BD278" s="34" t="str">
        <f t="shared" si="57"/>
        <v>Totex variant allowances allocation percentages</v>
      </c>
    </row>
    <row r="279" spans="5:56" x14ac:dyDescent="0.35">
      <c r="E279" s="195" t="str" cm="1">
        <f t="array" ref="E279">INDEX($E$99:$E$202,INT((ROW()-ROW($E$205))/5)+1)</f>
        <v>PCD_South London Mains (SGN_So)</v>
      </c>
      <c r="F279" s="196"/>
      <c r="G279" s="196" t="s">
        <v>109</v>
      </c>
      <c r="H279" s="196" t="s">
        <v>172</v>
      </c>
      <c r="I279" s="196"/>
      <c r="J279" s="196"/>
      <c r="K279" s="196"/>
      <c r="L279" s="196"/>
      <c r="M279" s="196"/>
      <c r="N279" s="196"/>
      <c r="O279" s="196"/>
      <c r="P279" s="196"/>
      <c r="Q279" s="196"/>
      <c r="R279" s="196"/>
      <c r="S279" s="196"/>
      <c r="T279" s="196"/>
      <c r="U279" s="196"/>
      <c r="V279" s="196"/>
      <c r="W279" s="196"/>
      <c r="X279" s="196"/>
      <c r="Y279" s="196"/>
      <c r="Z279" s="196"/>
      <c r="AA279" s="196"/>
      <c r="AB279" s="196"/>
      <c r="AC279" s="196"/>
      <c r="AD279" s="196"/>
      <c r="AE279" s="196"/>
      <c r="AF279" s="196"/>
      <c r="AG279" s="196"/>
      <c r="AH279" s="196"/>
      <c r="AI279" s="196"/>
      <c r="AJ279" s="196"/>
      <c r="AK279" s="196"/>
      <c r="AL279" s="196"/>
      <c r="AM279" s="196"/>
      <c r="AN279" s="196"/>
      <c r="AO279" s="196"/>
      <c r="AP279" s="196"/>
      <c r="AQ279" s="196"/>
      <c r="AR279" s="196"/>
      <c r="AS279" s="196"/>
      <c r="AT279" s="208"/>
      <c r="AU279" s="198">
        <v>1</v>
      </c>
      <c r="AV279" s="199">
        <v>1</v>
      </c>
      <c r="AW279" s="199">
        <v>1</v>
      </c>
      <c r="AX279" s="199">
        <v>1</v>
      </c>
      <c r="AY279" s="200">
        <v>1</v>
      </c>
      <c r="BA279" s="34" t="str">
        <f t="shared" ca="1" si="54"/>
        <v>Scotland</v>
      </c>
      <c r="BB279" s="34" t="str">
        <f t="shared" si="55"/>
        <v>Fixed Inputs</v>
      </c>
      <c r="BC279" s="34" t="str">
        <f t="shared" si="58"/>
        <v>Variant allowances</v>
      </c>
      <c r="BD279" s="34" t="str">
        <f t="shared" si="57"/>
        <v>Totex variant allowances allocation percentages</v>
      </c>
    </row>
    <row r="280" spans="5:56" x14ac:dyDescent="0.35">
      <c r="E280" s="187" t="str" cm="1">
        <f t="array" ref="E280">INDEX($E$99:$E$202,INT((ROW()-ROW($E$205))/5)+1)</f>
        <v>PCD_WWU.7 - HS007 (WWU_WWU) / Pipeline Replacements PCD (WWU)</v>
      </c>
      <c r="F280" s="188"/>
      <c r="G280" s="188" t="s">
        <v>109</v>
      </c>
      <c r="H280" s="188" t="s">
        <v>168</v>
      </c>
      <c r="I280" s="188"/>
      <c r="J280" s="188"/>
      <c r="K280" s="188"/>
      <c r="L280" s="188"/>
      <c r="M280" s="188"/>
      <c r="N280" s="188"/>
      <c r="O280" s="188"/>
      <c r="P280" s="188"/>
      <c r="Q280" s="188"/>
      <c r="R280" s="188"/>
      <c r="S280" s="188"/>
      <c r="T280" s="188"/>
      <c r="U280" s="188"/>
      <c r="V280" s="188"/>
      <c r="W280" s="188"/>
      <c r="X280" s="188"/>
      <c r="Y280" s="188"/>
      <c r="Z280" s="188"/>
      <c r="AA280" s="188"/>
      <c r="AB280" s="188"/>
      <c r="AC280" s="188"/>
      <c r="AD280" s="188"/>
      <c r="AE280" s="188"/>
      <c r="AF280" s="188"/>
      <c r="AG280" s="188"/>
      <c r="AH280" s="188"/>
      <c r="AI280" s="188"/>
      <c r="AJ280" s="188"/>
      <c r="AK280" s="188"/>
      <c r="AL280" s="188"/>
      <c r="AM280" s="188"/>
      <c r="AN280" s="188"/>
      <c r="AO280" s="188"/>
      <c r="AP280" s="188"/>
      <c r="AQ280" s="188"/>
      <c r="AR280" s="188"/>
      <c r="AS280" s="188"/>
      <c r="AT280" s="202"/>
      <c r="AU280" s="190">
        <v>0</v>
      </c>
      <c r="AV280" s="191">
        <v>0</v>
      </c>
      <c r="AW280" s="191">
        <v>0</v>
      </c>
      <c r="AX280" s="191">
        <v>0</v>
      </c>
      <c r="AY280" s="192">
        <v>0</v>
      </c>
      <c r="BA280" s="34" t="str">
        <f t="shared" ca="1" si="54"/>
        <v>Scotland</v>
      </c>
      <c r="BB280" s="34" t="str">
        <f t="shared" si="55"/>
        <v>Fixed Inputs</v>
      </c>
      <c r="BC280" s="34" t="str">
        <f t="shared" si="58"/>
        <v>Variant allowances</v>
      </c>
      <c r="BD280" s="34" t="str">
        <f t="shared" si="57"/>
        <v>Totex variant allowances allocation percentages</v>
      </c>
    </row>
    <row r="281" spans="5:56" x14ac:dyDescent="0.35">
      <c r="E281" s="193" t="str" cm="1">
        <f t="array" ref="E281">INDEX($E$99:$E$202,INT((ROW()-ROW($E$205))/5)+1)</f>
        <v>PCD_WWU.7 - HS007 (WWU_WWU) / Pipeline Replacements PCD (WWU)</v>
      </c>
      <c r="G281" s="33" t="s">
        <v>109</v>
      </c>
      <c r="H281" s="33" t="s">
        <v>169</v>
      </c>
      <c r="AU281" s="140">
        <v>1</v>
      </c>
      <c r="AV281" s="23">
        <v>1</v>
      </c>
      <c r="AW281" s="23">
        <v>1</v>
      </c>
      <c r="AX281" s="23">
        <v>1</v>
      </c>
      <c r="AY281" s="194">
        <v>1</v>
      </c>
      <c r="BA281" s="34" t="str">
        <f t="shared" ca="1" si="54"/>
        <v>Scotland</v>
      </c>
      <c r="BB281" s="34" t="str">
        <f t="shared" si="55"/>
        <v>Fixed Inputs</v>
      </c>
      <c r="BC281" s="34" t="str">
        <f t="shared" si="58"/>
        <v>Variant allowances</v>
      </c>
      <c r="BD281" s="34" t="str">
        <f t="shared" si="57"/>
        <v>Totex variant allowances allocation percentages</v>
      </c>
    </row>
    <row r="282" spans="5:56" x14ac:dyDescent="0.35">
      <c r="E282" s="193" t="str" cm="1">
        <f t="array" ref="E282">INDEX($E$99:$E$202,INT((ROW()-ROW($E$205))/5)+1)</f>
        <v>PCD_WWU.7 - HS007 (WWU_WWU) / Pipeline Replacements PCD (WWU)</v>
      </c>
      <c r="G282" s="33" t="s">
        <v>109</v>
      </c>
      <c r="H282" s="33" t="s">
        <v>170</v>
      </c>
      <c r="AU282" s="140">
        <v>0</v>
      </c>
      <c r="AV282" s="23">
        <v>0</v>
      </c>
      <c r="AW282" s="23">
        <v>0</v>
      </c>
      <c r="AX282" s="23">
        <v>0</v>
      </c>
      <c r="AY282" s="194">
        <v>0</v>
      </c>
      <c r="BA282" s="34" t="str">
        <f t="shared" ca="1" si="54"/>
        <v>Scotland</v>
      </c>
      <c r="BB282" s="34" t="str">
        <f t="shared" si="55"/>
        <v>Fixed Inputs</v>
      </c>
      <c r="BC282" s="34" t="str">
        <f t="shared" si="58"/>
        <v>Variant allowances</v>
      </c>
      <c r="BD282" s="34" t="str">
        <f t="shared" si="57"/>
        <v>Totex variant allowances allocation percentages</v>
      </c>
    </row>
    <row r="283" spans="5:56" x14ac:dyDescent="0.35">
      <c r="E283" s="193" t="str" cm="1">
        <f t="array" ref="E283">INDEX($E$99:$E$202,INT((ROW()-ROW($E$205))/5)+1)</f>
        <v>PCD_WWU.7 - HS007 (WWU_WWU) / Pipeline Replacements PCD (WWU)</v>
      </c>
      <c r="G283" s="33" t="s">
        <v>109</v>
      </c>
      <c r="H283" s="33" t="s">
        <v>171</v>
      </c>
      <c r="AU283" s="140">
        <v>0</v>
      </c>
      <c r="AV283" s="23">
        <v>0</v>
      </c>
      <c r="AW283" s="23">
        <v>0</v>
      </c>
      <c r="AX283" s="23">
        <v>0</v>
      </c>
      <c r="AY283" s="194">
        <v>0</v>
      </c>
      <c r="BA283" s="34" t="str">
        <f t="shared" ca="1" si="54"/>
        <v>Scotland</v>
      </c>
      <c r="BB283" s="34" t="str">
        <f t="shared" si="55"/>
        <v>Fixed Inputs</v>
      </c>
      <c r="BC283" s="34" t="str">
        <f t="shared" si="58"/>
        <v>Variant allowances</v>
      </c>
      <c r="BD283" s="34" t="str">
        <f t="shared" si="57"/>
        <v>Totex variant allowances allocation percentages</v>
      </c>
    </row>
    <row r="284" spans="5:56" x14ac:dyDescent="0.35">
      <c r="E284" s="195" t="str" cm="1">
        <f t="array" ref="E284">INDEX($E$99:$E$202,INT((ROW()-ROW($E$205))/5)+1)</f>
        <v>PCD_WWU.7 - HS007 (WWU_WWU) / Pipeline Replacements PCD (WWU)</v>
      </c>
      <c r="F284" s="196"/>
      <c r="G284" s="196" t="s">
        <v>109</v>
      </c>
      <c r="H284" s="196" t="s">
        <v>172</v>
      </c>
      <c r="I284" s="196"/>
      <c r="J284" s="196"/>
      <c r="K284" s="196"/>
      <c r="L284" s="196"/>
      <c r="M284" s="196"/>
      <c r="N284" s="196"/>
      <c r="O284" s="196"/>
      <c r="P284" s="196"/>
      <c r="Q284" s="196"/>
      <c r="R284" s="196"/>
      <c r="S284" s="196"/>
      <c r="T284" s="196"/>
      <c r="U284" s="196"/>
      <c r="V284" s="196"/>
      <c r="W284" s="196"/>
      <c r="X284" s="196"/>
      <c r="Y284" s="196"/>
      <c r="Z284" s="196"/>
      <c r="AA284" s="196"/>
      <c r="AB284" s="196"/>
      <c r="AC284" s="196"/>
      <c r="AD284" s="196"/>
      <c r="AE284" s="196"/>
      <c r="AF284" s="196"/>
      <c r="AG284" s="196"/>
      <c r="AH284" s="196"/>
      <c r="AI284" s="196"/>
      <c r="AJ284" s="196"/>
      <c r="AK284" s="196"/>
      <c r="AL284" s="196"/>
      <c r="AM284" s="196"/>
      <c r="AN284" s="196"/>
      <c r="AO284" s="196"/>
      <c r="AP284" s="196"/>
      <c r="AQ284" s="196"/>
      <c r="AR284" s="196"/>
      <c r="AS284" s="196"/>
      <c r="AT284" s="208"/>
      <c r="AU284" s="198">
        <v>0</v>
      </c>
      <c r="AV284" s="199">
        <v>0</v>
      </c>
      <c r="AW284" s="199">
        <v>0</v>
      </c>
      <c r="AX284" s="199">
        <v>0</v>
      </c>
      <c r="AY284" s="200">
        <v>0</v>
      </c>
      <c r="BA284" s="34" t="str">
        <f t="shared" ca="1" si="54"/>
        <v>Scotland</v>
      </c>
      <c r="BB284" s="34" t="str">
        <f t="shared" si="55"/>
        <v>Fixed Inputs</v>
      </c>
      <c r="BC284" s="34" t="str">
        <f t="shared" si="58"/>
        <v>Variant allowances</v>
      </c>
      <c r="BD284" s="34" t="str">
        <f t="shared" si="57"/>
        <v>Totex variant allowances allocation percentages</v>
      </c>
    </row>
    <row r="285" spans="5:56" x14ac:dyDescent="0.35">
      <c r="E285" s="187" t="str" cm="1">
        <f t="array" ref="E285">INDEX($E$99:$E$202,INT((ROW()-ROW($E$205))/5)+1)</f>
        <v>PCD_WWU.9 - HS009 (WWU_WWU) / Pipeline Replacements PCD (WWU)</v>
      </c>
      <c r="F285" s="188"/>
      <c r="G285" s="188" t="s">
        <v>109</v>
      </c>
      <c r="H285" s="188" t="s">
        <v>168</v>
      </c>
      <c r="I285" s="188"/>
      <c r="J285" s="188"/>
      <c r="K285" s="188"/>
      <c r="L285" s="188"/>
      <c r="M285" s="188"/>
      <c r="N285" s="188"/>
      <c r="O285" s="188"/>
      <c r="P285" s="188"/>
      <c r="Q285" s="188"/>
      <c r="R285" s="188"/>
      <c r="S285" s="188"/>
      <c r="T285" s="188"/>
      <c r="U285" s="188"/>
      <c r="V285" s="188"/>
      <c r="W285" s="188"/>
      <c r="X285" s="188"/>
      <c r="Y285" s="188"/>
      <c r="Z285" s="188"/>
      <c r="AA285" s="188"/>
      <c r="AB285" s="188"/>
      <c r="AC285" s="188"/>
      <c r="AD285" s="188"/>
      <c r="AE285" s="188"/>
      <c r="AF285" s="188"/>
      <c r="AG285" s="188"/>
      <c r="AH285" s="188"/>
      <c r="AI285" s="188"/>
      <c r="AJ285" s="188"/>
      <c r="AK285" s="188"/>
      <c r="AL285" s="188"/>
      <c r="AM285" s="188"/>
      <c r="AN285" s="188"/>
      <c r="AO285" s="188"/>
      <c r="AP285" s="188"/>
      <c r="AQ285" s="188"/>
      <c r="AR285" s="188"/>
      <c r="AS285" s="188"/>
      <c r="AT285" s="202"/>
      <c r="AU285" s="190">
        <v>0</v>
      </c>
      <c r="AV285" s="191">
        <v>0</v>
      </c>
      <c r="AW285" s="191">
        <v>0</v>
      </c>
      <c r="AX285" s="191">
        <v>0</v>
      </c>
      <c r="AY285" s="192">
        <v>0</v>
      </c>
      <c r="BA285" s="34" t="str">
        <f t="shared" ca="1" si="54"/>
        <v>Scotland</v>
      </c>
      <c r="BB285" s="34" t="str">
        <f t="shared" si="55"/>
        <v>Fixed Inputs</v>
      </c>
      <c r="BC285" s="34" t="str">
        <f t="shared" si="58"/>
        <v>Variant allowances</v>
      </c>
      <c r="BD285" s="34" t="str">
        <f t="shared" si="57"/>
        <v>Totex variant allowances allocation percentages</v>
      </c>
    </row>
    <row r="286" spans="5:56" x14ac:dyDescent="0.35">
      <c r="E286" s="193" t="str" cm="1">
        <f t="array" ref="E286">INDEX($E$99:$E$202,INT((ROW()-ROW($E$205))/5)+1)</f>
        <v>PCD_WWU.9 - HS009 (WWU_WWU) / Pipeline Replacements PCD (WWU)</v>
      </c>
      <c r="G286" s="33" t="s">
        <v>109</v>
      </c>
      <c r="H286" s="33" t="s">
        <v>169</v>
      </c>
      <c r="AU286" s="140">
        <v>1</v>
      </c>
      <c r="AV286" s="23">
        <v>1</v>
      </c>
      <c r="AW286" s="23">
        <v>1</v>
      </c>
      <c r="AX286" s="23">
        <v>1</v>
      </c>
      <c r="AY286" s="194">
        <v>1</v>
      </c>
      <c r="BA286" s="34" t="str">
        <f t="shared" ca="1" si="54"/>
        <v>Scotland</v>
      </c>
      <c r="BB286" s="34" t="str">
        <f t="shared" si="55"/>
        <v>Fixed Inputs</v>
      </c>
      <c r="BC286" s="34" t="str">
        <f t="shared" si="58"/>
        <v>Variant allowances</v>
      </c>
      <c r="BD286" s="34" t="str">
        <f t="shared" si="57"/>
        <v>Totex variant allowances allocation percentages</v>
      </c>
    </row>
    <row r="287" spans="5:56" x14ac:dyDescent="0.35">
      <c r="E287" s="193" t="str" cm="1">
        <f t="array" ref="E287">INDEX($E$99:$E$202,INT((ROW()-ROW($E$205))/5)+1)</f>
        <v>PCD_WWU.9 - HS009 (WWU_WWU) / Pipeline Replacements PCD (WWU)</v>
      </c>
      <c r="G287" s="33" t="s">
        <v>109</v>
      </c>
      <c r="H287" s="33" t="s">
        <v>170</v>
      </c>
      <c r="AU287" s="140">
        <v>0</v>
      </c>
      <c r="AV287" s="23">
        <v>0</v>
      </c>
      <c r="AW287" s="23">
        <v>0</v>
      </c>
      <c r="AX287" s="23">
        <v>0</v>
      </c>
      <c r="AY287" s="194">
        <v>0</v>
      </c>
      <c r="BA287" s="34" t="str">
        <f t="shared" ca="1" si="54"/>
        <v>Scotland</v>
      </c>
      <c r="BB287" s="34" t="str">
        <f t="shared" si="55"/>
        <v>Fixed Inputs</v>
      </c>
      <c r="BC287" s="34" t="str">
        <f t="shared" si="58"/>
        <v>Variant allowances</v>
      </c>
      <c r="BD287" s="34" t="str">
        <f t="shared" si="57"/>
        <v>Totex variant allowances allocation percentages</v>
      </c>
    </row>
    <row r="288" spans="5:56" x14ac:dyDescent="0.35">
      <c r="E288" s="193" t="str" cm="1">
        <f t="array" ref="E288">INDEX($E$99:$E$202,INT((ROW()-ROW($E$205))/5)+1)</f>
        <v>PCD_WWU.9 - HS009 (WWU_WWU) / Pipeline Replacements PCD (WWU)</v>
      </c>
      <c r="G288" s="33" t="s">
        <v>109</v>
      </c>
      <c r="H288" s="33" t="s">
        <v>171</v>
      </c>
      <c r="AU288" s="140">
        <v>0</v>
      </c>
      <c r="AV288" s="23">
        <v>0</v>
      </c>
      <c r="AW288" s="23">
        <v>0</v>
      </c>
      <c r="AX288" s="23">
        <v>0</v>
      </c>
      <c r="AY288" s="194">
        <v>0</v>
      </c>
      <c r="BA288" s="34" t="str">
        <f t="shared" ca="1" si="54"/>
        <v>Scotland</v>
      </c>
      <c r="BB288" s="34" t="str">
        <f t="shared" si="55"/>
        <v>Fixed Inputs</v>
      </c>
      <c r="BC288" s="34" t="str">
        <f t="shared" si="58"/>
        <v>Variant allowances</v>
      </c>
      <c r="BD288" s="34" t="str">
        <f t="shared" si="57"/>
        <v>Totex variant allowances allocation percentages</v>
      </c>
    </row>
    <row r="289" spans="5:56" x14ac:dyDescent="0.35">
      <c r="E289" s="195" t="str" cm="1">
        <f t="array" ref="E289">INDEX($E$99:$E$202,INT((ROW()-ROW($E$205))/5)+1)</f>
        <v>PCD_WWU.9 - HS009 (WWU_WWU) / Pipeline Replacements PCD (WWU)</v>
      </c>
      <c r="F289" s="196"/>
      <c r="G289" s="196" t="s">
        <v>109</v>
      </c>
      <c r="H289" s="196" t="s">
        <v>172</v>
      </c>
      <c r="I289" s="196"/>
      <c r="J289" s="196"/>
      <c r="K289" s="196"/>
      <c r="L289" s="196"/>
      <c r="M289" s="196"/>
      <c r="N289" s="196"/>
      <c r="O289" s="196"/>
      <c r="P289" s="196"/>
      <c r="Q289" s="196"/>
      <c r="R289" s="196"/>
      <c r="S289" s="196"/>
      <c r="T289" s="196"/>
      <c r="U289" s="196"/>
      <c r="V289" s="196"/>
      <c r="W289" s="196"/>
      <c r="X289" s="196"/>
      <c r="Y289" s="196"/>
      <c r="Z289" s="196"/>
      <c r="AA289" s="196"/>
      <c r="AB289" s="196"/>
      <c r="AC289" s="196"/>
      <c r="AD289" s="196"/>
      <c r="AE289" s="196"/>
      <c r="AF289" s="196"/>
      <c r="AG289" s="196"/>
      <c r="AH289" s="196"/>
      <c r="AI289" s="196"/>
      <c r="AJ289" s="196"/>
      <c r="AK289" s="196"/>
      <c r="AL289" s="196"/>
      <c r="AM289" s="196"/>
      <c r="AN289" s="196"/>
      <c r="AO289" s="196"/>
      <c r="AP289" s="196"/>
      <c r="AQ289" s="196"/>
      <c r="AR289" s="196"/>
      <c r="AS289" s="196"/>
      <c r="AT289" s="208"/>
      <c r="AU289" s="198">
        <v>0</v>
      </c>
      <c r="AV289" s="199">
        <v>0</v>
      </c>
      <c r="AW289" s="199">
        <v>0</v>
      </c>
      <c r="AX289" s="199">
        <v>0</v>
      </c>
      <c r="AY289" s="200">
        <v>0</v>
      </c>
      <c r="BA289" s="34" t="str">
        <f t="shared" ca="1" si="54"/>
        <v>Scotland</v>
      </c>
      <c r="BB289" s="34" t="str">
        <f t="shared" si="55"/>
        <v>Fixed Inputs</v>
      </c>
      <c r="BC289" s="34" t="str">
        <f t="shared" si="58"/>
        <v>Variant allowances</v>
      </c>
      <c r="BD289" s="34" t="str">
        <f t="shared" si="57"/>
        <v>Totex variant allowances allocation percentages</v>
      </c>
    </row>
    <row r="290" spans="5:56" x14ac:dyDescent="0.35">
      <c r="E290" s="187" t="str" cm="1">
        <f t="array" ref="E290">INDEX($E$99:$E$202,INT((ROW()-ROW($E$205))/5)+1)</f>
        <v>PCD_WWU.9 - HS010 (WWU_WWU) / Pipeline Replacements PCD (WWU)</v>
      </c>
      <c r="F290" s="188"/>
      <c r="G290" s="188" t="s">
        <v>109</v>
      </c>
      <c r="H290" s="188" t="s">
        <v>168</v>
      </c>
      <c r="I290" s="188"/>
      <c r="J290" s="188"/>
      <c r="K290" s="188"/>
      <c r="L290" s="188"/>
      <c r="M290" s="188"/>
      <c r="N290" s="188"/>
      <c r="O290" s="188"/>
      <c r="P290" s="188"/>
      <c r="Q290" s="188"/>
      <c r="R290" s="188"/>
      <c r="S290" s="188"/>
      <c r="T290" s="188"/>
      <c r="U290" s="188"/>
      <c r="V290" s="188"/>
      <c r="W290" s="188"/>
      <c r="X290" s="188"/>
      <c r="Y290" s="188"/>
      <c r="Z290" s="188"/>
      <c r="AA290" s="188"/>
      <c r="AB290" s="188"/>
      <c r="AC290" s="188"/>
      <c r="AD290" s="188"/>
      <c r="AE290" s="188"/>
      <c r="AF290" s="188"/>
      <c r="AG290" s="188"/>
      <c r="AH290" s="188"/>
      <c r="AI290" s="188"/>
      <c r="AJ290" s="188"/>
      <c r="AK290" s="188"/>
      <c r="AL290" s="188"/>
      <c r="AM290" s="188"/>
      <c r="AN290" s="188"/>
      <c r="AO290" s="188"/>
      <c r="AP290" s="188"/>
      <c r="AQ290" s="188"/>
      <c r="AR290" s="188"/>
      <c r="AS290" s="188"/>
      <c r="AT290" s="202"/>
      <c r="AU290" s="190">
        <v>0</v>
      </c>
      <c r="AV290" s="191">
        <v>0</v>
      </c>
      <c r="AW290" s="191">
        <v>0</v>
      </c>
      <c r="AX290" s="191">
        <v>0</v>
      </c>
      <c r="AY290" s="192">
        <v>0</v>
      </c>
      <c r="BA290" s="34" t="str">
        <f t="shared" ca="1" si="54"/>
        <v>Scotland</v>
      </c>
      <c r="BB290" s="34" t="str">
        <f t="shared" si="55"/>
        <v>Fixed Inputs</v>
      </c>
      <c r="BC290" s="34" t="str">
        <f t="shared" si="58"/>
        <v>Variant allowances</v>
      </c>
      <c r="BD290" s="34" t="str">
        <f t="shared" si="57"/>
        <v>Totex variant allowances allocation percentages</v>
      </c>
    </row>
    <row r="291" spans="5:56" x14ac:dyDescent="0.35">
      <c r="E291" s="193" t="str" cm="1">
        <f t="array" ref="E291">INDEX($E$99:$E$202,INT((ROW()-ROW($E$205))/5)+1)</f>
        <v>PCD_WWU.9 - HS010 (WWU_WWU) / Pipeline Replacements PCD (WWU)</v>
      </c>
      <c r="G291" s="33" t="s">
        <v>109</v>
      </c>
      <c r="H291" s="33" t="s">
        <v>169</v>
      </c>
      <c r="AU291" s="140">
        <v>1</v>
      </c>
      <c r="AV291" s="23">
        <v>1</v>
      </c>
      <c r="AW291" s="23">
        <v>1</v>
      </c>
      <c r="AX291" s="23">
        <v>1</v>
      </c>
      <c r="AY291" s="194">
        <v>1</v>
      </c>
      <c r="BA291" s="34" t="str">
        <f t="shared" ca="1" si="54"/>
        <v>Scotland</v>
      </c>
      <c r="BB291" s="34" t="str">
        <f t="shared" si="55"/>
        <v>Fixed Inputs</v>
      </c>
      <c r="BC291" s="34" t="str">
        <f t="shared" si="58"/>
        <v>Variant allowances</v>
      </c>
      <c r="BD291" s="34" t="str">
        <f t="shared" si="57"/>
        <v>Totex variant allowances allocation percentages</v>
      </c>
    </row>
    <row r="292" spans="5:56" x14ac:dyDescent="0.35">
      <c r="E292" s="193" t="str" cm="1">
        <f t="array" ref="E292">INDEX($E$99:$E$202,INT((ROW()-ROW($E$205))/5)+1)</f>
        <v>PCD_WWU.9 - HS010 (WWU_WWU) / Pipeline Replacements PCD (WWU)</v>
      </c>
      <c r="G292" s="33" t="s">
        <v>109</v>
      </c>
      <c r="H292" s="33" t="s">
        <v>170</v>
      </c>
      <c r="AU292" s="140">
        <v>0</v>
      </c>
      <c r="AV292" s="23">
        <v>0</v>
      </c>
      <c r="AW292" s="23">
        <v>0</v>
      </c>
      <c r="AX292" s="23">
        <v>0</v>
      </c>
      <c r="AY292" s="194">
        <v>0</v>
      </c>
      <c r="BA292" s="34" t="str">
        <f t="shared" ca="1" si="54"/>
        <v>Scotland</v>
      </c>
      <c r="BB292" s="34" t="str">
        <f t="shared" si="55"/>
        <v>Fixed Inputs</v>
      </c>
      <c r="BC292" s="34" t="str">
        <f t="shared" si="58"/>
        <v>Variant allowances</v>
      </c>
      <c r="BD292" s="34" t="str">
        <f t="shared" si="57"/>
        <v>Totex variant allowances allocation percentages</v>
      </c>
    </row>
    <row r="293" spans="5:56" x14ac:dyDescent="0.35">
      <c r="E293" s="193" t="str" cm="1">
        <f t="array" ref="E293">INDEX($E$99:$E$202,INT((ROW()-ROW($E$205))/5)+1)</f>
        <v>PCD_WWU.9 - HS010 (WWU_WWU) / Pipeline Replacements PCD (WWU)</v>
      </c>
      <c r="G293" s="33" t="s">
        <v>109</v>
      </c>
      <c r="H293" s="33" t="s">
        <v>171</v>
      </c>
      <c r="AU293" s="140">
        <v>0</v>
      </c>
      <c r="AV293" s="23">
        <v>0</v>
      </c>
      <c r="AW293" s="23">
        <v>0</v>
      </c>
      <c r="AX293" s="23">
        <v>0</v>
      </c>
      <c r="AY293" s="194">
        <v>0</v>
      </c>
      <c r="BA293" s="34" t="str">
        <f t="shared" ca="1" si="54"/>
        <v>Scotland</v>
      </c>
      <c r="BB293" s="34" t="str">
        <f t="shared" si="55"/>
        <v>Fixed Inputs</v>
      </c>
      <c r="BC293" s="34" t="str">
        <f t="shared" si="58"/>
        <v>Variant allowances</v>
      </c>
      <c r="BD293" s="34" t="str">
        <f t="shared" si="57"/>
        <v>Totex variant allowances allocation percentages</v>
      </c>
    </row>
    <row r="294" spans="5:56" x14ac:dyDescent="0.35">
      <c r="E294" s="195" t="str" cm="1">
        <f t="array" ref="E294">INDEX($E$99:$E$202,INT((ROW()-ROW($E$205))/5)+1)</f>
        <v>PCD_WWU.9 - HS010 (WWU_WWU) / Pipeline Replacements PCD (WWU)</v>
      </c>
      <c r="F294" s="196"/>
      <c r="G294" s="196" t="s">
        <v>109</v>
      </c>
      <c r="H294" s="196" t="s">
        <v>172</v>
      </c>
      <c r="I294" s="196"/>
      <c r="J294" s="196"/>
      <c r="K294" s="196"/>
      <c r="L294" s="196"/>
      <c r="M294" s="196"/>
      <c r="N294" s="196"/>
      <c r="O294" s="196"/>
      <c r="P294" s="196"/>
      <c r="Q294" s="196"/>
      <c r="R294" s="196"/>
      <c r="S294" s="196"/>
      <c r="T294" s="196"/>
      <c r="U294" s="196"/>
      <c r="V294" s="196"/>
      <c r="W294" s="196"/>
      <c r="X294" s="196"/>
      <c r="Y294" s="196"/>
      <c r="Z294" s="196"/>
      <c r="AA294" s="196"/>
      <c r="AB294" s="196"/>
      <c r="AC294" s="196"/>
      <c r="AD294" s="196"/>
      <c r="AE294" s="196"/>
      <c r="AF294" s="196"/>
      <c r="AG294" s="196"/>
      <c r="AH294" s="196"/>
      <c r="AI294" s="196"/>
      <c r="AJ294" s="196"/>
      <c r="AK294" s="196"/>
      <c r="AL294" s="196"/>
      <c r="AM294" s="196"/>
      <c r="AN294" s="196"/>
      <c r="AO294" s="196"/>
      <c r="AP294" s="196"/>
      <c r="AQ294" s="196"/>
      <c r="AR294" s="196"/>
      <c r="AS294" s="196"/>
      <c r="AT294" s="208"/>
      <c r="AU294" s="198">
        <v>0</v>
      </c>
      <c r="AV294" s="199">
        <v>0</v>
      </c>
      <c r="AW294" s="199">
        <v>0</v>
      </c>
      <c r="AX294" s="199">
        <v>0</v>
      </c>
      <c r="AY294" s="200">
        <v>0</v>
      </c>
      <c r="BA294" s="34" t="str">
        <f t="shared" ca="1" si="54"/>
        <v>Scotland</v>
      </c>
      <c r="BB294" s="34" t="str">
        <f t="shared" si="55"/>
        <v>Fixed Inputs</v>
      </c>
      <c r="BC294" s="34" t="str">
        <f t="shared" si="58"/>
        <v>Variant allowances</v>
      </c>
      <c r="BD294" s="34" t="str">
        <f t="shared" si="57"/>
        <v>Totex variant allowances allocation percentages</v>
      </c>
    </row>
    <row r="295" spans="5:56" x14ac:dyDescent="0.35">
      <c r="E295" s="187" t="str" cm="1">
        <f t="array" ref="E295">INDEX($E$99:$E$202,INT((ROW()-ROW($E$205))/5)+1)</f>
        <v>PCD_Mandated Category 3 Security (Cadent_all)</v>
      </c>
      <c r="F295" s="188"/>
      <c r="G295" s="188" t="s">
        <v>109</v>
      </c>
      <c r="H295" s="188" t="s">
        <v>168</v>
      </c>
      <c r="I295" s="188"/>
      <c r="J295" s="188"/>
      <c r="K295" s="188"/>
      <c r="L295" s="188"/>
      <c r="M295" s="188"/>
      <c r="N295" s="188"/>
      <c r="O295" s="188"/>
      <c r="P295" s="188"/>
      <c r="Q295" s="188"/>
      <c r="R295" s="188"/>
      <c r="S295" s="188"/>
      <c r="T295" s="188"/>
      <c r="U295" s="188"/>
      <c r="V295" s="188"/>
      <c r="W295" s="188"/>
      <c r="X295" s="188"/>
      <c r="Y295" s="188"/>
      <c r="Z295" s="188"/>
      <c r="AA295" s="188"/>
      <c r="AB295" s="188"/>
      <c r="AC295" s="188"/>
      <c r="AD295" s="188"/>
      <c r="AE295" s="188"/>
      <c r="AF295" s="188"/>
      <c r="AG295" s="188"/>
      <c r="AH295" s="188"/>
      <c r="AI295" s="188"/>
      <c r="AJ295" s="188"/>
      <c r="AK295" s="188"/>
      <c r="AL295" s="188"/>
      <c r="AM295" s="188"/>
      <c r="AN295" s="188"/>
      <c r="AO295" s="188"/>
      <c r="AP295" s="188"/>
      <c r="AQ295" s="188"/>
      <c r="AR295" s="188"/>
      <c r="AS295" s="188"/>
      <c r="AT295" s="202"/>
      <c r="AU295" s="190">
        <v>0</v>
      </c>
      <c r="AV295" s="191">
        <v>0</v>
      </c>
      <c r="AW295" s="191">
        <v>0</v>
      </c>
      <c r="AX295" s="191">
        <v>0</v>
      </c>
      <c r="AY295" s="192">
        <v>0</v>
      </c>
      <c r="BA295" s="34" t="str">
        <f t="shared" ca="1" si="54"/>
        <v>Scotland</v>
      </c>
      <c r="BB295" s="34" t="str">
        <f t="shared" si="55"/>
        <v>Fixed Inputs</v>
      </c>
      <c r="BC295" s="34" t="str">
        <f t="shared" si="58"/>
        <v>Variant allowances</v>
      </c>
      <c r="BD295" s="34" t="str">
        <f t="shared" si="57"/>
        <v>Totex variant allowances allocation percentages</v>
      </c>
    </row>
    <row r="296" spans="5:56" x14ac:dyDescent="0.35">
      <c r="E296" s="193" t="str" cm="1">
        <f t="array" ref="E296">INDEX($E$99:$E$202,INT((ROW()-ROW($E$205))/5)+1)</f>
        <v>PCD_Mandated Category 3 Security (Cadent_all)</v>
      </c>
      <c r="G296" s="33" t="s">
        <v>109</v>
      </c>
      <c r="H296" s="33" t="s">
        <v>169</v>
      </c>
      <c r="AU296" s="140">
        <v>1</v>
      </c>
      <c r="AV296" s="23">
        <v>1</v>
      </c>
      <c r="AW296" s="23">
        <v>1</v>
      </c>
      <c r="AX296" s="23">
        <v>1</v>
      </c>
      <c r="AY296" s="194">
        <v>1</v>
      </c>
      <c r="BA296" s="34" t="str">
        <f t="shared" ca="1" si="54"/>
        <v>Scotland</v>
      </c>
      <c r="BB296" s="34" t="str">
        <f t="shared" si="55"/>
        <v>Fixed Inputs</v>
      </c>
      <c r="BC296" s="34" t="str">
        <f t="shared" si="58"/>
        <v>Variant allowances</v>
      </c>
      <c r="BD296" s="34" t="str">
        <f t="shared" si="57"/>
        <v>Totex variant allowances allocation percentages</v>
      </c>
    </row>
    <row r="297" spans="5:56" x14ac:dyDescent="0.35">
      <c r="E297" s="193" t="str" cm="1">
        <f t="array" ref="E297">INDEX($E$99:$E$202,INT((ROW()-ROW($E$205))/5)+1)</f>
        <v>PCD_Mandated Category 3 Security (Cadent_all)</v>
      </c>
      <c r="G297" s="33" t="s">
        <v>109</v>
      </c>
      <c r="H297" s="33" t="s">
        <v>170</v>
      </c>
      <c r="AU297" s="140">
        <v>0</v>
      </c>
      <c r="AV297" s="23">
        <v>0</v>
      </c>
      <c r="AW297" s="23">
        <v>0</v>
      </c>
      <c r="AX297" s="23">
        <v>0</v>
      </c>
      <c r="AY297" s="194">
        <v>0</v>
      </c>
      <c r="BA297" s="34" t="str">
        <f t="shared" ca="1" si="54"/>
        <v>Scotland</v>
      </c>
      <c r="BB297" s="34" t="str">
        <f t="shared" si="55"/>
        <v>Fixed Inputs</v>
      </c>
      <c r="BC297" s="34" t="str">
        <f t="shared" si="58"/>
        <v>Variant allowances</v>
      </c>
      <c r="BD297" s="34" t="str">
        <f t="shared" si="57"/>
        <v>Totex variant allowances allocation percentages</v>
      </c>
    </row>
    <row r="298" spans="5:56" x14ac:dyDescent="0.35">
      <c r="E298" s="193" t="str" cm="1">
        <f t="array" ref="E298">INDEX($E$99:$E$202,INT((ROW()-ROW($E$205))/5)+1)</f>
        <v>PCD_Mandated Category 3 Security (Cadent_all)</v>
      </c>
      <c r="G298" s="33" t="s">
        <v>109</v>
      </c>
      <c r="H298" s="33" t="s">
        <v>171</v>
      </c>
      <c r="AU298" s="140">
        <v>0</v>
      </c>
      <c r="AV298" s="23">
        <v>0</v>
      </c>
      <c r="AW298" s="23">
        <v>0</v>
      </c>
      <c r="AX298" s="23">
        <v>0</v>
      </c>
      <c r="AY298" s="194">
        <v>0</v>
      </c>
      <c r="BA298" s="34" t="str">
        <f t="shared" ca="1" si="54"/>
        <v>Scotland</v>
      </c>
      <c r="BB298" s="34" t="str">
        <f t="shared" si="55"/>
        <v>Fixed Inputs</v>
      </c>
      <c r="BC298" s="34" t="str">
        <f t="shared" si="58"/>
        <v>Variant allowances</v>
      </c>
      <c r="BD298" s="34" t="str">
        <f t="shared" si="57"/>
        <v>Totex variant allowances allocation percentages</v>
      </c>
    </row>
    <row r="299" spans="5:56" x14ac:dyDescent="0.35">
      <c r="E299" s="195" t="str" cm="1">
        <f t="array" ref="E299">INDEX($E$99:$E$202,INT((ROW()-ROW($E$205))/5)+1)</f>
        <v>PCD_Mandated Category 3 Security (Cadent_all)</v>
      </c>
      <c r="F299" s="196"/>
      <c r="G299" s="196" t="s">
        <v>109</v>
      </c>
      <c r="H299" s="196" t="s">
        <v>172</v>
      </c>
      <c r="I299" s="196"/>
      <c r="J299" s="196"/>
      <c r="K299" s="196"/>
      <c r="L299" s="196"/>
      <c r="M299" s="196"/>
      <c r="N299" s="196"/>
      <c r="O299" s="196"/>
      <c r="P299" s="196"/>
      <c r="Q299" s="196"/>
      <c r="R299" s="196"/>
      <c r="S299" s="196"/>
      <c r="T299" s="196"/>
      <c r="U299" s="196"/>
      <c r="V299" s="196"/>
      <c r="W299" s="196"/>
      <c r="X299" s="196"/>
      <c r="Y299" s="196"/>
      <c r="Z299" s="196"/>
      <c r="AA299" s="196"/>
      <c r="AB299" s="196"/>
      <c r="AC299" s="196"/>
      <c r="AD299" s="196"/>
      <c r="AE299" s="196"/>
      <c r="AF299" s="196"/>
      <c r="AG299" s="196"/>
      <c r="AH299" s="196"/>
      <c r="AI299" s="196"/>
      <c r="AJ299" s="196"/>
      <c r="AK299" s="196"/>
      <c r="AL299" s="196"/>
      <c r="AM299" s="196"/>
      <c r="AN299" s="196"/>
      <c r="AO299" s="196"/>
      <c r="AP299" s="196"/>
      <c r="AQ299" s="196"/>
      <c r="AR299" s="196"/>
      <c r="AS299" s="196"/>
      <c r="AT299" s="208"/>
      <c r="AU299" s="198">
        <v>0</v>
      </c>
      <c r="AV299" s="199">
        <v>0</v>
      </c>
      <c r="AW299" s="199">
        <v>0</v>
      </c>
      <c r="AX299" s="199">
        <v>0</v>
      </c>
      <c r="AY299" s="200">
        <v>0</v>
      </c>
      <c r="BA299" s="34" t="str">
        <f t="shared" ca="1" si="54"/>
        <v>Scotland</v>
      </c>
      <c r="BB299" s="34" t="str">
        <f t="shared" si="55"/>
        <v>Fixed Inputs</v>
      </c>
      <c r="BC299" s="34" t="str">
        <f t="shared" si="58"/>
        <v>Variant allowances</v>
      </c>
      <c r="BD299" s="34" t="str">
        <f t="shared" si="57"/>
        <v>Totex variant allowances allocation percentages</v>
      </c>
    </row>
    <row r="300" spans="5:56" x14ac:dyDescent="0.35">
      <c r="E300" s="187" t="str" cm="1">
        <f t="array" ref="E300">INDEX($E$99:$E$202,INT((ROW()-ROW($E$205))/5)+1)</f>
        <v>VD_GSIUR Disconnections Volume Driver</v>
      </c>
      <c r="F300" s="188"/>
      <c r="G300" s="188" t="s">
        <v>109</v>
      </c>
      <c r="H300" s="188" t="s">
        <v>168</v>
      </c>
      <c r="I300" s="188"/>
      <c r="J300" s="188"/>
      <c r="K300" s="188"/>
      <c r="L300" s="188"/>
      <c r="M300" s="188"/>
      <c r="N300" s="188"/>
      <c r="O300" s="188"/>
      <c r="P300" s="188"/>
      <c r="Q300" s="188"/>
      <c r="R300" s="188"/>
      <c r="S300" s="188"/>
      <c r="T300" s="188"/>
      <c r="U300" s="188"/>
      <c r="V300" s="188"/>
      <c r="W300" s="188"/>
      <c r="X300" s="188"/>
      <c r="Y300" s="188"/>
      <c r="Z300" s="188"/>
      <c r="AA300" s="188"/>
      <c r="AB300" s="188"/>
      <c r="AC300" s="188"/>
      <c r="AD300" s="188"/>
      <c r="AE300" s="188"/>
      <c r="AF300" s="188"/>
      <c r="AG300" s="188"/>
      <c r="AH300" s="188"/>
      <c r="AI300" s="188"/>
      <c r="AJ300" s="188"/>
      <c r="AK300" s="188"/>
      <c r="AL300" s="188"/>
      <c r="AM300" s="188"/>
      <c r="AN300" s="188"/>
      <c r="AO300" s="188"/>
      <c r="AP300" s="188"/>
      <c r="AQ300" s="188"/>
      <c r="AR300" s="188"/>
      <c r="AS300" s="188"/>
      <c r="AT300" s="202"/>
      <c r="AU300" s="190">
        <v>0</v>
      </c>
      <c r="AV300" s="191">
        <v>0</v>
      </c>
      <c r="AW300" s="191">
        <v>0</v>
      </c>
      <c r="AX300" s="191">
        <v>0</v>
      </c>
      <c r="AY300" s="192">
        <v>0</v>
      </c>
      <c r="BA300" s="34" t="str">
        <f t="shared" ca="1" si="54"/>
        <v>Scotland</v>
      </c>
      <c r="BB300" s="34" t="str">
        <f t="shared" si="55"/>
        <v>Fixed Inputs</v>
      </c>
      <c r="BC300" s="34" t="str">
        <f t="shared" si="58"/>
        <v>Variant allowances</v>
      </c>
      <c r="BD300" s="34" t="str">
        <f t="shared" si="57"/>
        <v>Totex variant allowances allocation percentages</v>
      </c>
    </row>
    <row r="301" spans="5:56" x14ac:dyDescent="0.35">
      <c r="E301" s="193" t="str" cm="1">
        <f t="array" ref="E301">INDEX($E$99:$E$202,INT((ROW()-ROW($E$205))/5)+1)</f>
        <v>VD_GSIUR Disconnections Volume Driver</v>
      </c>
      <c r="G301" s="33" t="s">
        <v>109</v>
      </c>
      <c r="H301" s="33" t="s">
        <v>169</v>
      </c>
      <c r="AU301" s="140">
        <v>0</v>
      </c>
      <c r="AV301" s="23">
        <v>0</v>
      </c>
      <c r="AW301" s="23">
        <v>0</v>
      </c>
      <c r="AX301" s="23">
        <v>0</v>
      </c>
      <c r="AY301" s="194">
        <v>0</v>
      </c>
      <c r="BA301" s="34" t="str">
        <f t="shared" ca="1" si="54"/>
        <v>Scotland</v>
      </c>
      <c r="BB301" s="34" t="str">
        <f t="shared" si="55"/>
        <v>Fixed Inputs</v>
      </c>
      <c r="BC301" s="34" t="str">
        <f t="shared" si="58"/>
        <v>Variant allowances</v>
      </c>
      <c r="BD301" s="34" t="str">
        <f t="shared" si="57"/>
        <v>Totex variant allowances allocation percentages</v>
      </c>
    </row>
    <row r="302" spans="5:56" x14ac:dyDescent="0.35">
      <c r="E302" s="193" t="str" cm="1">
        <f t="array" ref="E302">INDEX($E$99:$E$202,INT((ROW()-ROW($E$205))/5)+1)</f>
        <v>VD_GSIUR Disconnections Volume Driver</v>
      </c>
      <c r="G302" s="33" t="s">
        <v>109</v>
      </c>
      <c r="H302" s="33" t="s">
        <v>170</v>
      </c>
      <c r="AU302" s="140">
        <v>0</v>
      </c>
      <c r="AV302" s="23">
        <v>0</v>
      </c>
      <c r="AW302" s="23">
        <v>0</v>
      </c>
      <c r="AX302" s="23">
        <v>0</v>
      </c>
      <c r="AY302" s="194">
        <v>0</v>
      </c>
      <c r="BA302" s="34" t="str">
        <f t="shared" ca="1" si="54"/>
        <v>Scotland</v>
      </c>
      <c r="BB302" s="34" t="str">
        <f t="shared" si="55"/>
        <v>Fixed Inputs</v>
      </c>
      <c r="BC302" s="34" t="str">
        <f t="shared" si="58"/>
        <v>Variant allowances</v>
      </c>
      <c r="BD302" s="34" t="str">
        <f t="shared" si="57"/>
        <v>Totex variant allowances allocation percentages</v>
      </c>
    </row>
    <row r="303" spans="5:56" x14ac:dyDescent="0.35">
      <c r="E303" s="193" t="str" cm="1">
        <f t="array" ref="E303">INDEX($E$99:$E$202,INT((ROW()-ROW($E$205))/5)+1)</f>
        <v>VD_GSIUR Disconnections Volume Driver</v>
      </c>
      <c r="G303" s="33" t="s">
        <v>109</v>
      </c>
      <c r="H303" s="33" t="s">
        <v>171</v>
      </c>
      <c r="AU303" s="140">
        <v>1</v>
      </c>
      <c r="AV303" s="23">
        <v>1</v>
      </c>
      <c r="AW303" s="23">
        <v>1</v>
      </c>
      <c r="AX303" s="23">
        <v>1</v>
      </c>
      <c r="AY303" s="194">
        <v>1</v>
      </c>
      <c r="BA303" s="34" t="str">
        <f t="shared" ca="1" si="54"/>
        <v>Scotland</v>
      </c>
      <c r="BB303" s="34" t="str">
        <f t="shared" si="55"/>
        <v>Fixed Inputs</v>
      </c>
      <c r="BC303" s="34" t="str">
        <f t="shared" si="58"/>
        <v>Variant allowances</v>
      </c>
      <c r="BD303" s="34" t="str">
        <f t="shared" si="57"/>
        <v>Totex variant allowances allocation percentages</v>
      </c>
    </row>
    <row r="304" spans="5:56" x14ac:dyDescent="0.35">
      <c r="E304" s="195" t="str" cm="1">
        <f t="array" ref="E304">INDEX($E$99:$E$202,INT((ROW()-ROW($E$205))/5)+1)</f>
        <v>VD_GSIUR Disconnections Volume Driver</v>
      </c>
      <c r="F304" s="196"/>
      <c r="G304" s="196" t="s">
        <v>109</v>
      </c>
      <c r="H304" s="196" t="s">
        <v>172</v>
      </c>
      <c r="I304" s="196"/>
      <c r="J304" s="196"/>
      <c r="K304" s="196"/>
      <c r="L304" s="196"/>
      <c r="M304" s="196"/>
      <c r="N304" s="196"/>
      <c r="O304" s="196"/>
      <c r="P304" s="196"/>
      <c r="Q304" s="196"/>
      <c r="R304" s="196"/>
      <c r="S304" s="196"/>
      <c r="T304" s="196"/>
      <c r="U304" s="196"/>
      <c r="V304" s="196"/>
      <c r="W304" s="196"/>
      <c r="X304" s="196"/>
      <c r="Y304" s="196"/>
      <c r="Z304" s="196"/>
      <c r="AA304" s="196"/>
      <c r="AB304" s="196"/>
      <c r="AC304" s="196"/>
      <c r="AD304" s="196"/>
      <c r="AE304" s="196"/>
      <c r="AF304" s="196"/>
      <c r="AG304" s="196"/>
      <c r="AH304" s="196"/>
      <c r="AI304" s="196"/>
      <c r="AJ304" s="196"/>
      <c r="AK304" s="196"/>
      <c r="AL304" s="196"/>
      <c r="AM304" s="196"/>
      <c r="AN304" s="196"/>
      <c r="AO304" s="196"/>
      <c r="AP304" s="196"/>
      <c r="AQ304" s="196"/>
      <c r="AR304" s="196"/>
      <c r="AS304" s="196"/>
      <c r="AT304" s="208"/>
      <c r="AU304" s="198">
        <v>0</v>
      </c>
      <c r="AV304" s="199">
        <v>0</v>
      </c>
      <c r="AW304" s="199">
        <v>0</v>
      </c>
      <c r="AX304" s="199">
        <v>0</v>
      </c>
      <c r="AY304" s="200">
        <v>0</v>
      </c>
      <c r="BA304" s="34" t="str">
        <f t="shared" ca="1" si="54"/>
        <v>Scotland</v>
      </c>
      <c r="BB304" s="34" t="str">
        <f t="shared" si="55"/>
        <v>Fixed Inputs</v>
      </c>
      <c r="BC304" s="34" t="str">
        <f t="shared" si="58"/>
        <v>Variant allowances</v>
      </c>
      <c r="BD304" s="34" t="str">
        <f t="shared" si="57"/>
        <v>Totex variant allowances allocation percentages</v>
      </c>
    </row>
    <row r="305" spans="5:56" x14ac:dyDescent="0.35">
      <c r="E305" s="187" t="str" cm="1">
        <f t="array" ref="E305">INDEX($E$99:$E$202,INT((ROW()-ROW($E$205))/5)+1)</f>
        <v>VD_[spare slot]</v>
      </c>
      <c r="F305" s="188"/>
      <c r="G305" s="188" t="s">
        <v>109</v>
      </c>
      <c r="H305" s="188" t="s">
        <v>168</v>
      </c>
      <c r="I305" s="188"/>
      <c r="J305" s="188"/>
      <c r="K305" s="188"/>
      <c r="L305" s="188"/>
      <c r="M305" s="188"/>
      <c r="N305" s="188"/>
      <c r="O305" s="188"/>
      <c r="P305" s="188"/>
      <c r="Q305" s="188"/>
      <c r="R305" s="188"/>
      <c r="S305" s="188"/>
      <c r="T305" s="188"/>
      <c r="U305" s="188"/>
      <c r="V305" s="188"/>
      <c r="W305" s="188"/>
      <c r="X305" s="188"/>
      <c r="Y305" s="188"/>
      <c r="Z305" s="188"/>
      <c r="AA305" s="188"/>
      <c r="AB305" s="188"/>
      <c r="AC305" s="188"/>
      <c r="AD305" s="188"/>
      <c r="AE305" s="188"/>
      <c r="AF305" s="188"/>
      <c r="AG305" s="188"/>
      <c r="AH305" s="188"/>
      <c r="AI305" s="188"/>
      <c r="AJ305" s="188"/>
      <c r="AK305" s="188"/>
      <c r="AL305" s="188"/>
      <c r="AM305" s="188"/>
      <c r="AN305" s="188"/>
      <c r="AO305" s="188"/>
      <c r="AP305" s="188"/>
      <c r="AQ305" s="188"/>
      <c r="AR305" s="188"/>
      <c r="AS305" s="188"/>
      <c r="AT305" s="202"/>
      <c r="AU305" s="190">
        <v>0</v>
      </c>
      <c r="AV305" s="191">
        <v>0</v>
      </c>
      <c r="AW305" s="191">
        <v>0</v>
      </c>
      <c r="AX305" s="191">
        <v>0</v>
      </c>
      <c r="AY305" s="192">
        <v>0</v>
      </c>
      <c r="BA305" s="34" t="str">
        <f t="shared" ca="1" si="54"/>
        <v>Scotland</v>
      </c>
      <c r="BB305" s="34" t="str">
        <f t="shared" si="55"/>
        <v>Fixed Inputs</v>
      </c>
      <c r="BC305" s="34" t="str">
        <f t="shared" si="58"/>
        <v>Variant allowances</v>
      </c>
      <c r="BD305" s="34" t="str">
        <f t="shared" si="57"/>
        <v>Totex variant allowances allocation percentages</v>
      </c>
    </row>
    <row r="306" spans="5:56" x14ac:dyDescent="0.35">
      <c r="E306" s="193" t="str" cm="1">
        <f t="array" ref="E306">INDEX($E$99:$E$202,INT((ROW()-ROW($E$205))/5)+1)</f>
        <v>VD_[spare slot]</v>
      </c>
      <c r="G306" s="33" t="s">
        <v>109</v>
      </c>
      <c r="H306" s="33" t="s">
        <v>169</v>
      </c>
      <c r="AU306" s="140">
        <v>0</v>
      </c>
      <c r="AV306" s="23">
        <v>0</v>
      </c>
      <c r="AW306" s="23">
        <v>0</v>
      </c>
      <c r="AX306" s="23">
        <v>0</v>
      </c>
      <c r="AY306" s="194">
        <v>0</v>
      </c>
      <c r="BA306" s="34" t="str">
        <f t="shared" ca="1" si="54"/>
        <v>Scotland</v>
      </c>
      <c r="BB306" s="34" t="str">
        <f t="shared" si="55"/>
        <v>Fixed Inputs</v>
      </c>
      <c r="BC306" s="34" t="str">
        <f t="shared" si="58"/>
        <v>Variant allowances</v>
      </c>
      <c r="BD306" s="34" t="str">
        <f t="shared" si="57"/>
        <v>Totex variant allowances allocation percentages</v>
      </c>
    </row>
    <row r="307" spans="5:56" x14ac:dyDescent="0.35">
      <c r="E307" s="193" t="str" cm="1">
        <f t="array" ref="E307">INDEX($E$99:$E$202,INT((ROW()-ROW($E$205))/5)+1)</f>
        <v>VD_[spare slot]</v>
      </c>
      <c r="G307" s="33" t="s">
        <v>109</v>
      </c>
      <c r="H307" s="33" t="s">
        <v>170</v>
      </c>
      <c r="AU307" s="140">
        <v>0</v>
      </c>
      <c r="AV307" s="23">
        <v>0</v>
      </c>
      <c r="AW307" s="23">
        <v>0</v>
      </c>
      <c r="AX307" s="23">
        <v>0</v>
      </c>
      <c r="AY307" s="194">
        <v>0</v>
      </c>
      <c r="BA307" s="34" t="str">
        <f t="shared" ca="1" si="54"/>
        <v>Scotland</v>
      </c>
      <c r="BB307" s="34" t="str">
        <f t="shared" si="55"/>
        <v>Fixed Inputs</v>
      </c>
      <c r="BC307" s="34" t="str">
        <f t="shared" si="58"/>
        <v>Variant allowances</v>
      </c>
      <c r="BD307" s="34" t="str">
        <f t="shared" si="57"/>
        <v>Totex variant allowances allocation percentages</v>
      </c>
    </row>
    <row r="308" spans="5:56" x14ac:dyDescent="0.35">
      <c r="E308" s="193" t="str" cm="1">
        <f t="array" ref="E308">INDEX($E$99:$E$202,INT((ROW()-ROW($E$205))/5)+1)</f>
        <v>VD_[spare slot]</v>
      </c>
      <c r="G308" s="33" t="s">
        <v>109</v>
      </c>
      <c r="H308" s="33" t="s">
        <v>171</v>
      </c>
      <c r="AU308" s="21">
        <v>0</v>
      </c>
      <c r="AV308" s="21">
        <v>0</v>
      </c>
      <c r="AW308" s="21">
        <v>0</v>
      </c>
      <c r="AX308" s="21">
        <v>0</v>
      </c>
      <c r="AY308" s="222">
        <v>0</v>
      </c>
      <c r="BA308" s="34" t="str">
        <f t="shared" ca="1" si="54"/>
        <v>Scotland</v>
      </c>
      <c r="BB308" s="34" t="str">
        <f t="shared" si="55"/>
        <v>Fixed Inputs</v>
      </c>
      <c r="BC308" s="34" t="str">
        <f t="shared" si="58"/>
        <v>Variant allowances</v>
      </c>
      <c r="BD308" s="34" t="str">
        <f t="shared" si="57"/>
        <v>Totex variant allowances allocation percentages</v>
      </c>
    </row>
    <row r="309" spans="5:56" x14ac:dyDescent="0.35">
      <c r="E309" s="195" t="str" cm="1">
        <f t="array" ref="E309">INDEX($E$99:$E$202,INT((ROW()-ROW($E$205))/5)+1)</f>
        <v>VD_[spare slot]</v>
      </c>
      <c r="F309" s="196"/>
      <c r="G309" s="196" t="s">
        <v>109</v>
      </c>
      <c r="H309" s="196" t="s">
        <v>172</v>
      </c>
      <c r="I309" s="196"/>
      <c r="J309" s="196"/>
      <c r="K309" s="196"/>
      <c r="L309" s="196"/>
      <c r="M309" s="196"/>
      <c r="N309" s="196"/>
      <c r="O309" s="196"/>
      <c r="P309" s="196"/>
      <c r="Q309" s="196"/>
      <c r="R309" s="196"/>
      <c r="S309" s="196"/>
      <c r="T309" s="196"/>
      <c r="U309" s="196"/>
      <c r="V309" s="196"/>
      <c r="W309" s="196"/>
      <c r="X309" s="196"/>
      <c r="Y309" s="196"/>
      <c r="Z309" s="196"/>
      <c r="AA309" s="196"/>
      <c r="AB309" s="196"/>
      <c r="AC309" s="196"/>
      <c r="AD309" s="196"/>
      <c r="AE309" s="196"/>
      <c r="AF309" s="196"/>
      <c r="AG309" s="196"/>
      <c r="AH309" s="196"/>
      <c r="AI309" s="196"/>
      <c r="AJ309" s="196"/>
      <c r="AK309" s="196"/>
      <c r="AL309" s="196"/>
      <c r="AM309" s="196"/>
      <c r="AN309" s="196"/>
      <c r="AO309" s="196"/>
      <c r="AP309" s="196"/>
      <c r="AQ309" s="196"/>
      <c r="AR309" s="196"/>
      <c r="AS309" s="196"/>
      <c r="AT309" s="208"/>
      <c r="AU309" s="223">
        <v>0</v>
      </c>
      <c r="AV309" s="223">
        <v>0</v>
      </c>
      <c r="AW309" s="223">
        <v>0</v>
      </c>
      <c r="AX309" s="223">
        <v>0</v>
      </c>
      <c r="AY309" s="224">
        <v>0</v>
      </c>
      <c r="BA309" s="34" t="str">
        <f t="shared" ca="1" si="54"/>
        <v>Scotland</v>
      </c>
      <c r="BB309" s="34" t="str">
        <f t="shared" si="55"/>
        <v>Fixed Inputs</v>
      </c>
      <c r="BC309" s="34" t="str">
        <f t="shared" si="58"/>
        <v>Variant allowances</v>
      </c>
      <c r="BD309" s="34" t="str">
        <f t="shared" si="57"/>
        <v>Totex variant allowances allocation percentages</v>
      </c>
    </row>
    <row r="310" spans="5:56" x14ac:dyDescent="0.35">
      <c r="E310" s="187" t="str" cm="1">
        <f t="array" ref="E310">INDEX($E$99:$E$202,INT((ROW()-ROW($E$205))/5)+1)</f>
        <v>VD_Tier 2A Mains and Services Replacement Volume Driver</v>
      </c>
      <c r="F310" s="188"/>
      <c r="G310" s="188" t="s">
        <v>109</v>
      </c>
      <c r="H310" s="188" t="s">
        <v>168</v>
      </c>
      <c r="I310" s="188"/>
      <c r="J310" s="188"/>
      <c r="K310" s="188"/>
      <c r="L310" s="188"/>
      <c r="M310" s="188"/>
      <c r="N310" s="188"/>
      <c r="O310" s="188"/>
      <c r="P310" s="188"/>
      <c r="Q310" s="188"/>
      <c r="R310" s="188"/>
      <c r="S310" s="188"/>
      <c r="T310" s="188"/>
      <c r="U310" s="188"/>
      <c r="V310" s="188"/>
      <c r="W310" s="188"/>
      <c r="X310" s="188"/>
      <c r="Y310" s="188"/>
      <c r="Z310" s="188"/>
      <c r="AA310" s="188"/>
      <c r="AB310" s="188"/>
      <c r="AC310" s="188"/>
      <c r="AD310" s="188"/>
      <c r="AE310" s="188"/>
      <c r="AF310" s="188"/>
      <c r="AG310" s="188"/>
      <c r="AH310" s="188"/>
      <c r="AI310" s="188"/>
      <c r="AJ310" s="188"/>
      <c r="AK310" s="188"/>
      <c r="AL310" s="188"/>
      <c r="AM310" s="188"/>
      <c r="AN310" s="188"/>
      <c r="AO310" s="188"/>
      <c r="AP310" s="188"/>
      <c r="AQ310" s="188"/>
      <c r="AR310" s="188"/>
      <c r="AS310" s="188"/>
      <c r="AT310" s="202"/>
      <c r="AU310" s="219">
        <v>0</v>
      </c>
      <c r="AV310" s="220">
        <v>0</v>
      </c>
      <c r="AW310" s="220">
        <v>0</v>
      </c>
      <c r="AX310" s="220">
        <v>0</v>
      </c>
      <c r="AY310" s="221">
        <v>0</v>
      </c>
      <c r="BA310" s="34" t="str">
        <f t="shared" ca="1" si="54"/>
        <v>Scotland</v>
      </c>
      <c r="BB310" s="34" t="str">
        <f t="shared" si="55"/>
        <v>Fixed Inputs</v>
      </c>
      <c r="BC310" s="34" t="str">
        <f t="shared" si="58"/>
        <v>Variant allowances</v>
      </c>
      <c r="BD310" s="34" t="str">
        <f t="shared" si="57"/>
        <v>Totex variant allowances allocation percentages</v>
      </c>
    </row>
    <row r="311" spans="5:56" x14ac:dyDescent="0.35">
      <c r="E311" s="193" t="str" cm="1">
        <f t="array" ref="E311">INDEX($E$99:$E$202,INT((ROW()-ROW($E$205))/5)+1)</f>
        <v>VD_Tier 2A Mains and Services Replacement Volume Driver</v>
      </c>
      <c r="G311" s="33" t="s">
        <v>109</v>
      </c>
      <c r="H311" s="33" t="s">
        <v>169</v>
      </c>
      <c r="AU311" s="140">
        <v>0</v>
      </c>
      <c r="AV311" s="23">
        <v>0</v>
      </c>
      <c r="AW311" s="23">
        <v>0</v>
      </c>
      <c r="AX311" s="23">
        <v>0</v>
      </c>
      <c r="AY311" s="194">
        <v>0</v>
      </c>
      <c r="BA311" s="34" t="str">
        <f t="shared" ca="1" si="54"/>
        <v>Scotland</v>
      </c>
      <c r="BB311" s="34" t="str">
        <f t="shared" si="55"/>
        <v>Fixed Inputs</v>
      </c>
      <c r="BC311" s="34" t="str">
        <f t="shared" si="58"/>
        <v>Variant allowances</v>
      </c>
      <c r="BD311" s="34" t="str">
        <f t="shared" si="57"/>
        <v>Totex variant allowances allocation percentages</v>
      </c>
    </row>
    <row r="312" spans="5:56" x14ac:dyDescent="0.35">
      <c r="E312" s="193" t="str" cm="1">
        <f t="array" ref="E312">INDEX($E$99:$E$202,INT((ROW()-ROW($E$205))/5)+1)</f>
        <v>VD_Tier 2A Mains and Services Replacement Volume Driver</v>
      </c>
      <c r="G312" s="33" t="s">
        <v>109</v>
      </c>
      <c r="H312" s="33" t="s">
        <v>170</v>
      </c>
      <c r="AU312" s="140">
        <v>0</v>
      </c>
      <c r="AV312" s="23">
        <v>0</v>
      </c>
      <c r="AW312" s="23">
        <v>0</v>
      </c>
      <c r="AX312" s="23">
        <v>0</v>
      </c>
      <c r="AY312" s="194">
        <v>0</v>
      </c>
      <c r="BA312" s="34" t="str">
        <f t="shared" ca="1" si="54"/>
        <v>Scotland</v>
      </c>
      <c r="BB312" s="34" t="str">
        <f t="shared" si="55"/>
        <v>Fixed Inputs</v>
      </c>
      <c r="BC312" s="34" t="str">
        <f t="shared" si="58"/>
        <v>Variant allowances</v>
      </c>
      <c r="BD312" s="34" t="str">
        <f t="shared" si="57"/>
        <v>Totex variant allowances allocation percentages</v>
      </c>
    </row>
    <row r="313" spans="5:56" x14ac:dyDescent="0.35">
      <c r="E313" s="193" t="str" cm="1">
        <f t="array" ref="E313">INDEX($E$99:$E$202,INT((ROW()-ROW($E$205))/5)+1)</f>
        <v>VD_Tier 2A Mains and Services Replacement Volume Driver</v>
      </c>
      <c r="G313" s="33" t="s">
        <v>109</v>
      </c>
      <c r="H313" s="33" t="s">
        <v>171</v>
      </c>
      <c r="AU313" s="140">
        <v>0</v>
      </c>
      <c r="AV313" s="23">
        <v>0</v>
      </c>
      <c r="AW313" s="23">
        <v>0</v>
      </c>
      <c r="AX313" s="23">
        <v>0</v>
      </c>
      <c r="AY313" s="194">
        <v>0</v>
      </c>
      <c r="BA313" s="34" t="str">
        <f t="shared" ca="1" si="54"/>
        <v>Scotland</v>
      </c>
      <c r="BB313" s="34" t="str">
        <f t="shared" si="55"/>
        <v>Fixed Inputs</v>
      </c>
      <c r="BC313" s="34" t="str">
        <f t="shared" si="58"/>
        <v>Variant allowances</v>
      </c>
      <c r="BD313" s="34" t="str">
        <f t="shared" si="57"/>
        <v>Totex variant allowances allocation percentages</v>
      </c>
    </row>
    <row r="314" spans="5:56" x14ac:dyDescent="0.35">
      <c r="E314" s="195" t="str" cm="1">
        <f t="array" ref="E314">INDEX($E$99:$E$202,INT((ROW()-ROW($E$205))/5)+1)</f>
        <v>VD_Tier 2A Mains and Services Replacement Volume Driver</v>
      </c>
      <c r="F314" s="196"/>
      <c r="G314" s="196" t="s">
        <v>109</v>
      </c>
      <c r="H314" s="196" t="s">
        <v>172</v>
      </c>
      <c r="I314" s="196"/>
      <c r="J314" s="196"/>
      <c r="K314" s="196"/>
      <c r="L314" s="196"/>
      <c r="M314" s="196"/>
      <c r="N314" s="196"/>
      <c r="O314" s="196"/>
      <c r="P314" s="196"/>
      <c r="Q314" s="196"/>
      <c r="R314" s="196"/>
      <c r="S314" s="196"/>
      <c r="T314" s="196"/>
      <c r="U314" s="196"/>
      <c r="V314" s="196"/>
      <c r="W314" s="196"/>
      <c r="X314" s="196"/>
      <c r="Y314" s="196"/>
      <c r="Z314" s="196"/>
      <c r="AA314" s="196"/>
      <c r="AB314" s="196"/>
      <c r="AC314" s="196"/>
      <c r="AD314" s="196"/>
      <c r="AE314" s="196"/>
      <c r="AF314" s="196"/>
      <c r="AG314" s="196"/>
      <c r="AH314" s="196"/>
      <c r="AI314" s="196"/>
      <c r="AJ314" s="196"/>
      <c r="AK314" s="196"/>
      <c r="AL314" s="196"/>
      <c r="AM314" s="196"/>
      <c r="AN314" s="196"/>
      <c r="AO314" s="196"/>
      <c r="AP314" s="196"/>
      <c r="AQ314" s="196"/>
      <c r="AR314" s="196"/>
      <c r="AS314" s="196"/>
      <c r="AT314" s="208"/>
      <c r="AU314" s="198">
        <v>1</v>
      </c>
      <c r="AV314" s="199">
        <v>1</v>
      </c>
      <c r="AW314" s="199">
        <v>1</v>
      </c>
      <c r="AX314" s="199">
        <v>1</v>
      </c>
      <c r="AY314" s="200">
        <v>1</v>
      </c>
      <c r="BA314" s="34" t="str">
        <f t="shared" ca="1" si="54"/>
        <v>Scotland</v>
      </c>
      <c r="BB314" s="34" t="str">
        <f t="shared" si="55"/>
        <v>Fixed Inputs</v>
      </c>
      <c r="BC314" s="34" t="str">
        <f t="shared" si="58"/>
        <v>Variant allowances</v>
      </c>
      <c r="BD314" s="34" t="str">
        <f t="shared" si="57"/>
        <v>Totex variant allowances allocation percentages</v>
      </c>
    </row>
    <row r="315" spans="5:56" x14ac:dyDescent="0.35">
      <c r="E315" s="187" t="str" cm="1">
        <f t="array" ref="E315">INDEX($E$99:$E$202,INT((ROW()-ROW($E$205))/5)+1)</f>
        <v>UIOLI_Net Zero and Re-opener Development Fund / Decarbonisation Project Development Fund UIOLI</v>
      </c>
      <c r="F315" s="188"/>
      <c r="G315" s="188" t="s">
        <v>109</v>
      </c>
      <c r="H315" s="188" t="s">
        <v>168</v>
      </c>
      <c r="I315" s="188"/>
      <c r="J315" s="188"/>
      <c r="K315" s="188"/>
      <c r="L315" s="188"/>
      <c r="M315" s="188"/>
      <c r="N315" s="188"/>
      <c r="O315" s="188"/>
      <c r="P315" s="188"/>
      <c r="Q315" s="188"/>
      <c r="R315" s="188"/>
      <c r="S315" s="188"/>
      <c r="T315" s="188"/>
      <c r="U315" s="188"/>
      <c r="V315" s="188"/>
      <c r="W315" s="188"/>
      <c r="X315" s="188"/>
      <c r="Y315" s="188"/>
      <c r="Z315" s="188"/>
      <c r="AA315" s="188"/>
      <c r="AB315" s="188"/>
      <c r="AC315" s="188"/>
      <c r="AD315" s="188"/>
      <c r="AE315" s="188"/>
      <c r="AF315" s="188"/>
      <c r="AG315" s="188"/>
      <c r="AH315" s="188"/>
      <c r="AI315" s="188"/>
      <c r="AJ315" s="188"/>
      <c r="AK315" s="188"/>
      <c r="AL315" s="188"/>
      <c r="AM315" s="188"/>
      <c r="AN315" s="188"/>
      <c r="AO315" s="188"/>
      <c r="AP315" s="188"/>
      <c r="AQ315" s="188"/>
      <c r="AR315" s="188"/>
      <c r="AS315" s="188"/>
      <c r="AT315" s="202"/>
      <c r="AU315" s="190">
        <v>0</v>
      </c>
      <c r="AV315" s="191">
        <v>0</v>
      </c>
      <c r="AW315" s="191">
        <v>0</v>
      </c>
      <c r="AX315" s="191">
        <v>0</v>
      </c>
      <c r="AY315" s="192">
        <v>0</v>
      </c>
      <c r="BA315" s="34" t="str">
        <f t="shared" ca="1" si="54"/>
        <v>Scotland</v>
      </c>
      <c r="BB315" s="34" t="str">
        <f t="shared" si="55"/>
        <v>Fixed Inputs</v>
      </c>
      <c r="BC315" s="34" t="str">
        <f t="shared" si="58"/>
        <v>Variant allowances</v>
      </c>
      <c r="BD315" s="34" t="str">
        <f t="shared" si="57"/>
        <v>Totex variant allowances allocation percentages</v>
      </c>
    </row>
    <row r="316" spans="5:56" x14ac:dyDescent="0.35">
      <c r="E316" s="193" t="str" cm="1">
        <f t="array" ref="E316">INDEX($E$99:$E$202,INT((ROW()-ROW($E$205))/5)+1)</f>
        <v>UIOLI_Net Zero and Re-opener Development Fund / Decarbonisation Project Development Fund UIOLI</v>
      </c>
      <c r="G316" s="33" t="s">
        <v>109</v>
      </c>
      <c r="H316" s="33" t="s">
        <v>169</v>
      </c>
      <c r="AU316" s="140">
        <v>0.2</v>
      </c>
      <c r="AV316" s="23">
        <v>0.2</v>
      </c>
      <c r="AW316" s="23">
        <v>0.2</v>
      </c>
      <c r="AX316" s="23">
        <v>0.2</v>
      </c>
      <c r="AY316" s="194">
        <v>0.2</v>
      </c>
      <c r="BA316" s="34" t="str">
        <f t="shared" ca="1" si="54"/>
        <v>Scotland</v>
      </c>
      <c r="BB316" s="34" t="str">
        <f t="shared" si="55"/>
        <v>Fixed Inputs</v>
      </c>
      <c r="BC316" s="34" t="str">
        <f t="shared" si="58"/>
        <v>Variant allowances</v>
      </c>
      <c r="BD316" s="34" t="str">
        <f t="shared" si="57"/>
        <v>Totex variant allowances allocation percentages</v>
      </c>
    </row>
    <row r="317" spans="5:56" x14ac:dyDescent="0.35">
      <c r="E317" s="193" t="str" cm="1">
        <f t="array" ref="E317">INDEX($E$99:$E$202,INT((ROW()-ROW($E$205))/5)+1)</f>
        <v>UIOLI_Net Zero and Re-opener Development Fund / Decarbonisation Project Development Fund UIOLI</v>
      </c>
      <c r="G317" s="33" t="s">
        <v>109</v>
      </c>
      <c r="H317" s="33" t="s">
        <v>170</v>
      </c>
      <c r="AU317" s="140">
        <v>0</v>
      </c>
      <c r="AV317" s="23">
        <v>0</v>
      </c>
      <c r="AW317" s="23">
        <v>0</v>
      </c>
      <c r="AX317" s="23">
        <v>0</v>
      </c>
      <c r="AY317" s="194">
        <v>0</v>
      </c>
      <c r="BA317" s="34" t="str">
        <f t="shared" ca="1" si="54"/>
        <v>Scotland</v>
      </c>
      <c r="BB317" s="34" t="str">
        <f t="shared" si="55"/>
        <v>Fixed Inputs</v>
      </c>
      <c r="BC317" s="34" t="str">
        <f t="shared" si="58"/>
        <v>Variant allowances</v>
      </c>
      <c r="BD317" s="34" t="str">
        <f t="shared" si="57"/>
        <v>Totex variant allowances allocation percentages</v>
      </c>
    </row>
    <row r="318" spans="5:56" x14ac:dyDescent="0.35">
      <c r="E318" s="193" t="str" cm="1">
        <f t="array" ref="E318">INDEX($E$99:$E$202,INT((ROW()-ROW($E$205))/5)+1)</f>
        <v>UIOLI_Net Zero and Re-opener Development Fund / Decarbonisation Project Development Fund UIOLI</v>
      </c>
      <c r="G318" s="33" t="s">
        <v>109</v>
      </c>
      <c r="H318" s="33" t="s">
        <v>171</v>
      </c>
      <c r="AU318" s="140">
        <v>0.8</v>
      </c>
      <c r="AV318" s="23">
        <v>0.8</v>
      </c>
      <c r="AW318" s="23">
        <v>0.8</v>
      </c>
      <c r="AX318" s="23">
        <v>0.8</v>
      </c>
      <c r="AY318" s="194">
        <v>0.8</v>
      </c>
      <c r="BA318" s="34" t="str">
        <f t="shared" ca="1" si="54"/>
        <v>Scotland</v>
      </c>
      <c r="BB318" s="34" t="str">
        <f t="shared" si="55"/>
        <v>Fixed Inputs</v>
      </c>
      <c r="BC318" s="34" t="str">
        <f t="shared" si="58"/>
        <v>Variant allowances</v>
      </c>
      <c r="BD318" s="34" t="str">
        <f t="shared" si="57"/>
        <v>Totex variant allowances allocation percentages</v>
      </c>
    </row>
    <row r="319" spans="5:56" x14ac:dyDescent="0.35">
      <c r="E319" s="195" t="str" cm="1">
        <f t="array" ref="E319">INDEX($E$99:$E$202,INT((ROW()-ROW($E$205))/5)+1)</f>
        <v>UIOLI_Net Zero and Re-opener Development Fund / Decarbonisation Project Development Fund UIOLI</v>
      </c>
      <c r="F319" s="196"/>
      <c r="G319" s="196" t="s">
        <v>109</v>
      </c>
      <c r="H319" s="196" t="s">
        <v>172</v>
      </c>
      <c r="I319" s="196"/>
      <c r="J319" s="196"/>
      <c r="K319" s="196"/>
      <c r="L319" s="196"/>
      <c r="M319" s="196"/>
      <c r="N319" s="196"/>
      <c r="O319" s="196"/>
      <c r="P319" s="196"/>
      <c r="Q319" s="196"/>
      <c r="R319" s="196"/>
      <c r="S319" s="196"/>
      <c r="T319" s="196"/>
      <c r="U319" s="196"/>
      <c r="V319" s="196"/>
      <c r="W319" s="196"/>
      <c r="X319" s="196"/>
      <c r="Y319" s="196"/>
      <c r="Z319" s="196"/>
      <c r="AA319" s="196"/>
      <c r="AB319" s="196"/>
      <c r="AC319" s="196"/>
      <c r="AD319" s="196"/>
      <c r="AE319" s="196"/>
      <c r="AF319" s="196"/>
      <c r="AG319" s="196"/>
      <c r="AH319" s="196"/>
      <c r="AI319" s="196"/>
      <c r="AJ319" s="196"/>
      <c r="AK319" s="196"/>
      <c r="AL319" s="196"/>
      <c r="AM319" s="196"/>
      <c r="AN319" s="196"/>
      <c r="AO319" s="196"/>
      <c r="AP319" s="196"/>
      <c r="AQ319" s="196"/>
      <c r="AR319" s="196"/>
      <c r="AS319" s="196"/>
      <c r="AT319" s="208"/>
      <c r="AU319" s="198">
        <v>0</v>
      </c>
      <c r="AV319" s="199">
        <v>0</v>
      </c>
      <c r="AW319" s="199">
        <v>0</v>
      </c>
      <c r="AX319" s="199">
        <v>0</v>
      </c>
      <c r="AY319" s="200">
        <v>0</v>
      </c>
      <c r="BA319" s="34" t="str">
        <f t="shared" ca="1" si="54"/>
        <v>Scotland</v>
      </c>
      <c r="BB319" s="34" t="str">
        <f t="shared" si="55"/>
        <v>Fixed Inputs</v>
      </c>
      <c r="BC319" s="34" t="str">
        <f t="shared" si="58"/>
        <v>Variant allowances</v>
      </c>
      <c r="BD319" s="34" t="str">
        <f t="shared" si="57"/>
        <v>Totex variant allowances allocation percentages</v>
      </c>
    </row>
    <row r="320" spans="5:56" x14ac:dyDescent="0.35">
      <c r="E320" s="187" t="str" cm="1">
        <f t="array" ref="E320">INDEX($E$99:$E$202,INT((ROW()-ROW($E$205))/5)+1)</f>
        <v>UIOLI_Cyber Resilience_NGN</v>
      </c>
      <c r="F320" s="188"/>
      <c r="G320" s="188" t="s">
        <v>109</v>
      </c>
      <c r="H320" s="188" t="s">
        <v>168</v>
      </c>
      <c r="I320" s="188"/>
      <c r="J320" s="188"/>
      <c r="K320" s="188"/>
      <c r="L320" s="188"/>
      <c r="M320" s="188"/>
      <c r="N320" s="188"/>
      <c r="O320" s="188"/>
      <c r="P320" s="188"/>
      <c r="Q320" s="188"/>
      <c r="R320" s="188"/>
      <c r="S320" s="188"/>
      <c r="T320" s="188"/>
      <c r="U320" s="188"/>
      <c r="V320" s="188"/>
      <c r="W320" s="188"/>
      <c r="X320" s="188"/>
      <c r="Y320" s="188"/>
      <c r="Z320" s="188"/>
      <c r="AA320" s="188"/>
      <c r="AB320" s="188"/>
      <c r="AC320" s="188"/>
      <c r="AD320" s="188"/>
      <c r="AE320" s="188"/>
      <c r="AF320" s="188"/>
      <c r="AG320" s="188"/>
      <c r="AH320" s="188"/>
      <c r="AI320" s="188"/>
      <c r="AJ320" s="188"/>
      <c r="AK320" s="188"/>
      <c r="AL320" s="188"/>
      <c r="AM320" s="188"/>
      <c r="AN320" s="188"/>
      <c r="AO320" s="188"/>
      <c r="AP320" s="188"/>
      <c r="AQ320" s="188"/>
      <c r="AR320" s="188"/>
      <c r="AS320" s="188"/>
      <c r="AT320" s="202"/>
      <c r="AU320" s="190">
        <v>0</v>
      </c>
      <c r="AV320" s="191">
        <v>0</v>
      </c>
      <c r="AW320" s="191">
        <v>0</v>
      </c>
      <c r="AX320" s="191">
        <v>0</v>
      </c>
      <c r="AY320" s="192">
        <v>0</v>
      </c>
      <c r="BA320" s="34" t="str">
        <f t="shared" ca="1" si="54"/>
        <v>Scotland</v>
      </c>
      <c r="BB320" s="34" t="str">
        <f t="shared" si="55"/>
        <v>Fixed Inputs</v>
      </c>
      <c r="BC320" s="34" t="str">
        <f t="shared" si="58"/>
        <v>Variant allowances</v>
      </c>
      <c r="BD320" s="34" t="str">
        <f t="shared" si="57"/>
        <v>Totex variant allowances allocation percentages</v>
      </c>
    </row>
    <row r="321" spans="5:56" x14ac:dyDescent="0.35">
      <c r="E321" s="193" t="str" cm="1">
        <f t="array" ref="E321">INDEX($E$99:$E$202,INT((ROW()-ROW($E$205))/5)+1)</f>
        <v>UIOLI_Cyber Resilience_NGN</v>
      </c>
      <c r="G321" s="33" t="s">
        <v>109</v>
      </c>
      <c r="H321" s="33" t="s">
        <v>169</v>
      </c>
      <c r="AU321" s="140">
        <v>1</v>
      </c>
      <c r="AV321" s="23">
        <v>1</v>
      </c>
      <c r="AW321" s="23">
        <v>1</v>
      </c>
      <c r="AX321" s="23">
        <v>1</v>
      </c>
      <c r="AY321" s="194">
        <v>1</v>
      </c>
      <c r="BA321" s="34" t="str">
        <f t="shared" ca="1" si="54"/>
        <v>Scotland</v>
      </c>
      <c r="BB321" s="34" t="str">
        <f t="shared" si="55"/>
        <v>Fixed Inputs</v>
      </c>
      <c r="BC321" s="34" t="str">
        <f t="shared" si="58"/>
        <v>Variant allowances</v>
      </c>
      <c r="BD321" s="34" t="str">
        <f t="shared" si="57"/>
        <v>Totex variant allowances allocation percentages</v>
      </c>
    </row>
    <row r="322" spans="5:56" x14ac:dyDescent="0.35">
      <c r="E322" s="193" t="str" cm="1">
        <f t="array" ref="E322">INDEX($E$99:$E$202,INT((ROW()-ROW($E$205))/5)+1)</f>
        <v>UIOLI_Cyber Resilience_NGN</v>
      </c>
      <c r="G322" s="33" t="s">
        <v>109</v>
      </c>
      <c r="H322" s="33" t="s">
        <v>170</v>
      </c>
      <c r="AU322" s="140">
        <v>0</v>
      </c>
      <c r="AV322" s="23">
        <v>0</v>
      </c>
      <c r="AW322" s="23">
        <v>0</v>
      </c>
      <c r="AX322" s="23">
        <v>0</v>
      </c>
      <c r="AY322" s="194">
        <v>0</v>
      </c>
      <c r="BA322" s="34" t="str">
        <f t="shared" ca="1" si="54"/>
        <v>Scotland</v>
      </c>
      <c r="BB322" s="34" t="str">
        <f t="shared" si="55"/>
        <v>Fixed Inputs</v>
      </c>
      <c r="BC322" s="34" t="str">
        <f t="shared" si="58"/>
        <v>Variant allowances</v>
      </c>
      <c r="BD322" s="34" t="str">
        <f t="shared" si="57"/>
        <v>Totex variant allowances allocation percentages</v>
      </c>
    </row>
    <row r="323" spans="5:56" x14ac:dyDescent="0.35">
      <c r="E323" s="193" t="str" cm="1">
        <f t="array" ref="E323">INDEX($E$99:$E$202,INT((ROW()-ROW($E$205))/5)+1)</f>
        <v>UIOLI_Cyber Resilience_NGN</v>
      </c>
      <c r="G323" s="33" t="s">
        <v>109</v>
      </c>
      <c r="H323" s="33" t="s">
        <v>171</v>
      </c>
      <c r="AU323" s="140">
        <v>0</v>
      </c>
      <c r="AV323" s="23">
        <v>0</v>
      </c>
      <c r="AW323" s="23">
        <v>0</v>
      </c>
      <c r="AX323" s="23">
        <v>0</v>
      </c>
      <c r="AY323" s="194">
        <v>0</v>
      </c>
      <c r="BA323" s="34" t="str">
        <f t="shared" ca="1" si="54"/>
        <v>Scotland</v>
      </c>
      <c r="BB323" s="34" t="str">
        <f t="shared" si="55"/>
        <v>Fixed Inputs</v>
      </c>
      <c r="BC323" s="34" t="str">
        <f t="shared" si="58"/>
        <v>Variant allowances</v>
      </c>
      <c r="BD323" s="34" t="str">
        <f t="shared" si="57"/>
        <v>Totex variant allowances allocation percentages</v>
      </c>
    </row>
    <row r="324" spans="5:56" x14ac:dyDescent="0.35">
      <c r="E324" s="195" t="str" cm="1">
        <f t="array" ref="E324">INDEX($E$99:$E$202,INT((ROW()-ROW($E$205))/5)+1)</f>
        <v>UIOLI_Cyber Resilience_NGN</v>
      </c>
      <c r="F324" s="196"/>
      <c r="G324" s="196" t="s">
        <v>109</v>
      </c>
      <c r="H324" s="196" t="s">
        <v>172</v>
      </c>
      <c r="I324" s="196"/>
      <c r="J324" s="196"/>
      <c r="K324" s="196"/>
      <c r="L324" s="196"/>
      <c r="M324" s="196"/>
      <c r="N324" s="196"/>
      <c r="O324" s="196"/>
      <c r="P324" s="196"/>
      <c r="Q324" s="196"/>
      <c r="R324" s="196"/>
      <c r="S324" s="196"/>
      <c r="T324" s="196"/>
      <c r="U324" s="196"/>
      <c r="V324" s="196"/>
      <c r="W324" s="196"/>
      <c r="X324" s="196"/>
      <c r="Y324" s="196"/>
      <c r="Z324" s="196"/>
      <c r="AA324" s="196"/>
      <c r="AB324" s="196"/>
      <c r="AC324" s="196"/>
      <c r="AD324" s="196"/>
      <c r="AE324" s="196"/>
      <c r="AF324" s="196"/>
      <c r="AG324" s="196"/>
      <c r="AH324" s="196"/>
      <c r="AI324" s="196"/>
      <c r="AJ324" s="196"/>
      <c r="AK324" s="196"/>
      <c r="AL324" s="196"/>
      <c r="AM324" s="196"/>
      <c r="AN324" s="196"/>
      <c r="AO324" s="196"/>
      <c r="AP324" s="196"/>
      <c r="AQ324" s="196"/>
      <c r="AR324" s="196"/>
      <c r="AS324" s="196"/>
      <c r="AT324" s="208"/>
      <c r="AU324" s="198">
        <v>0</v>
      </c>
      <c r="AV324" s="199">
        <v>0</v>
      </c>
      <c r="AW324" s="199">
        <v>0</v>
      </c>
      <c r="AX324" s="199">
        <v>0</v>
      </c>
      <c r="AY324" s="200">
        <v>0</v>
      </c>
      <c r="BA324" s="34" t="str">
        <f t="shared" ca="1" si="54"/>
        <v>Scotland</v>
      </c>
      <c r="BB324" s="34" t="str">
        <f t="shared" si="55"/>
        <v>Fixed Inputs</v>
      </c>
      <c r="BC324" s="34" t="str">
        <f t="shared" si="58"/>
        <v>Variant allowances</v>
      </c>
      <c r="BD324" s="34" t="str">
        <f t="shared" si="57"/>
        <v>Totex variant allowances allocation percentages</v>
      </c>
    </row>
    <row r="325" spans="5:56" x14ac:dyDescent="0.35">
      <c r="E325" s="187" t="str" cm="1">
        <f t="array" ref="E325">INDEX($E$99:$E$202,INT((ROW()-ROW($E$205))/5)+1)</f>
        <v>UIOLI_Cyber Resilience_All except NGN and WWU</v>
      </c>
      <c r="F325" s="188"/>
      <c r="G325" s="188" t="s">
        <v>109</v>
      </c>
      <c r="H325" s="188" t="s">
        <v>168</v>
      </c>
      <c r="I325" s="188"/>
      <c r="J325" s="188"/>
      <c r="K325" s="188"/>
      <c r="L325" s="188"/>
      <c r="M325" s="188"/>
      <c r="N325" s="188"/>
      <c r="O325" s="188"/>
      <c r="P325" s="188"/>
      <c r="Q325" s="188"/>
      <c r="R325" s="188"/>
      <c r="S325" s="188"/>
      <c r="T325" s="188"/>
      <c r="U325" s="188"/>
      <c r="V325" s="188"/>
      <c r="W325" s="188"/>
      <c r="X325" s="188"/>
      <c r="Y325" s="188"/>
      <c r="Z325" s="188"/>
      <c r="AA325" s="188"/>
      <c r="AB325" s="188"/>
      <c r="AC325" s="188"/>
      <c r="AD325" s="188"/>
      <c r="AE325" s="188"/>
      <c r="AF325" s="188"/>
      <c r="AG325" s="188"/>
      <c r="AH325" s="188"/>
      <c r="AI325" s="188"/>
      <c r="AJ325" s="188"/>
      <c r="AK325" s="188"/>
      <c r="AL325" s="188"/>
      <c r="AM325" s="188"/>
      <c r="AN325" s="188"/>
      <c r="AO325" s="188"/>
      <c r="AP325" s="188"/>
      <c r="AQ325" s="188"/>
      <c r="AR325" s="188"/>
      <c r="AS325" s="188"/>
      <c r="AT325" s="202"/>
      <c r="AU325" s="190">
        <v>0</v>
      </c>
      <c r="AV325" s="191">
        <v>0</v>
      </c>
      <c r="AW325" s="191">
        <v>0</v>
      </c>
      <c r="AX325" s="191">
        <v>0</v>
      </c>
      <c r="AY325" s="192">
        <v>0</v>
      </c>
      <c r="BA325" s="34" t="str">
        <f t="shared" ca="1" si="54"/>
        <v>Scotland</v>
      </c>
      <c r="BB325" s="34" t="str">
        <f t="shared" si="55"/>
        <v>Fixed Inputs</v>
      </c>
      <c r="BC325" s="34" t="str">
        <f t="shared" si="58"/>
        <v>Variant allowances</v>
      </c>
      <c r="BD325" s="34" t="str">
        <f t="shared" si="57"/>
        <v>Totex variant allowances allocation percentages</v>
      </c>
    </row>
    <row r="326" spans="5:56" x14ac:dyDescent="0.35">
      <c r="E326" s="193" t="str" cm="1">
        <f t="array" ref="E326">INDEX($E$99:$E$202,INT((ROW()-ROW($E$205))/5)+1)</f>
        <v>UIOLI_Cyber Resilience_All except NGN and WWU</v>
      </c>
      <c r="G326" s="33" t="s">
        <v>109</v>
      </c>
      <c r="H326" s="33" t="s">
        <v>169</v>
      </c>
      <c r="AU326" s="140">
        <v>0</v>
      </c>
      <c r="AV326" s="23">
        <v>0</v>
      </c>
      <c r="AW326" s="23">
        <v>0</v>
      </c>
      <c r="AX326" s="23">
        <v>0</v>
      </c>
      <c r="AY326" s="194">
        <v>0</v>
      </c>
      <c r="BA326" s="34" t="str">
        <f t="shared" ca="1" si="54"/>
        <v>Scotland</v>
      </c>
      <c r="BB326" s="34" t="str">
        <f t="shared" si="55"/>
        <v>Fixed Inputs</v>
      </c>
      <c r="BC326" s="34" t="str">
        <f t="shared" si="58"/>
        <v>Variant allowances</v>
      </c>
      <c r="BD326" s="34" t="str">
        <f t="shared" si="57"/>
        <v>Totex variant allowances allocation percentages</v>
      </c>
    </row>
    <row r="327" spans="5:56" x14ac:dyDescent="0.35">
      <c r="E327" s="193" t="str" cm="1">
        <f t="array" ref="E327">INDEX($E$99:$E$202,INT((ROW()-ROW($E$205))/5)+1)</f>
        <v>UIOLI_Cyber Resilience_All except NGN and WWU</v>
      </c>
      <c r="G327" s="33" t="s">
        <v>109</v>
      </c>
      <c r="H327" s="33" t="s">
        <v>170</v>
      </c>
      <c r="AU327" s="140">
        <v>1</v>
      </c>
      <c r="AV327" s="23">
        <v>1</v>
      </c>
      <c r="AW327" s="23">
        <v>1</v>
      </c>
      <c r="AX327" s="23">
        <v>1</v>
      </c>
      <c r="AY327" s="194">
        <v>1</v>
      </c>
      <c r="BA327" s="34" t="str">
        <f t="shared" ca="1" si="54"/>
        <v>Scotland</v>
      </c>
      <c r="BB327" s="34" t="str">
        <f t="shared" si="55"/>
        <v>Fixed Inputs</v>
      </c>
      <c r="BC327" s="34" t="str">
        <f t="shared" si="58"/>
        <v>Variant allowances</v>
      </c>
      <c r="BD327" s="34" t="str">
        <f t="shared" si="57"/>
        <v>Totex variant allowances allocation percentages</v>
      </c>
    </row>
    <row r="328" spans="5:56" x14ac:dyDescent="0.35">
      <c r="E328" s="193" t="str" cm="1">
        <f t="array" ref="E328">INDEX($E$99:$E$202,INT((ROW()-ROW($E$205))/5)+1)</f>
        <v>UIOLI_Cyber Resilience_All except NGN and WWU</v>
      </c>
      <c r="G328" s="33" t="s">
        <v>109</v>
      </c>
      <c r="H328" s="33" t="s">
        <v>171</v>
      </c>
      <c r="AU328" s="140">
        <v>0</v>
      </c>
      <c r="AV328" s="23">
        <v>0</v>
      </c>
      <c r="AW328" s="23">
        <v>0</v>
      </c>
      <c r="AX328" s="23">
        <v>0</v>
      </c>
      <c r="AY328" s="194">
        <v>0</v>
      </c>
      <c r="BA328" s="34" t="str">
        <f t="shared" ca="1" si="54"/>
        <v>Scotland</v>
      </c>
      <c r="BB328" s="34" t="str">
        <f t="shared" si="55"/>
        <v>Fixed Inputs</v>
      </c>
      <c r="BC328" s="34" t="str">
        <f t="shared" si="58"/>
        <v>Variant allowances</v>
      </c>
      <c r="BD328" s="34" t="str">
        <f t="shared" si="57"/>
        <v>Totex variant allowances allocation percentages</v>
      </c>
    </row>
    <row r="329" spans="5:56" x14ac:dyDescent="0.35">
      <c r="E329" s="195" t="str" cm="1">
        <f t="array" ref="E329">INDEX($E$99:$E$202,INT((ROW()-ROW($E$205))/5)+1)</f>
        <v>UIOLI_Cyber Resilience_All except NGN and WWU</v>
      </c>
      <c r="F329" s="196"/>
      <c r="G329" s="196" t="s">
        <v>109</v>
      </c>
      <c r="H329" s="196" t="s">
        <v>172</v>
      </c>
      <c r="I329" s="196"/>
      <c r="J329" s="196"/>
      <c r="K329" s="196"/>
      <c r="L329" s="196"/>
      <c r="M329" s="196"/>
      <c r="N329" s="196"/>
      <c r="O329" s="196"/>
      <c r="P329" s="196"/>
      <c r="Q329" s="196"/>
      <c r="R329" s="196"/>
      <c r="S329" s="196"/>
      <c r="T329" s="196"/>
      <c r="U329" s="196"/>
      <c r="V329" s="196"/>
      <c r="W329" s="196"/>
      <c r="X329" s="196"/>
      <c r="Y329" s="196"/>
      <c r="Z329" s="196"/>
      <c r="AA329" s="196"/>
      <c r="AB329" s="196"/>
      <c r="AC329" s="196"/>
      <c r="AD329" s="196"/>
      <c r="AE329" s="196"/>
      <c r="AF329" s="196"/>
      <c r="AG329" s="196"/>
      <c r="AH329" s="196"/>
      <c r="AI329" s="196"/>
      <c r="AJ329" s="196"/>
      <c r="AK329" s="196"/>
      <c r="AL329" s="196"/>
      <c r="AM329" s="196"/>
      <c r="AN329" s="196"/>
      <c r="AO329" s="196"/>
      <c r="AP329" s="196"/>
      <c r="AQ329" s="196"/>
      <c r="AR329" s="196"/>
      <c r="AS329" s="196"/>
      <c r="AT329" s="208"/>
      <c r="AU329" s="198">
        <v>0</v>
      </c>
      <c r="AV329" s="199">
        <v>0</v>
      </c>
      <c r="AW329" s="199">
        <v>0</v>
      </c>
      <c r="AX329" s="199">
        <v>0</v>
      </c>
      <c r="AY329" s="200">
        <v>0</v>
      </c>
      <c r="BA329" s="34" t="str">
        <f t="shared" ca="1" si="54"/>
        <v>Scotland</v>
      </c>
      <c r="BB329" s="34" t="str">
        <f t="shared" si="55"/>
        <v>Fixed Inputs</v>
      </c>
      <c r="BC329" s="34" t="str">
        <f t="shared" si="58"/>
        <v>Variant allowances</v>
      </c>
      <c r="BD329" s="34" t="str">
        <f t="shared" si="57"/>
        <v>Totex variant allowances allocation percentages</v>
      </c>
    </row>
    <row r="330" spans="5:56" x14ac:dyDescent="0.35">
      <c r="E330" s="187" t="str" cm="1">
        <f t="array" ref="E330">INDEX($E$99:$E$202,INT((ROW()-ROW($E$205))/5)+1)</f>
        <v>UIOLI_Biomethane connections / Biomethane Distributed Entry Reinforcement</v>
      </c>
      <c r="F330" s="188"/>
      <c r="G330" s="188" t="s">
        <v>109</v>
      </c>
      <c r="H330" s="188" t="s">
        <v>168</v>
      </c>
      <c r="I330" s="188"/>
      <c r="J330" s="188"/>
      <c r="K330" s="188"/>
      <c r="L330" s="188"/>
      <c r="M330" s="188"/>
      <c r="N330" s="188"/>
      <c r="O330" s="188"/>
      <c r="P330" s="188"/>
      <c r="Q330" s="188"/>
      <c r="R330" s="188"/>
      <c r="S330" s="188"/>
      <c r="T330" s="188"/>
      <c r="U330" s="188"/>
      <c r="V330" s="188"/>
      <c r="W330" s="188"/>
      <c r="X330" s="188"/>
      <c r="Y330" s="188"/>
      <c r="Z330" s="188"/>
      <c r="AA330" s="188"/>
      <c r="AB330" s="188"/>
      <c r="AC330" s="188"/>
      <c r="AD330" s="188"/>
      <c r="AE330" s="188"/>
      <c r="AF330" s="188"/>
      <c r="AG330" s="188"/>
      <c r="AH330" s="188"/>
      <c r="AI330" s="188"/>
      <c r="AJ330" s="188"/>
      <c r="AK330" s="188"/>
      <c r="AL330" s="188"/>
      <c r="AM330" s="188"/>
      <c r="AN330" s="188"/>
      <c r="AO330" s="188"/>
      <c r="AP330" s="188"/>
      <c r="AQ330" s="188"/>
      <c r="AR330" s="188"/>
      <c r="AS330" s="188"/>
      <c r="AT330" s="202"/>
      <c r="AU330" s="190">
        <v>1</v>
      </c>
      <c r="AV330" s="191">
        <v>1</v>
      </c>
      <c r="AW330" s="191">
        <v>1</v>
      </c>
      <c r="AX330" s="191">
        <v>1</v>
      </c>
      <c r="AY330" s="192">
        <v>1</v>
      </c>
      <c r="BA330" s="34" t="str">
        <f t="shared" ca="1" si="54"/>
        <v>Scotland</v>
      </c>
      <c r="BB330" s="34" t="str">
        <f t="shared" si="55"/>
        <v>Fixed Inputs</v>
      </c>
      <c r="BC330" s="34" t="str">
        <f t="shared" si="58"/>
        <v>Variant allowances</v>
      </c>
      <c r="BD330" s="34" t="str">
        <f t="shared" si="57"/>
        <v>Totex variant allowances allocation percentages</v>
      </c>
    </row>
    <row r="331" spans="5:56" x14ac:dyDescent="0.35">
      <c r="E331" s="193" t="str" cm="1">
        <f t="array" ref="E331">INDEX($E$99:$E$202,INT((ROW()-ROW($E$205))/5)+1)</f>
        <v>UIOLI_Biomethane connections / Biomethane Distributed Entry Reinforcement</v>
      </c>
      <c r="G331" s="33" t="s">
        <v>109</v>
      </c>
      <c r="H331" s="33" t="s">
        <v>169</v>
      </c>
      <c r="AU331" s="140">
        <v>0</v>
      </c>
      <c r="AV331" s="23">
        <v>0</v>
      </c>
      <c r="AW331" s="23">
        <v>0</v>
      </c>
      <c r="AX331" s="23">
        <v>0</v>
      </c>
      <c r="AY331" s="194">
        <v>0</v>
      </c>
      <c r="BA331" s="34" t="str">
        <f t="shared" ca="1" si="54"/>
        <v>Scotland</v>
      </c>
      <c r="BB331" s="34" t="str">
        <f t="shared" si="55"/>
        <v>Fixed Inputs</v>
      </c>
      <c r="BC331" s="34" t="str">
        <f t="shared" si="58"/>
        <v>Variant allowances</v>
      </c>
      <c r="BD331" s="34" t="str">
        <f t="shared" si="57"/>
        <v>Totex variant allowances allocation percentages</v>
      </c>
    </row>
    <row r="332" spans="5:56" x14ac:dyDescent="0.35">
      <c r="E332" s="193" t="str" cm="1">
        <f t="array" ref="E332">INDEX($E$99:$E$202,INT((ROW()-ROW($E$205))/5)+1)</f>
        <v>UIOLI_Biomethane connections / Biomethane Distributed Entry Reinforcement</v>
      </c>
      <c r="G332" s="33" t="s">
        <v>109</v>
      </c>
      <c r="H332" s="33" t="s">
        <v>170</v>
      </c>
      <c r="AU332" s="140">
        <v>0</v>
      </c>
      <c r="AV332" s="23">
        <v>0</v>
      </c>
      <c r="AW332" s="23">
        <v>0</v>
      </c>
      <c r="AX332" s="23">
        <v>0</v>
      </c>
      <c r="AY332" s="194">
        <v>0</v>
      </c>
      <c r="BA332" s="34" t="str">
        <f t="shared" ca="1" si="54"/>
        <v>Scotland</v>
      </c>
      <c r="BB332" s="34" t="str">
        <f t="shared" si="55"/>
        <v>Fixed Inputs</v>
      </c>
      <c r="BC332" s="34" t="str">
        <f t="shared" si="58"/>
        <v>Variant allowances</v>
      </c>
      <c r="BD332" s="34" t="str">
        <f t="shared" si="57"/>
        <v>Totex variant allowances allocation percentages</v>
      </c>
    </row>
    <row r="333" spans="5:56" x14ac:dyDescent="0.35">
      <c r="E333" s="193" t="str" cm="1">
        <f t="array" ref="E333">INDEX($E$99:$E$202,INT((ROW()-ROW($E$205))/5)+1)</f>
        <v>UIOLI_Biomethane connections / Biomethane Distributed Entry Reinforcement</v>
      </c>
      <c r="G333" s="33" t="s">
        <v>109</v>
      </c>
      <c r="H333" s="33" t="s">
        <v>171</v>
      </c>
      <c r="AU333" s="140">
        <v>0</v>
      </c>
      <c r="AV333" s="23">
        <v>0</v>
      </c>
      <c r="AW333" s="23">
        <v>0</v>
      </c>
      <c r="AX333" s="23">
        <v>0</v>
      </c>
      <c r="AY333" s="194">
        <v>0</v>
      </c>
      <c r="BA333" s="34" t="str">
        <f t="shared" ca="1" si="54"/>
        <v>Scotland</v>
      </c>
      <c r="BB333" s="34" t="str">
        <f t="shared" si="55"/>
        <v>Fixed Inputs</v>
      </c>
      <c r="BC333" s="34" t="str">
        <f t="shared" ref="BC333:BC396" si="59">$B$151</f>
        <v>Variant allowances</v>
      </c>
      <c r="BD333" s="34" t="str">
        <f t="shared" si="57"/>
        <v>Totex variant allowances allocation percentages</v>
      </c>
    </row>
    <row r="334" spans="5:56" x14ac:dyDescent="0.35">
      <c r="E334" s="195" t="str" cm="1">
        <f t="array" ref="E334">INDEX($E$99:$E$202,INT((ROW()-ROW($E$205))/5)+1)</f>
        <v>UIOLI_Biomethane connections / Biomethane Distributed Entry Reinforcement</v>
      </c>
      <c r="F334" s="196"/>
      <c r="G334" s="196" t="s">
        <v>109</v>
      </c>
      <c r="H334" s="196" t="s">
        <v>172</v>
      </c>
      <c r="I334" s="196"/>
      <c r="J334" s="196"/>
      <c r="K334" s="196"/>
      <c r="L334" s="196"/>
      <c r="M334" s="196"/>
      <c r="N334" s="196"/>
      <c r="O334" s="196"/>
      <c r="P334" s="196"/>
      <c r="Q334" s="196"/>
      <c r="R334" s="196"/>
      <c r="S334" s="196"/>
      <c r="T334" s="196"/>
      <c r="U334" s="196"/>
      <c r="V334" s="196"/>
      <c r="W334" s="196"/>
      <c r="X334" s="196"/>
      <c r="Y334" s="196"/>
      <c r="Z334" s="196"/>
      <c r="AA334" s="196"/>
      <c r="AB334" s="196"/>
      <c r="AC334" s="196"/>
      <c r="AD334" s="196"/>
      <c r="AE334" s="196"/>
      <c r="AF334" s="196"/>
      <c r="AG334" s="196"/>
      <c r="AH334" s="196"/>
      <c r="AI334" s="196"/>
      <c r="AJ334" s="196"/>
      <c r="AK334" s="196"/>
      <c r="AL334" s="196"/>
      <c r="AM334" s="196"/>
      <c r="AN334" s="196"/>
      <c r="AO334" s="196"/>
      <c r="AP334" s="196"/>
      <c r="AQ334" s="196"/>
      <c r="AR334" s="196"/>
      <c r="AS334" s="196"/>
      <c r="AT334" s="208"/>
      <c r="AU334" s="198">
        <v>0</v>
      </c>
      <c r="AV334" s="199">
        <v>0</v>
      </c>
      <c r="AW334" s="199">
        <v>0</v>
      </c>
      <c r="AX334" s="199">
        <v>0</v>
      </c>
      <c r="AY334" s="200">
        <v>0</v>
      </c>
      <c r="BA334" s="34" t="str">
        <f t="shared" ca="1" si="54"/>
        <v>Scotland</v>
      </c>
      <c r="BB334" s="34" t="str">
        <f t="shared" si="55"/>
        <v>Fixed Inputs</v>
      </c>
      <c r="BC334" s="34" t="str">
        <f t="shared" si="59"/>
        <v>Variant allowances</v>
      </c>
      <c r="BD334" s="34" t="str">
        <f t="shared" si="57"/>
        <v>Totex variant allowances allocation percentages</v>
      </c>
    </row>
    <row r="335" spans="5:56" x14ac:dyDescent="0.35">
      <c r="E335" s="187" t="str" cm="1">
        <f t="array" ref="E335">INDEX($E$99:$E$202,INT((ROW()-ROW($E$205))/5)+1)</f>
        <v>Re-opener_Climate change resilience work</v>
      </c>
      <c r="F335" s="188"/>
      <c r="G335" s="188" t="s">
        <v>109</v>
      </c>
      <c r="H335" s="188" t="s">
        <v>168</v>
      </c>
      <c r="I335" s="188"/>
      <c r="J335" s="188"/>
      <c r="K335" s="188"/>
      <c r="L335" s="188"/>
      <c r="M335" s="188"/>
      <c r="N335" s="188"/>
      <c r="O335" s="188"/>
      <c r="P335" s="188"/>
      <c r="Q335" s="188"/>
      <c r="R335" s="188"/>
      <c r="S335" s="188"/>
      <c r="T335" s="188"/>
      <c r="U335" s="188"/>
      <c r="V335" s="188"/>
      <c r="W335" s="188"/>
      <c r="X335" s="188"/>
      <c r="Y335" s="188"/>
      <c r="Z335" s="188"/>
      <c r="AA335" s="188"/>
      <c r="AB335" s="188"/>
      <c r="AC335" s="188"/>
      <c r="AD335" s="188"/>
      <c r="AE335" s="188"/>
      <c r="AF335" s="188"/>
      <c r="AG335" s="188"/>
      <c r="AH335" s="188"/>
      <c r="AI335" s="188"/>
      <c r="AJ335" s="188"/>
      <c r="AK335" s="188"/>
      <c r="AL335" s="188"/>
      <c r="AM335" s="188"/>
      <c r="AN335" s="188"/>
      <c r="AO335" s="188"/>
      <c r="AP335" s="188"/>
      <c r="AQ335" s="188"/>
      <c r="AR335" s="188"/>
      <c r="AS335" s="188"/>
      <c r="AT335" s="202"/>
      <c r="AU335" s="190">
        <v>0</v>
      </c>
      <c r="AV335" s="191">
        <v>0</v>
      </c>
      <c r="AW335" s="191">
        <v>0</v>
      </c>
      <c r="AX335" s="191">
        <v>0</v>
      </c>
      <c r="AY335" s="192">
        <v>0</v>
      </c>
      <c r="BA335" s="34" t="str">
        <f t="shared" ca="1" si="54"/>
        <v>Scotland</v>
      </c>
      <c r="BB335" s="34" t="str">
        <f t="shared" si="55"/>
        <v>Fixed Inputs</v>
      </c>
      <c r="BC335" s="34" t="str">
        <f t="shared" si="59"/>
        <v>Variant allowances</v>
      </c>
      <c r="BD335" s="34" t="str">
        <f t="shared" si="57"/>
        <v>Totex variant allowances allocation percentages</v>
      </c>
    </row>
    <row r="336" spans="5:56" x14ac:dyDescent="0.35">
      <c r="E336" s="193" t="str" cm="1">
        <f t="array" ref="E336">INDEX($E$99:$E$202,INT((ROW()-ROW($E$205))/5)+1)</f>
        <v>Re-opener_Climate change resilience work</v>
      </c>
      <c r="G336" s="33" t="s">
        <v>109</v>
      </c>
      <c r="H336" s="33" t="s">
        <v>169</v>
      </c>
      <c r="AU336" s="140">
        <v>0</v>
      </c>
      <c r="AV336" s="23">
        <v>0</v>
      </c>
      <c r="AW336" s="23">
        <v>0</v>
      </c>
      <c r="AX336" s="23">
        <v>0</v>
      </c>
      <c r="AY336" s="194">
        <v>0</v>
      </c>
      <c r="BA336" s="34" t="str">
        <f t="shared" ca="1" si="54"/>
        <v>Scotland</v>
      </c>
      <c r="BB336" s="34" t="str">
        <f t="shared" si="55"/>
        <v>Fixed Inputs</v>
      </c>
      <c r="BC336" s="34" t="str">
        <f t="shared" si="59"/>
        <v>Variant allowances</v>
      </c>
      <c r="BD336" s="34" t="str">
        <f t="shared" si="57"/>
        <v>Totex variant allowances allocation percentages</v>
      </c>
    </row>
    <row r="337" spans="5:56" x14ac:dyDescent="0.35">
      <c r="E337" s="193" t="str" cm="1">
        <f t="array" ref="E337">INDEX($E$99:$E$202,INT((ROW()-ROW($E$205))/5)+1)</f>
        <v>Re-opener_Climate change resilience work</v>
      </c>
      <c r="G337" s="33" t="s">
        <v>109</v>
      </c>
      <c r="H337" s="33" t="s">
        <v>170</v>
      </c>
      <c r="AU337" s="140">
        <v>0</v>
      </c>
      <c r="AV337" s="23">
        <v>0</v>
      </c>
      <c r="AW337" s="23">
        <v>0</v>
      </c>
      <c r="AX337" s="23">
        <v>0</v>
      </c>
      <c r="AY337" s="194">
        <v>0</v>
      </c>
      <c r="BA337" s="34" t="str">
        <f t="shared" ca="1" si="54"/>
        <v>Scotland</v>
      </c>
      <c r="BB337" s="34" t="str">
        <f t="shared" si="55"/>
        <v>Fixed Inputs</v>
      </c>
      <c r="BC337" s="34" t="str">
        <f t="shared" si="59"/>
        <v>Variant allowances</v>
      </c>
      <c r="BD337" s="34" t="str">
        <f t="shared" si="57"/>
        <v>Totex variant allowances allocation percentages</v>
      </c>
    </row>
    <row r="338" spans="5:56" x14ac:dyDescent="0.35">
      <c r="E338" s="193" t="str" cm="1">
        <f t="array" ref="E338">INDEX($E$99:$E$202,INT((ROW()-ROW($E$205))/5)+1)</f>
        <v>Re-opener_Climate change resilience work</v>
      </c>
      <c r="G338" s="33" t="s">
        <v>109</v>
      </c>
      <c r="H338" s="33" t="s">
        <v>171</v>
      </c>
      <c r="AU338" s="140">
        <v>0</v>
      </c>
      <c r="AV338" s="23">
        <v>0</v>
      </c>
      <c r="AW338" s="23">
        <v>0</v>
      </c>
      <c r="AX338" s="23">
        <v>0</v>
      </c>
      <c r="AY338" s="194">
        <v>0</v>
      </c>
      <c r="BA338" s="34" t="str">
        <f t="shared" ca="1" si="54"/>
        <v>Scotland</v>
      </c>
      <c r="BB338" s="34" t="str">
        <f t="shared" si="55"/>
        <v>Fixed Inputs</v>
      </c>
      <c r="BC338" s="34" t="str">
        <f t="shared" si="59"/>
        <v>Variant allowances</v>
      </c>
      <c r="BD338" s="34" t="str">
        <f t="shared" si="57"/>
        <v>Totex variant allowances allocation percentages</v>
      </c>
    </row>
    <row r="339" spans="5:56" x14ac:dyDescent="0.35">
      <c r="E339" s="195" t="str" cm="1">
        <f t="array" ref="E339">INDEX($E$99:$E$202,INT((ROW()-ROW($E$205))/5)+1)</f>
        <v>Re-opener_Climate change resilience work</v>
      </c>
      <c r="F339" s="196"/>
      <c r="G339" s="196" t="s">
        <v>109</v>
      </c>
      <c r="H339" s="196" t="s">
        <v>172</v>
      </c>
      <c r="I339" s="196"/>
      <c r="J339" s="196"/>
      <c r="K339" s="196"/>
      <c r="L339" s="196"/>
      <c r="M339" s="196"/>
      <c r="N339" s="196"/>
      <c r="O339" s="196"/>
      <c r="P339" s="196"/>
      <c r="Q339" s="196"/>
      <c r="R339" s="196"/>
      <c r="S339" s="196"/>
      <c r="T339" s="196"/>
      <c r="U339" s="196"/>
      <c r="V339" s="196"/>
      <c r="W339" s="196"/>
      <c r="X339" s="196"/>
      <c r="Y339" s="196"/>
      <c r="Z339" s="196"/>
      <c r="AA339" s="196"/>
      <c r="AB339" s="196"/>
      <c r="AC339" s="196"/>
      <c r="AD339" s="196"/>
      <c r="AE339" s="196"/>
      <c r="AF339" s="196"/>
      <c r="AG339" s="196"/>
      <c r="AH339" s="196"/>
      <c r="AI339" s="196"/>
      <c r="AJ339" s="196"/>
      <c r="AK339" s="196"/>
      <c r="AL339" s="196"/>
      <c r="AM339" s="196"/>
      <c r="AN339" s="196"/>
      <c r="AO339" s="196"/>
      <c r="AP339" s="196"/>
      <c r="AQ339" s="196"/>
      <c r="AR339" s="196"/>
      <c r="AS339" s="196"/>
      <c r="AT339" s="208"/>
      <c r="AU339" s="198">
        <v>0</v>
      </c>
      <c r="AV339" s="199">
        <v>0</v>
      </c>
      <c r="AW339" s="199">
        <v>0</v>
      </c>
      <c r="AX339" s="199">
        <v>0</v>
      </c>
      <c r="AY339" s="200">
        <v>0</v>
      </c>
      <c r="BA339" s="34" t="str">
        <f t="shared" ca="1" si="54"/>
        <v>Scotland</v>
      </c>
      <c r="BB339" s="34" t="str">
        <f t="shared" si="55"/>
        <v>Fixed Inputs</v>
      </c>
      <c r="BC339" s="34" t="str">
        <f t="shared" si="59"/>
        <v>Variant allowances</v>
      </c>
      <c r="BD339" s="34" t="str">
        <f t="shared" si="57"/>
        <v>Totex variant allowances allocation percentages</v>
      </c>
    </row>
    <row r="340" spans="5:56" x14ac:dyDescent="0.35">
      <c r="E340" s="187" t="str" cm="1">
        <f t="array" ref="E340">INDEX($E$99:$E$202,INT((ROW()-ROW($E$205))/5)+1)</f>
        <v>Re-opener_Coordinated Adjustment Mechanism Re-opener</v>
      </c>
      <c r="F340" s="188"/>
      <c r="G340" s="188" t="s">
        <v>109</v>
      </c>
      <c r="H340" s="188" t="s">
        <v>168</v>
      </c>
      <c r="I340" s="188"/>
      <c r="J340" s="188"/>
      <c r="K340" s="188"/>
      <c r="L340" s="188"/>
      <c r="M340" s="188"/>
      <c r="N340" s="188"/>
      <c r="O340" s="188"/>
      <c r="P340" s="188"/>
      <c r="Q340" s="188"/>
      <c r="R340" s="188"/>
      <c r="S340" s="188"/>
      <c r="T340" s="188"/>
      <c r="U340" s="188"/>
      <c r="V340" s="188"/>
      <c r="W340" s="188"/>
      <c r="X340" s="188"/>
      <c r="Y340" s="188"/>
      <c r="Z340" s="188"/>
      <c r="AA340" s="188"/>
      <c r="AB340" s="188"/>
      <c r="AC340" s="188"/>
      <c r="AD340" s="188"/>
      <c r="AE340" s="188"/>
      <c r="AF340" s="188"/>
      <c r="AG340" s="188"/>
      <c r="AH340" s="188"/>
      <c r="AI340" s="188"/>
      <c r="AJ340" s="188"/>
      <c r="AK340" s="188"/>
      <c r="AL340" s="188"/>
      <c r="AM340" s="188"/>
      <c r="AN340" s="188"/>
      <c r="AO340" s="188"/>
      <c r="AP340" s="188"/>
      <c r="AQ340" s="188"/>
      <c r="AR340" s="188"/>
      <c r="AS340" s="188"/>
      <c r="AT340" s="202"/>
      <c r="AU340" s="190">
        <v>0</v>
      </c>
      <c r="AV340" s="191">
        <v>0</v>
      </c>
      <c r="AW340" s="191">
        <v>0</v>
      </c>
      <c r="AX340" s="191">
        <v>0</v>
      </c>
      <c r="AY340" s="192">
        <v>0</v>
      </c>
      <c r="BA340" s="34" t="str">
        <f t="shared" ca="1" si="54"/>
        <v>Scotland</v>
      </c>
      <c r="BB340" s="34" t="str">
        <f t="shared" si="55"/>
        <v>Fixed Inputs</v>
      </c>
      <c r="BC340" s="34" t="str">
        <f t="shared" si="59"/>
        <v>Variant allowances</v>
      </c>
      <c r="BD340" s="34" t="str">
        <f t="shared" si="57"/>
        <v>Totex variant allowances allocation percentages</v>
      </c>
    </row>
    <row r="341" spans="5:56" x14ac:dyDescent="0.35">
      <c r="E341" s="193" t="str" cm="1">
        <f t="array" ref="E341">INDEX($E$99:$E$202,INT((ROW()-ROW($E$205))/5)+1)</f>
        <v>Re-opener_Coordinated Adjustment Mechanism Re-opener</v>
      </c>
      <c r="G341" s="33" t="s">
        <v>109</v>
      </c>
      <c r="H341" s="33" t="s">
        <v>169</v>
      </c>
      <c r="AU341" s="140">
        <v>0</v>
      </c>
      <c r="AV341" s="23">
        <v>0</v>
      </c>
      <c r="AW341" s="23">
        <v>0</v>
      </c>
      <c r="AX341" s="23">
        <v>0</v>
      </c>
      <c r="AY341" s="194">
        <v>0</v>
      </c>
      <c r="BA341" s="34" t="str">
        <f t="shared" ca="1" si="54"/>
        <v>Scotland</v>
      </c>
      <c r="BB341" s="34" t="str">
        <f t="shared" si="55"/>
        <v>Fixed Inputs</v>
      </c>
      <c r="BC341" s="34" t="str">
        <f t="shared" si="59"/>
        <v>Variant allowances</v>
      </c>
      <c r="BD341" s="34" t="str">
        <f t="shared" si="57"/>
        <v>Totex variant allowances allocation percentages</v>
      </c>
    </row>
    <row r="342" spans="5:56" x14ac:dyDescent="0.35">
      <c r="E342" s="193" t="str" cm="1">
        <f t="array" ref="E342">INDEX($E$99:$E$202,INT((ROW()-ROW($E$205))/5)+1)</f>
        <v>Re-opener_Coordinated Adjustment Mechanism Re-opener</v>
      </c>
      <c r="G342" s="33" t="s">
        <v>109</v>
      </c>
      <c r="H342" s="33" t="s">
        <v>170</v>
      </c>
      <c r="AU342" s="140">
        <v>0</v>
      </c>
      <c r="AV342" s="23">
        <v>0</v>
      </c>
      <c r="AW342" s="23">
        <v>0</v>
      </c>
      <c r="AX342" s="23">
        <v>0</v>
      </c>
      <c r="AY342" s="194">
        <v>0</v>
      </c>
      <c r="BA342" s="34" t="str">
        <f t="shared" ca="1" si="54"/>
        <v>Scotland</v>
      </c>
      <c r="BB342" s="34" t="str">
        <f t="shared" si="55"/>
        <v>Fixed Inputs</v>
      </c>
      <c r="BC342" s="34" t="str">
        <f t="shared" si="59"/>
        <v>Variant allowances</v>
      </c>
      <c r="BD342" s="34" t="str">
        <f t="shared" si="57"/>
        <v>Totex variant allowances allocation percentages</v>
      </c>
    </row>
    <row r="343" spans="5:56" x14ac:dyDescent="0.35">
      <c r="E343" s="193" t="str" cm="1">
        <f t="array" ref="E343">INDEX($E$99:$E$202,INT((ROW()-ROW($E$205))/5)+1)</f>
        <v>Re-opener_Coordinated Adjustment Mechanism Re-opener</v>
      </c>
      <c r="G343" s="33" t="s">
        <v>109</v>
      </c>
      <c r="H343" s="33" t="s">
        <v>171</v>
      </c>
      <c r="AU343" s="140">
        <v>0</v>
      </c>
      <c r="AV343" s="23">
        <v>0</v>
      </c>
      <c r="AW343" s="23">
        <v>0</v>
      </c>
      <c r="AX343" s="23">
        <v>0</v>
      </c>
      <c r="AY343" s="194">
        <v>0</v>
      </c>
      <c r="BA343" s="34" t="str">
        <f t="shared" ca="1" si="54"/>
        <v>Scotland</v>
      </c>
      <c r="BB343" s="34" t="str">
        <f t="shared" si="55"/>
        <v>Fixed Inputs</v>
      </c>
      <c r="BC343" s="34" t="str">
        <f t="shared" si="59"/>
        <v>Variant allowances</v>
      </c>
      <c r="BD343" s="34" t="str">
        <f t="shared" si="57"/>
        <v>Totex variant allowances allocation percentages</v>
      </c>
    </row>
    <row r="344" spans="5:56" x14ac:dyDescent="0.35">
      <c r="E344" s="195" t="str" cm="1">
        <f t="array" ref="E344">INDEX($E$99:$E$202,INT((ROW()-ROW($E$205))/5)+1)</f>
        <v>Re-opener_Coordinated Adjustment Mechanism Re-opener</v>
      </c>
      <c r="F344" s="196"/>
      <c r="G344" s="196" t="s">
        <v>109</v>
      </c>
      <c r="H344" s="196" t="s">
        <v>172</v>
      </c>
      <c r="I344" s="196"/>
      <c r="J344" s="196"/>
      <c r="K344" s="196"/>
      <c r="L344" s="196"/>
      <c r="M344" s="196"/>
      <c r="N344" s="196"/>
      <c r="O344" s="196"/>
      <c r="P344" s="196"/>
      <c r="Q344" s="196"/>
      <c r="R344" s="196"/>
      <c r="S344" s="196"/>
      <c r="T344" s="196"/>
      <c r="U344" s="196"/>
      <c r="V344" s="196"/>
      <c r="W344" s="196"/>
      <c r="X344" s="196"/>
      <c r="Y344" s="196"/>
      <c r="Z344" s="196"/>
      <c r="AA344" s="196"/>
      <c r="AB344" s="196"/>
      <c r="AC344" s="196"/>
      <c r="AD344" s="196"/>
      <c r="AE344" s="196"/>
      <c r="AF344" s="196"/>
      <c r="AG344" s="196"/>
      <c r="AH344" s="196"/>
      <c r="AI344" s="196"/>
      <c r="AJ344" s="196"/>
      <c r="AK344" s="196"/>
      <c r="AL344" s="196"/>
      <c r="AM344" s="196"/>
      <c r="AN344" s="196"/>
      <c r="AO344" s="196"/>
      <c r="AP344" s="196"/>
      <c r="AQ344" s="196"/>
      <c r="AR344" s="196"/>
      <c r="AS344" s="196"/>
      <c r="AT344" s="208"/>
      <c r="AU344" s="198">
        <v>0</v>
      </c>
      <c r="AV344" s="199">
        <v>0</v>
      </c>
      <c r="AW344" s="199">
        <v>0</v>
      </c>
      <c r="AX344" s="199">
        <v>0</v>
      </c>
      <c r="AY344" s="200">
        <v>0</v>
      </c>
      <c r="BA344" s="34" t="str">
        <f t="shared" ca="1" si="54"/>
        <v>Scotland</v>
      </c>
      <c r="BB344" s="34" t="str">
        <f t="shared" si="55"/>
        <v>Fixed Inputs</v>
      </c>
      <c r="BC344" s="34" t="str">
        <f t="shared" si="59"/>
        <v>Variant allowances</v>
      </c>
      <c r="BD344" s="34" t="str">
        <f t="shared" si="57"/>
        <v>Totex variant allowances allocation percentages</v>
      </c>
    </row>
    <row r="345" spans="5:56" x14ac:dyDescent="0.35">
      <c r="E345" s="187" t="str" cm="1">
        <f t="array" ref="E345">INDEX($E$99:$E$202,INT((ROW()-ROW($E$205))/5)+1)</f>
        <v>Re-opener_Cyber re-opener (Cadent_EoE) / Cyber resilience Re-Opener</v>
      </c>
      <c r="F345" s="188"/>
      <c r="G345" s="188" t="s">
        <v>109</v>
      </c>
      <c r="H345" s="188" t="s">
        <v>168</v>
      </c>
      <c r="I345" s="188"/>
      <c r="J345" s="188"/>
      <c r="K345" s="188"/>
      <c r="L345" s="188"/>
      <c r="M345" s="188"/>
      <c r="N345" s="188"/>
      <c r="O345" s="188"/>
      <c r="P345" s="188"/>
      <c r="Q345" s="188"/>
      <c r="R345" s="188"/>
      <c r="S345" s="188"/>
      <c r="T345" s="188"/>
      <c r="U345" s="188"/>
      <c r="V345" s="188"/>
      <c r="W345" s="188"/>
      <c r="X345" s="188"/>
      <c r="Y345" s="188"/>
      <c r="Z345" s="188"/>
      <c r="AA345" s="188"/>
      <c r="AB345" s="188"/>
      <c r="AC345" s="188"/>
      <c r="AD345" s="188"/>
      <c r="AE345" s="188"/>
      <c r="AF345" s="188"/>
      <c r="AG345" s="188"/>
      <c r="AH345" s="188"/>
      <c r="AI345" s="188"/>
      <c r="AJ345" s="188"/>
      <c r="AK345" s="188"/>
      <c r="AL345" s="188"/>
      <c r="AM345" s="188"/>
      <c r="AN345" s="188"/>
      <c r="AO345" s="188"/>
      <c r="AP345" s="188"/>
      <c r="AQ345" s="188"/>
      <c r="AR345" s="188"/>
      <c r="AS345" s="188"/>
      <c r="AT345" s="202"/>
      <c r="AU345" s="190">
        <v>0</v>
      </c>
      <c r="AV345" s="191">
        <v>0</v>
      </c>
      <c r="AW345" s="191">
        <v>0</v>
      </c>
      <c r="AX345" s="191">
        <v>0</v>
      </c>
      <c r="AY345" s="192">
        <v>0</v>
      </c>
      <c r="BA345" s="34" t="str">
        <f t="shared" ca="1" si="54"/>
        <v>Scotland</v>
      </c>
      <c r="BB345" s="34" t="str">
        <f t="shared" si="55"/>
        <v>Fixed Inputs</v>
      </c>
      <c r="BC345" s="34" t="str">
        <f t="shared" si="59"/>
        <v>Variant allowances</v>
      </c>
      <c r="BD345" s="34" t="str">
        <f t="shared" si="57"/>
        <v>Totex variant allowances allocation percentages</v>
      </c>
    </row>
    <row r="346" spans="5:56" x14ac:dyDescent="0.35">
      <c r="E346" s="193" t="str" cm="1">
        <f t="array" ref="E346">INDEX($E$99:$E$202,INT((ROW()-ROW($E$205))/5)+1)</f>
        <v>Re-opener_Cyber re-opener (Cadent_EoE) / Cyber resilience Re-Opener</v>
      </c>
      <c r="G346" s="33" t="s">
        <v>109</v>
      </c>
      <c r="H346" s="33" t="s">
        <v>169</v>
      </c>
      <c r="AU346" s="140">
        <v>0.5</v>
      </c>
      <c r="AV346" s="23">
        <v>0.5</v>
      </c>
      <c r="AW346" s="23">
        <v>0.5</v>
      </c>
      <c r="AX346" s="23">
        <v>0.5</v>
      </c>
      <c r="AY346" s="194">
        <v>0.5</v>
      </c>
      <c r="BA346" s="34" t="str">
        <f t="shared" ca="1" si="54"/>
        <v>Scotland</v>
      </c>
      <c r="BB346" s="34" t="str">
        <f t="shared" si="55"/>
        <v>Fixed Inputs</v>
      </c>
      <c r="BC346" s="34" t="str">
        <f t="shared" si="59"/>
        <v>Variant allowances</v>
      </c>
      <c r="BD346" s="34" t="str">
        <f t="shared" si="57"/>
        <v>Totex variant allowances allocation percentages</v>
      </c>
    </row>
    <row r="347" spans="5:56" x14ac:dyDescent="0.35">
      <c r="E347" s="193" t="str" cm="1">
        <f t="array" ref="E347">INDEX($E$99:$E$202,INT((ROW()-ROW($E$205))/5)+1)</f>
        <v>Re-opener_Cyber re-opener (Cadent_EoE) / Cyber resilience Re-Opener</v>
      </c>
      <c r="G347" s="33" t="s">
        <v>109</v>
      </c>
      <c r="H347" s="33" t="s">
        <v>170</v>
      </c>
      <c r="AU347" s="140">
        <v>0.5</v>
      </c>
      <c r="AV347" s="23">
        <v>0.5</v>
      </c>
      <c r="AW347" s="23">
        <v>0.5</v>
      </c>
      <c r="AX347" s="23">
        <v>0.5</v>
      </c>
      <c r="AY347" s="194">
        <v>0.5</v>
      </c>
      <c r="BA347" s="34" t="str">
        <f t="shared" ca="1" si="54"/>
        <v>Scotland</v>
      </c>
      <c r="BB347" s="34" t="str">
        <f t="shared" si="55"/>
        <v>Fixed Inputs</v>
      </c>
      <c r="BC347" s="34" t="str">
        <f t="shared" si="59"/>
        <v>Variant allowances</v>
      </c>
      <c r="BD347" s="34" t="str">
        <f t="shared" si="57"/>
        <v>Totex variant allowances allocation percentages</v>
      </c>
    </row>
    <row r="348" spans="5:56" x14ac:dyDescent="0.35">
      <c r="E348" s="193" t="str" cm="1">
        <f t="array" ref="E348">INDEX($E$99:$E$202,INT((ROW()-ROW($E$205))/5)+1)</f>
        <v>Re-opener_Cyber re-opener (Cadent_EoE) / Cyber resilience Re-Opener</v>
      </c>
      <c r="G348" s="33" t="s">
        <v>109</v>
      </c>
      <c r="H348" s="33" t="s">
        <v>171</v>
      </c>
      <c r="AU348" s="140">
        <v>0</v>
      </c>
      <c r="AV348" s="23">
        <v>0</v>
      </c>
      <c r="AW348" s="23">
        <v>0</v>
      </c>
      <c r="AX348" s="23">
        <v>0</v>
      </c>
      <c r="AY348" s="194">
        <v>0</v>
      </c>
      <c r="BA348" s="34" t="str">
        <f t="shared" ca="1" si="54"/>
        <v>Scotland</v>
      </c>
      <c r="BB348" s="34" t="str">
        <f t="shared" si="55"/>
        <v>Fixed Inputs</v>
      </c>
      <c r="BC348" s="34" t="str">
        <f t="shared" si="59"/>
        <v>Variant allowances</v>
      </c>
      <c r="BD348" s="34" t="str">
        <f t="shared" si="57"/>
        <v>Totex variant allowances allocation percentages</v>
      </c>
    </row>
    <row r="349" spans="5:56" x14ac:dyDescent="0.35">
      <c r="E349" s="195" t="str" cm="1">
        <f t="array" ref="E349">INDEX($E$99:$E$202,INT((ROW()-ROW($E$205))/5)+1)</f>
        <v>Re-opener_Cyber re-opener (Cadent_EoE) / Cyber resilience Re-Opener</v>
      </c>
      <c r="F349" s="196"/>
      <c r="G349" s="196" t="s">
        <v>109</v>
      </c>
      <c r="H349" s="196" t="s">
        <v>172</v>
      </c>
      <c r="I349" s="196"/>
      <c r="J349" s="196"/>
      <c r="K349" s="196"/>
      <c r="L349" s="196"/>
      <c r="M349" s="196"/>
      <c r="N349" s="196"/>
      <c r="O349" s="196"/>
      <c r="P349" s="196"/>
      <c r="Q349" s="196"/>
      <c r="R349" s="196"/>
      <c r="S349" s="196"/>
      <c r="T349" s="196"/>
      <c r="U349" s="196"/>
      <c r="V349" s="196"/>
      <c r="W349" s="196"/>
      <c r="X349" s="196"/>
      <c r="Y349" s="196"/>
      <c r="Z349" s="196"/>
      <c r="AA349" s="196"/>
      <c r="AB349" s="196"/>
      <c r="AC349" s="196"/>
      <c r="AD349" s="196"/>
      <c r="AE349" s="196"/>
      <c r="AF349" s="196"/>
      <c r="AG349" s="196"/>
      <c r="AH349" s="196"/>
      <c r="AI349" s="196"/>
      <c r="AJ349" s="196"/>
      <c r="AK349" s="196"/>
      <c r="AL349" s="196"/>
      <c r="AM349" s="196"/>
      <c r="AN349" s="196"/>
      <c r="AO349" s="196"/>
      <c r="AP349" s="196"/>
      <c r="AQ349" s="196"/>
      <c r="AR349" s="196"/>
      <c r="AS349" s="196"/>
      <c r="AT349" s="208"/>
      <c r="AU349" s="198">
        <v>0</v>
      </c>
      <c r="AV349" s="199">
        <v>0</v>
      </c>
      <c r="AW349" s="199">
        <v>0</v>
      </c>
      <c r="AX349" s="199">
        <v>0</v>
      </c>
      <c r="AY349" s="200">
        <v>0</v>
      </c>
      <c r="BA349" s="34" t="str">
        <f t="shared" ca="1" si="54"/>
        <v>Scotland</v>
      </c>
      <c r="BB349" s="34" t="str">
        <f t="shared" si="55"/>
        <v>Fixed Inputs</v>
      </c>
      <c r="BC349" s="34" t="str">
        <f t="shared" si="59"/>
        <v>Variant allowances</v>
      </c>
      <c r="BD349" s="34" t="str">
        <f t="shared" si="57"/>
        <v>Totex variant allowances allocation percentages</v>
      </c>
    </row>
    <row r="350" spans="5:56" x14ac:dyDescent="0.35">
      <c r="E350" s="187" t="str" cm="1">
        <f t="array" ref="E350">INDEX($E$99:$E$202,INT((ROW()-ROW($E$205))/5)+1)</f>
        <v>Re-opener_Data and digitalisation</v>
      </c>
      <c r="F350" s="188"/>
      <c r="G350" s="188" t="s">
        <v>109</v>
      </c>
      <c r="H350" s="188" t="s">
        <v>168</v>
      </c>
      <c r="I350" s="188"/>
      <c r="J350" s="188"/>
      <c r="K350" s="188"/>
      <c r="L350" s="188"/>
      <c r="M350" s="188"/>
      <c r="N350" s="188"/>
      <c r="O350" s="188"/>
      <c r="P350" s="188"/>
      <c r="Q350" s="188"/>
      <c r="R350" s="188"/>
      <c r="S350" s="188"/>
      <c r="T350" s="188"/>
      <c r="U350" s="188"/>
      <c r="V350" s="188"/>
      <c r="W350" s="188"/>
      <c r="X350" s="188"/>
      <c r="Y350" s="188"/>
      <c r="Z350" s="188"/>
      <c r="AA350" s="188"/>
      <c r="AB350" s="188"/>
      <c r="AC350" s="188"/>
      <c r="AD350" s="188"/>
      <c r="AE350" s="188"/>
      <c r="AF350" s="188"/>
      <c r="AG350" s="188"/>
      <c r="AH350" s="188"/>
      <c r="AI350" s="188"/>
      <c r="AJ350" s="188"/>
      <c r="AK350" s="188"/>
      <c r="AL350" s="188"/>
      <c r="AM350" s="188"/>
      <c r="AN350" s="188"/>
      <c r="AO350" s="188"/>
      <c r="AP350" s="188"/>
      <c r="AQ350" s="188"/>
      <c r="AR350" s="188"/>
      <c r="AS350" s="188"/>
      <c r="AT350" s="202"/>
      <c r="AU350" s="190">
        <v>0</v>
      </c>
      <c r="AV350" s="191">
        <v>0</v>
      </c>
      <c r="AW350" s="191">
        <v>0</v>
      </c>
      <c r="AX350" s="191">
        <v>0</v>
      </c>
      <c r="AY350" s="192">
        <v>0</v>
      </c>
      <c r="BA350" s="34" t="str">
        <f t="shared" ca="1" si="54"/>
        <v>Scotland</v>
      </c>
      <c r="BB350" s="34" t="str">
        <f t="shared" si="55"/>
        <v>Fixed Inputs</v>
      </c>
      <c r="BC350" s="34" t="str">
        <f t="shared" si="59"/>
        <v>Variant allowances</v>
      </c>
      <c r="BD350" s="34" t="str">
        <f t="shared" si="57"/>
        <v>Totex variant allowances allocation percentages</v>
      </c>
    </row>
    <row r="351" spans="5:56" x14ac:dyDescent="0.35">
      <c r="E351" s="193" t="str" cm="1">
        <f t="array" ref="E351">INDEX($E$99:$E$202,INT((ROW()-ROW($E$205))/5)+1)</f>
        <v>Re-opener_Data and digitalisation</v>
      </c>
      <c r="G351" s="33" t="s">
        <v>109</v>
      </c>
      <c r="H351" s="33" t="s">
        <v>169</v>
      </c>
      <c r="AU351" s="140">
        <v>0</v>
      </c>
      <c r="AV351" s="23">
        <v>0</v>
      </c>
      <c r="AW351" s="23">
        <v>0</v>
      </c>
      <c r="AX351" s="23">
        <v>0</v>
      </c>
      <c r="AY351" s="194">
        <v>0</v>
      </c>
      <c r="BA351" s="34" t="str">
        <f t="shared" ca="1" si="54"/>
        <v>Scotland</v>
      </c>
      <c r="BB351" s="34" t="str">
        <f t="shared" si="55"/>
        <v>Fixed Inputs</v>
      </c>
      <c r="BC351" s="34" t="str">
        <f t="shared" si="59"/>
        <v>Variant allowances</v>
      </c>
      <c r="BD351" s="34" t="str">
        <f t="shared" si="57"/>
        <v>Totex variant allowances allocation percentages</v>
      </c>
    </row>
    <row r="352" spans="5:56" x14ac:dyDescent="0.35">
      <c r="E352" s="193" t="str" cm="1">
        <f t="array" ref="E352">INDEX($E$99:$E$202,INT((ROW()-ROW($E$205))/5)+1)</f>
        <v>Re-opener_Data and digitalisation</v>
      </c>
      <c r="G352" s="33" t="s">
        <v>109</v>
      </c>
      <c r="H352" s="33" t="s">
        <v>170</v>
      </c>
      <c r="AU352" s="140">
        <v>0</v>
      </c>
      <c r="AV352" s="23">
        <v>0</v>
      </c>
      <c r="AW352" s="23">
        <v>0</v>
      </c>
      <c r="AX352" s="23">
        <v>0</v>
      </c>
      <c r="AY352" s="194">
        <v>0</v>
      </c>
      <c r="BA352" s="34" t="str">
        <f t="shared" ca="1" si="54"/>
        <v>Scotland</v>
      </c>
      <c r="BB352" s="34" t="str">
        <f t="shared" si="55"/>
        <v>Fixed Inputs</v>
      </c>
      <c r="BC352" s="34" t="str">
        <f t="shared" si="59"/>
        <v>Variant allowances</v>
      </c>
      <c r="BD352" s="34" t="str">
        <f t="shared" si="57"/>
        <v>Totex variant allowances allocation percentages</v>
      </c>
    </row>
    <row r="353" spans="5:56" x14ac:dyDescent="0.35">
      <c r="E353" s="193" t="str" cm="1">
        <f t="array" ref="E353">INDEX($E$99:$E$202,INT((ROW()-ROW($E$205))/5)+1)</f>
        <v>Re-opener_Data and digitalisation</v>
      </c>
      <c r="G353" s="33" t="s">
        <v>109</v>
      </c>
      <c r="H353" s="33" t="s">
        <v>171</v>
      </c>
      <c r="AU353" s="140">
        <v>0</v>
      </c>
      <c r="AV353" s="23">
        <v>0</v>
      </c>
      <c r="AW353" s="23">
        <v>0</v>
      </c>
      <c r="AX353" s="23">
        <v>0</v>
      </c>
      <c r="AY353" s="194">
        <v>0</v>
      </c>
      <c r="BA353" s="34" t="str">
        <f t="shared" ca="1" si="54"/>
        <v>Scotland</v>
      </c>
      <c r="BB353" s="34" t="str">
        <f t="shared" si="55"/>
        <v>Fixed Inputs</v>
      </c>
      <c r="BC353" s="34" t="str">
        <f t="shared" si="59"/>
        <v>Variant allowances</v>
      </c>
      <c r="BD353" s="34" t="str">
        <f t="shared" si="57"/>
        <v>Totex variant allowances allocation percentages</v>
      </c>
    </row>
    <row r="354" spans="5:56" x14ac:dyDescent="0.35">
      <c r="E354" s="195" t="str" cm="1">
        <f t="array" ref="E354">INDEX($E$99:$E$202,INT((ROW()-ROW($E$205))/5)+1)</f>
        <v>Re-opener_Data and digitalisation</v>
      </c>
      <c r="F354" s="196"/>
      <c r="G354" s="196" t="s">
        <v>109</v>
      </c>
      <c r="H354" s="196" t="s">
        <v>172</v>
      </c>
      <c r="I354" s="196"/>
      <c r="J354" s="196"/>
      <c r="K354" s="196"/>
      <c r="L354" s="196"/>
      <c r="M354" s="196"/>
      <c r="N354" s="196"/>
      <c r="O354" s="196"/>
      <c r="P354" s="196"/>
      <c r="Q354" s="196"/>
      <c r="R354" s="196"/>
      <c r="S354" s="196"/>
      <c r="T354" s="196"/>
      <c r="U354" s="196"/>
      <c r="V354" s="196"/>
      <c r="W354" s="196"/>
      <c r="X354" s="196"/>
      <c r="Y354" s="196"/>
      <c r="Z354" s="196"/>
      <c r="AA354" s="196"/>
      <c r="AB354" s="196"/>
      <c r="AC354" s="196"/>
      <c r="AD354" s="196"/>
      <c r="AE354" s="196"/>
      <c r="AF354" s="196"/>
      <c r="AG354" s="196"/>
      <c r="AH354" s="196"/>
      <c r="AI354" s="196"/>
      <c r="AJ354" s="196"/>
      <c r="AK354" s="196"/>
      <c r="AL354" s="196"/>
      <c r="AM354" s="196"/>
      <c r="AN354" s="196"/>
      <c r="AO354" s="196"/>
      <c r="AP354" s="196"/>
      <c r="AQ354" s="196"/>
      <c r="AR354" s="196"/>
      <c r="AS354" s="196"/>
      <c r="AT354" s="208"/>
      <c r="AU354" s="198">
        <v>0</v>
      </c>
      <c r="AV354" s="199">
        <v>0</v>
      </c>
      <c r="AW354" s="199">
        <v>0</v>
      </c>
      <c r="AX354" s="199">
        <v>0</v>
      </c>
      <c r="AY354" s="200">
        <v>0</v>
      </c>
      <c r="BA354" s="34" t="str">
        <f t="shared" ca="1" si="54"/>
        <v>Scotland</v>
      </c>
      <c r="BB354" s="34" t="str">
        <f t="shared" si="55"/>
        <v>Fixed Inputs</v>
      </c>
      <c r="BC354" s="34" t="str">
        <f t="shared" si="59"/>
        <v>Variant allowances</v>
      </c>
      <c r="BD354" s="34" t="str">
        <f t="shared" si="57"/>
        <v>Totex variant allowances allocation percentages</v>
      </c>
    </row>
    <row r="355" spans="5:56" x14ac:dyDescent="0.35">
      <c r="E355" s="187" t="str" cm="1">
        <f t="array" ref="E355">INDEX($E$99:$E$202,INT((ROW()-ROW($E$205))/5)+1)</f>
        <v>Re-opener_Digitalisation re-opener</v>
      </c>
      <c r="F355" s="188"/>
      <c r="G355" s="188" t="s">
        <v>109</v>
      </c>
      <c r="H355" s="188" t="s">
        <v>168</v>
      </c>
      <c r="I355" s="188"/>
      <c r="J355" s="188"/>
      <c r="K355" s="188"/>
      <c r="L355" s="188"/>
      <c r="M355" s="188"/>
      <c r="N355" s="188"/>
      <c r="O355" s="188"/>
      <c r="P355" s="188"/>
      <c r="Q355" s="188"/>
      <c r="R355" s="188"/>
      <c r="S355" s="188"/>
      <c r="T355" s="188"/>
      <c r="U355" s="188"/>
      <c r="V355" s="188"/>
      <c r="W355" s="188"/>
      <c r="X355" s="188"/>
      <c r="Y355" s="188"/>
      <c r="Z355" s="188"/>
      <c r="AA355" s="188"/>
      <c r="AB355" s="188"/>
      <c r="AC355" s="188"/>
      <c r="AD355" s="188"/>
      <c r="AE355" s="188"/>
      <c r="AF355" s="188"/>
      <c r="AG355" s="188"/>
      <c r="AH355" s="188"/>
      <c r="AI355" s="188"/>
      <c r="AJ355" s="188"/>
      <c r="AK355" s="188"/>
      <c r="AL355" s="188"/>
      <c r="AM355" s="188"/>
      <c r="AN355" s="188"/>
      <c r="AO355" s="188"/>
      <c r="AP355" s="188"/>
      <c r="AQ355" s="188"/>
      <c r="AR355" s="188"/>
      <c r="AS355" s="188"/>
      <c r="AT355" s="202"/>
      <c r="AU355" s="190">
        <v>0</v>
      </c>
      <c r="AV355" s="191">
        <v>0</v>
      </c>
      <c r="AW355" s="191">
        <v>0</v>
      </c>
      <c r="AX355" s="191">
        <v>0</v>
      </c>
      <c r="AY355" s="192">
        <v>0</v>
      </c>
      <c r="BA355" s="34" t="str">
        <f t="shared" ca="1" si="54"/>
        <v>Scotland</v>
      </c>
      <c r="BB355" s="34" t="str">
        <f t="shared" si="55"/>
        <v>Fixed Inputs</v>
      </c>
      <c r="BC355" s="34" t="str">
        <f t="shared" si="59"/>
        <v>Variant allowances</v>
      </c>
      <c r="BD355" s="34" t="str">
        <f t="shared" si="57"/>
        <v>Totex variant allowances allocation percentages</v>
      </c>
    </row>
    <row r="356" spans="5:56" x14ac:dyDescent="0.35">
      <c r="E356" s="193" t="str" cm="1">
        <f t="array" ref="E356">INDEX($E$99:$E$202,INT((ROW()-ROW($E$205))/5)+1)</f>
        <v>Re-opener_Digitalisation re-opener</v>
      </c>
      <c r="G356" s="33" t="s">
        <v>109</v>
      </c>
      <c r="H356" s="33" t="s">
        <v>169</v>
      </c>
      <c r="AU356" s="140">
        <v>0</v>
      </c>
      <c r="AV356" s="23">
        <v>0</v>
      </c>
      <c r="AW356" s="23">
        <v>0</v>
      </c>
      <c r="AX356" s="23">
        <v>0</v>
      </c>
      <c r="AY356" s="194">
        <v>0</v>
      </c>
      <c r="BA356" s="34" t="str">
        <f t="shared" ca="1" si="54"/>
        <v>Scotland</v>
      </c>
      <c r="BB356" s="34" t="str">
        <f t="shared" si="55"/>
        <v>Fixed Inputs</v>
      </c>
      <c r="BC356" s="34" t="str">
        <f t="shared" si="59"/>
        <v>Variant allowances</v>
      </c>
      <c r="BD356" s="34" t="str">
        <f t="shared" si="57"/>
        <v>Totex variant allowances allocation percentages</v>
      </c>
    </row>
    <row r="357" spans="5:56" x14ac:dyDescent="0.35">
      <c r="E357" s="193" t="str" cm="1">
        <f t="array" ref="E357">INDEX($E$99:$E$202,INT((ROW()-ROW($E$205))/5)+1)</f>
        <v>Re-opener_Digitalisation re-opener</v>
      </c>
      <c r="G357" s="33" t="s">
        <v>109</v>
      </c>
      <c r="H357" s="33" t="s">
        <v>170</v>
      </c>
      <c r="AU357" s="140">
        <v>0</v>
      </c>
      <c r="AV357" s="23">
        <v>0</v>
      </c>
      <c r="AW357" s="23">
        <v>0</v>
      </c>
      <c r="AX357" s="23">
        <v>0</v>
      </c>
      <c r="AY357" s="194">
        <v>0</v>
      </c>
      <c r="BA357" s="34" t="str">
        <f t="shared" ca="1" si="54"/>
        <v>Scotland</v>
      </c>
      <c r="BB357" s="34" t="str">
        <f t="shared" si="55"/>
        <v>Fixed Inputs</v>
      </c>
      <c r="BC357" s="34" t="str">
        <f t="shared" si="59"/>
        <v>Variant allowances</v>
      </c>
      <c r="BD357" s="34" t="str">
        <f t="shared" si="57"/>
        <v>Totex variant allowances allocation percentages</v>
      </c>
    </row>
    <row r="358" spans="5:56" x14ac:dyDescent="0.35">
      <c r="E358" s="193" t="str" cm="1">
        <f t="array" ref="E358">INDEX($E$99:$E$202,INT((ROW()-ROW($E$205))/5)+1)</f>
        <v>Re-opener_Digitalisation re-opener</v>
      </c>
      <c r="G358" s="33" t="s">
        <v>109</v>
      </c>
      <c r="H358" s="33" t="s">
        <v>171</v>
      </c>
      <c r="AU358" s="140">
        <v>0</v>
      </c>
      <c r="AV358" s="23">
        <v>0</v>
      </c>
      <c r="AW358" s="23">
        <v>0</v>
      </c>
      <c r="AX358" s="23">
        <v>0</v>
      </c>
      <c r="AY358" s="194">
        <v>0</v>
      </c>
      <c r="BA358" s="34" t="str">
        <f t="shared" ca="1" si="54"/>
        <v>Scotland</v>
      </c>
      <c r="BB358" s="34" t="str">
        <f t="shared" si="55"/>
        <v>Fixed Inputs</v>
      </c>
      <c r="BC358" s="34" t="str">
        <f t="shared" si="59"/>
        <v>Variant allowances</v>
      </c>
      <c r="BD358" s="34" t="str">
        <f t="shared" si="57"/>
        <v>Totex variant allowances allocation percentages</v>
      </c>
    </row>
    <row r="359" spans="5:56" x14ac:dyDescent="0.35">
      <c r="E359" s="195" t="str" cm="1">
        <f t="array" ref="E359">INDEX($E$99:$E$202,INT((ROW()-ROW($E$205))/5)+1)</f>
        <v>Re-opener_Digitalisation re-opener</v>
      </c>
      <c r="F359" s="196"/>
      <c r="G359" s="196" t="s">
        <v>109</v>
      </c>
      <c r="H359" s="196" t="s">
        <v>172</v>
      </c>
      <c r="I359" s="196"/>
      <c r="J359" s="196"/>
      <c r="K359" s="196"/>
      <c r="L359" s="196"/>
      <c r="M359" s="196"/>
      <c r="N359" s="196"/>
      <c r="O359" s="196"/>
      <c r="P359" s="196"/>
      <c r="Q359" s="196"/>
      <c r="R359" s="196"/>
      <c r="S359" s="196"/>
      <c r="T359" s="196"/>
      <c r="U359" s="196"/>
      <c r="V359" s="196"/>
      <c r="W359" s="196"/>
      <c r="X359" s="196"/>
      <c r="Y359" s="196"/>
      <c r="Z359" s="196"/>
      <c r="AA359" s="196"/>
      <c r="AB359" s="196"/>
      <c r="AC359" s="196"/>
      <c r="AD359" s="196"/>
      <c r="AE359" s="196"/>
      <c r="AF359" s="196"/>
      <c r="AG359" s="196"/>
      <c r="AH359" s="196"/>
      <c r="AI359" s="196"/>
      <c r="AJ359" s="196"/>
      <c r="AK359" s="196"/>
      <c r="AL359" s="196"/>
      <c r="AM359" s="196"/>
      <c r="AN359" s="196"/>
      <c r="AO359" s="196"/>
      <c r="AP359" s="196"/>
      <c r="AQ359" s="196"/>
      <c r="AR359" s="196"/>
      <c r="AS359" s="196"/>
      <c r="AT359" s="208"/>
      <c r="AU359" s="198">
        <v>0</v>
      </c>
      <c r="AV359" s="199">
        <v>0</v>
      </c>
      <c r="AW359" s="199">
        <v>0</v>
      </c>
      <c r="AX359" s="199">
        <v>0</v>
      </c>
      <c r="AY359" s="200">
        <v>0</v>
      </c>
      <c r="BA359" s="34" t="str">
        <f t="shared" ca="1" si="54"/>
        <v>Scotland</v>
      </c>
      <c r="BB359" s="34" t="str">
        <f t="shared" si="55"/>
        <v>Fixed Inputs</v>
      </c>
      <c r="BC359" s="34" t="str">
        <f t="shared" si="59"/>
        <v>Variant allowances</v>
      </c>
      <c r="BD359" s="34" t="str">
        <f t="shared" si="57"/>
        <v>Totex variant allowances allocation percentages</v>
      </c>
    </row>
    <row r="360" spans="5:56" x14ac:dyDescent="0.35">
      <c r="E360" s="187" t="str" cm="1">
        <f t="array" ref="E360">INDEX($E$99:$E$202,INT((ROW()-ROW($E$205))/5)+1)</f>
        <v>Re-opener_Diversions and Loss of Development Claims Re-opener</v>
      </c>
      <c r="F360" s="188"/>
      <c r="G360" s="188" t="s">
        <v>109</v>
      </c>
      <c r="H360" s="188" t="s">
        <v>168</v>
      </c>
      <c r="I360" s="188"/>
      <c r="J360" s="188"/>
      <c r="K360" s="188"/>
      <c r="L360" s="188"/>
      <c r="M360" s="188"/>
      <c r="N360" s="188"/>
      <c r="O360" s="188"/>
      <c r="P360" s="188"/>
      <c r="Q360" s="188"/>
      <c r="R360" s="188"/>
      <c r="S360" s="188"/>
      <c r="T360" s="188"/>
      <c r="U360" s="188"/>
      <c r="V360" s="188"/>
      <c r="W360" s="188"/>
      <c r="X360" s="188"/>
      <c r="Y360" s="188"/>
      <c r="Z360" s="188"/>
      <c r="AA360" s="188"/>
      <c r="AB360" s="188"/>
      <c r="AC360" s="188"/>
      <c r="AD360" s="188"/>
      <c r="AE360" s="188"/>
      <c r="AF360" s="188"/>
      <c r="AG360" s="188"/>
      <c r="AH360" s="188"/>
      <c r="AI360" s="188"/>
      <c r="AJ360" s="188"/>
      <c r="AK360" s="188"/>
      <c r="AL360" s="188"/>
      <c r="AM360" s="188"/>
      <c r="AN360" s="188"/>
      <c r="AO360" s="188"/>
      <c r="AP360" s="188"/>
      <c r="AQ360" s="188"/>
      <c r="AR360" s="188"/>
      <c r="AS360" s="188"/>
      <c r="AT360" s="202"/>
      <c r="AU360" s="190">
        <v>0</v>
      </c>
      <c r="AV360" s="191">
        <v>0</v>
      </c>
      <c r="AW360" s="191">
        <v>0</v>
      </c>
      <c r="AX360" s="191">
        <v>0</v>
      </c>
      <c r="AY360" s="192">
        <v>0</v>
      </c>
      <c r="BA360" s="34" t="str">
        <f t="shared" ca="1" si="54"/>
        <v>Scotland</v>
      </c>
      <c r="BB360" s="34" t="str">
        <f t="shared" si="55"/>
        <v>Fixed Inputs</v>
      </c>
      <c r="BC360" s="34" t="str">
        <f t="shared" si="59"/>
        <v>Variant allowances</v>
      </c>
      <c r="BD360" s="34" t="str">
        <f t="shared" si="57"/>
        <v>Totex variant allowances allocation percentages</v>
      </c>
    </row>
    <row r="361" spans="5:56" x14ac:dyDescent="0.35">
      <c r="E361" s="193" t="str" cm="1">
        <f t="array" ref="E361">INDEX($E$99:$E$202,INT((ROW()-ROW($E$205))/5)+1)</f>
        <v>Re-opener_Diversions and Loss of Development Claims Re-opener</v>
      </c>
      <c r="G361" s="33" t="s">
        <v>109</v>
      </c>
      <c r="H361" s="33" t="s">
        <v>169</v>
      </c>
      <c r="AU361" s="140">
        <v>1</v>
      </c>
      <c r="AV361" s="23">
        <v>1</v>
      </c>
      <c r="AW361" s="23">
        <v>1</v>
      </c>
      <c r="AX361" s="23">
        <v>1</v>
      </c>
      <c r="AY361" s="194">
        <v>1</v>
      </c>
      <c r="BA361" s="34" t="str">
        <f t="shared" ca="1" si="54"/>
        <v>Scotland</v>
      </c>
      <c r="BB361" s="34" t="str">
        <f t="shared" si="55"/>
        <v>Fixed Inputs</v>
      </c>
      <c r="BC361" s="34" t="str">
        <f t="shared" si="59"/>
        <v>Variant allowances</v>
      </c>
      <c r="BD361" s="34" t="str">
        <f t="shared" si="57"/>
        <v>Totex variant allowances allocation percentages</v>
      </c>
    </row>
    <row r="362" spans="5:56" x14ac:dyDescent="0.35">
      <c r="E362" s="193" t="str" cm="1">
        <f t="array" ref="E362">INDEX($E$99:$E$202,INT((ROW()-ROW($E$205))/5)+1)</f>
        <v>Re-opener_Diversions and Loss of Development Claims Re-opener</v>
      </c>
      <c r="G362" s="33" t="s">
        <v>109</v>
      </c>
      <c r="H362" s="33" t="s">
        <v>170</v>
      </c>
      <c r="AU362" s="140">
        <v>0</v>
      </c>
      <c r="AV362" s="23">
        <v>0</v>
      </c>
      <c r="AW362" s="23">
        <v>0</v>
      </c>
      <c r="AX362" s="23">
        <v>0</v>
      </c>
      <c r="AY362" s="194">
        <v>0</v>
      </c>
      <c r="BA362" s="34" t="str">
        <f t="shared" ca="1" si="54"/>
        <v>Scotland</v>
      </c>
      <c r="BB362" s="34" t="str">
        <f t="shared" si="55"/>
        <v>Fixed Inputs</v>
      </c>
      <c r="BC362" s="34" t="str">
        <f t="shared" si="59"/>
        <v>Variant allowances</v>
      </c>
      <c r="BD362" s="34" t="str">
        <f t="shared" si="57"/>
        <v>Totex variant allowances allocation percentages</v>
      </c>
    </row>
    <row r="363" spans="5:56" x14ac:dyDescent="0.35">
      <c r="E363" s="193" t="str" cm="1">
        <f t="array" ref="E363">INDEX($E$99:$E$202,INT((ROW()-ROW($E$205))/5)+1)</f>
        <v>Re-opener_Diversions and Loss of Development Claims Re-opener</v>
      </c>
      <c r="G363" s="33" t="s">
        <v>109</v>
      </c>
      <c r="H363" s="33" t="s">
        <v>171</v>
      </c>
      <c r="AU363" s="140">
        <v>0</v>
      </c>
      <c r="AV363" s="23">
        <v>0</v>
      </c>
      <c r="AW363" s="23">
        <v>0</v>
      </c>
      <c r="AX363" s="23">
        <v>0</v>
      </c>
      <c r="AY363" s="194">
        <v>0</v>
      </c>
      <c r="BA363" s="34" t="str">
        <f t="shared" ca="1" si="54"/>
        <v>Scotland</v>
      </c>
      <c r="BB363" s="34" t="str">
        <f t="shared" si="55"/>
        <v>Fixed Inputs</v>
      </c>
      <c r="BC363" s="34" t="str">
        <f t="shared" si="59"/>
        <v>Variant allowances</v>
      </c>
      <c r="BD363" s="34" t="str">
        <f t="shared" si="57"/>
        <v>Totex variant allowances allocation percentages</v>
      </c>
    </row>
    <row r="364" spans="5:56" x14ac:dyDescent="0.35">
      <c r="E364" s="195" t="str" cm="1">
        <f t="array" ref="E364">INDEX($E$99:$E$202,INT((ROW()-ROW($E$205))/5)+1)</f>
        <v>Re-opener_Diversions and Loss of Development Claims Re-opener</v>
      </c>
      <c r="F364" s="196"/>
      <c r="G364" s="196" t="s">
        <v>109</v>
      </c>
      <c r="H364" s="196" t="s">
        <v>172</v>
      </c>
      <c r="I364" s="196"/>
      <c r="J364" s="196"/>
      <c r="K364" s="196"/>
      <c r="L364" s="196"/>
      <c r="M364" s="196"/>
      <c r="N364" s="196"/>
      <c r="O364" s="196"/>
      <c r="P364" s="196"/>
      <c r="Q364" s="196"/>
      <c r="R364" s="196"/>
      <c r="S364" s="196"/>
      <c r="T364" s="196"/>
      <c r="U364" s="196"/>
      <c r="V364" s="196"/>
      <c r="W364" s="196"/>
      <c r="X364" s="196"/>
      <c r="Y364" s="196"/>
      <c r="Z364" s="196"/>
      <c r="AA364" s="196"/>
      <c r="AB364" s="196"/>
      <c r="AC364" s="196"/>
      <c r="AD364" s="196"/>
      <c r="AE364" s="196"/>
      <c r="AF364" s="196"/>
      <c r="AG364" s="196"/>
      <c r="AH364" s="196"/>
      <c r="AI364" s="196"/>
      <c r="AJ364" s="196"/>
      <c r="AK364" s="196"/>
      <c r="AL364" s="196"/>
      <c r="AM364" s="196"/>
      <c r="AN364" s="196"/>
      <c r="AO364" s="196"/>
      <c r="AP364" s="196"/>
      <c r="AQ364" s="196"/>
      <c r="AR364" s="196"/>
      <c r="AS364" s="196"/>
      <c r="AT364" s="208"/>
      <c r="AU364" s="198">
        <v>0</v>
      </c>
      <c r="AV364" s="199">
        <v>0</v>
      </c>
      <c r="AW364" s="199">
        <v>0</v>
      </c>
      <c r="AX364" s="199">
        <v>0</v>
      </c>
      <c r="AY364" s="200">
        <v>0</v>
      </c>
      <c r="BA364" s="34" t="str">
        <f t="shared" ca="1" si="54"/>
        <v>Scotland</v>
      </c>
      <c r="BB364" s="34" t="str">
        <f t="shared" si="55"/>
        <v>Fixed Inputs</v>
      </c>
      <c r="BC364" s="34" t="str">
        <f t="shared" si="59"/>
        <v>Variant allowances</v>
      </c>
      <c r="BD364" s="34" t="str">
        <f t="shared" si="57"/>
        <v>Totex variant allowances allocation percentages</v>
      </c>
    </row>
    <row r="365" spans="5:56" x14ac:dyDescent="0.35">
      <c r="E365" s="187" t="str" cm="1">
        <f t="array" ref="E365">INDEX($E$99:$E$202,INT((ROW()-ROW($E$205))/5)+1)</f>
        <v>Re-opener_Heat Policy re-opener</v>
      </c>
      <c r="F365" s="188"/>
      <c r="G365" s="188" t="s">
        <v>109</v>
      </c>
      <c r="H365" s="188" t="s">
        <v>168</v>
      </c>
      <c r="I365" s="188"/>
      <c r="J365" s="188"/>
      <c r="K365" s="188"/>
      <c r="L365" s="188"/>
      <c r="M365" s="188"/>
      <c r="N365" s="188"/>
      <c r="O365" s="188"/>
      <c r="P365" s="188"/>
      <c r="Q365" s="188"/>
      <c r="R365" s="188"/>
      <c r="S365" s="188"/>
      <c r="T365" s="188"/>
      <c r="U365" s="188"/>
      <c r="V365" s="188"/>
      <c r="W365" s="188"/>
      <c r="X365" s="188"/>
      <c r="Y365" s="188"/>
      <c r="Z365" s="188"/>
      <c r="AA365" s="188"/>
      <c r="AB365" s="188"/>
      <c r="AC365" s="188"/>
      <c r="AD365" s="188"/>
      <c r="AE365" s="188"/>
      <c r="AF365" s="188"/>
      <c r="AG365" s="188"/>
      <c r="AH365" s="188"/>
      <c r="AI365" s="188"/>
      <c r="AJ365" s="188"/>
      <c r="AK365" s="188"/>
      <c r="AL365" s="188"/>
      <c r="AM365" s="188"/>
      <c r="AN365" s="188"/>
      <c r="AO365" s="188"/>
      <c r="AP365" s="188"/>
      <c r="AQ365" s="188"/>
      <c r="AR365" s="188"/>
      <c r="AS365" s="188"/>
      <c r="AT365" s="202"/>
      <c r="AU365" s="190">
        <v>0</v>
      </c>
      <c r="AV365" s="191">
        <v>0</v>
      </c>
      <c r="AW365" s="191">
        <v>0</v>
      </c>
      <c r="AX365" s="191">
        <v>0</v>
      </c>
      <c r="AY365" s="192">
        <v>0</v>
      </c>
      <c r="BA365" s="34" t="str">
        <f t="shared" ca="1" si="54"/>
        <v>Scotland</v>
      </c>
      <c r="BB365" s="34" t="str">
        <f t="shared" si="55"/>
        <v>Fixed Inputs</v>
      </c>
      <c r="BC365" s="34" t="str">
        <f t="shared" si="59"/>
        <v>Variant allowances</v>
      </c>
      <c r="BD365" s="34" t="str">
        <f t="shared" si="57"/>
        <v>Totex variant allowances allocation percentages</v>
      </c>
    </row>
    <row r="366" spans="5:56" x14ac:dyDescent="0.35">
      <c r="E366" s="193" t="str" cm="1">
        <f t="array" ref="E366">INDEX($E$99:$E$202,INT((ROW()-ROW($E$205))/5)+1)</f>
        <v>Re-opener_Heat Policy re-opener</v>
      </c>
      <c r="G366" s="33" t="s">
        <v>109</v>
      </c>
      <c r="H366" s="33" t="s">
        <v>169</v>
      </c>
      <c r="AU366" s="140">
        <v>0</v>
      </c>
      <c r="AV366" s="23">
        <v>0</v>
      </c>
      <c r="AW366" s="23">
        <v>0</v>
      </c>
      <c r="AX366" s="23">
        <v>0</v>
      </c>
      <c r="AY366" s="194">
        <v>0</v>
      </c>
      <c r="BA366" s="34" t="str">
        <f t="shared" ca="1" si="54"/>
        <v>Scotland</v>
      </c>
      <c r="BB366" s="34" t="str">
        <f t="shared" si="55"/>
        <v>Fixed Inputs</v>
      </c>
      <c r="BC366" s="34" t="str">
        <f t="shared" si="59"/>
        <v>Variant allowances</v>
      </c>
      <c r="BD366" s="34" t="str">
        <f t="shared" si="57"/>
        <v>Totex variant allowances allocation percentages</v>
      </c>
    </row>
    <row r="367" spans="5:56" x14ac:dyDescent="0.35">
      <c r="E367" s="193" t="str" cm="1">
        <f t="array" ref="E367">INDEX($E$99:$E$202,INT((ROW()-ROW($E$205))/5)+1)</f>
        <v>Re-opener_Heat Policy re-opener</v>
      </c>
      <c r="G367" s="33" t="s">
        <v>109</v>
      </c>
      <c r="H367" s="33" t="s">
        <v>170</v>
      </c>
      <c r="AU367" s="140">
        <v>0</v>
      </c>
      <c r="AV367" s="23">
        <v>0</v>
      </c>
      <c r="AW367" s="23">
        <v>0</v>
      </c>
      <c r="AX367" s="23">
        <v>0</v>
      </c>
      <c r="AY367" s="194">
        <v>0</v>
      </c>
      <c r="BA367" s="34" t="str">
        <f t="shared" ca="1" si="54"/>
        <v>Scotland</v>
      </c>
      <c r="BB367" s="34" t="str">
        <f t="shared" si="55"/>
        <v>Fixed Inputs</v>
      </c>
      <c r="BC367" s="34" t="str">
        <f t="shared" si="59"/>
        <v>Variant allowances</v>
      </c>
      <c r="BD367" s="34" t="str">
        <f t="shared" si="57"/>
        <v>Totex variant allowances allocation percentages</v>
      </c>
    </row>
    <row r="368" spans="5:56" x14ac:dyDescent="0.35">
      <c r="E368" s="193" t="str" cm="1">
        <f t="array" ref="E368">INDEX($E$99:$E$202,INT((ROW()-ROW($E$205))/5)+1)</f>
        <v>Re-opener_Heat Policy re-opener</v>
      </c>
      <c r="G368" s="33" t="s">
        <v>109</v>
      </c>
      <c r="H368" s="33" t="s">
        <v>171</v>
      </c>
      <c r="AU368" s="140">
        <v>0</v>
      </c>
      <c r="AV368" s="23">
        <v>0</v>
      </c>
      <c r="AW368" s="23">
        <v>0</v>
      </c>
      <c r="AX368" s="23">
        <v>0</v>
      </c>
      <c r="AY368" s="194">
        <v>0</v>
      </c>
      <c r="BA368" s="34" t="str">
        <f t="shared" ca="1" si="54"/>
        <v>Scotland</v>
      </c>
      <c r="BB368" s="34" t="str">
        <f t="shared" si="55"/>
        <v>Fixed Inputs</v>
      </c>
      <c r="BC368" s="34" t="str">
        <f t="shared" si="59"/>
        <v>Variant allowances</v>
      </c>
      <c r="BD368" s="34" t="str">
        <f t="shared" si="57"/>
        <v>Totex variant allowances allocation percentages</v>
      </c>
    </row>
    <row r="369" spans="5:56" x14ac:dyDescent="0.35">
      <c r="E369" s="195" t="str" cm="1">
        <f t="array" ref="E369">INDEX($E$99:$E$202,INT((ROW()-ROW($E$205))/5)+1)</f>
        <v>Re-opener_Heat Policy re-opener</v>
      </c>
      <c r="F369" s="196"/>
      <c r="G369" s="196" t="s">
        <v>109</v>
      </c>
      <c r="H369" s="196" t="s">
        <v>172</v>
      </c>
      <c r="I369" s="196"/>
      <c r="J369" s="196"/>
      <c r="K369" s="196"/>
      <c r="L369" s="196"/>
      <c r="M369" s="196"/>
      <c r="N369" s="196"/>
      <c r="O369" s="196"/>
      <c r="P369" s="196"/>
      <c r="Q369" s="196"/>
      <c r="R369" s="196"/>
      <c r="S369" s="196"/>
      <c r="T369" s="196"/>
      <c r="U369" s="196"/>
      <c r="V369" s="196"/>
      <c r="W369" s="196"/>
      <c r="X369" s="196"/>
      <c r="Y369" s="196"/>
      <c r="Z369" s="196"/>
      <c r="AA369" s="196"/>
      <c r="AB369" s="196"/>
      <c r="AC369" s="196"/>
      <c r="AD369" s="196"/>
      <c r="AE369" s="196"/>
      <c r="AF369" s="196"/>
      <c r="AG369" s="196"/>
      <c r="AH369" s="196"/>
      <c r="AI369" s="196"/>
      <c r="AJ369" s="196"/>
      <c r="AK369" s="196"/>
      <c r="AL369" s="196"/>
      <c r="AM369" s="196"/>
      <c r="AN369" s="196"/>
      <c r="AO369" s="196"/>
      <c r="AP369" s="196"/>
      <c r="AQ369" s="196"/>
      <c r="AR369" s="196"/>
      <c r="AS369" s="196"/>
      <c r="AT369" s="208"/>
      <c r="AU369" s="198">
        <v>0</v>
      </c>
      <c r="AV369" s="199">
        <v>0</v>
      </c>
      <c r="AW369" s="199">
        <v>0</v>
      </c>
      <c r="AX369" s="199">
        <v>0</v>
      </c>
      <c r="AY369" s="200">
        <v>0</v>
      </c>
      <c r="BA369" s="34" t="str">
        <f t="shared" ca="1" si="54"/>
        <v>Scotland</v>
      </c>
      <c r="BB369" s="34" t="str">
        <f t="shared" si="55"/>
        <v>Fixed Inputs</v>
      </c>
      <c r="BC369" s="34" t="str">
        <f t="shared" si="59"/>
        <v>Variant allowances</v>
      </c>
      <c r="BD369" s="34" t="str">
        <f t="shared" si="57"/>
        <v>Totex variant allowances allocation percentages</v>
      </c>
    </row>
    <row r="370" spans="5:56" x14ac:dyDescent="0.35">
      <c r="E370" s="187" t="str" cm="1">
        <f t="array" ref="E370">INDEX($E$99:$E$202,INT((ROW()-ROW($E$205))/5)+1)</f>
        <v>Re-opener_HSE Policy Re-opener</v>
      </c>
      <c r="F370" s="188"/>
      <c r="G370" s="188" t="s">
        <v>109</v>
      </c>
      <c r="H370" s="188" t="s">
        <v>168</v>
      </c>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202"/>
      <c r="AU370" s="190">
        <v>0</v>
      </c>
      <c r="AV370" s="191">
        <v>0</v>
      </c>
      <c r="AW370" s="191">
        <v>0</v>
      </c>
      <c r="AX370" s="191">
        <v>0</v>
      </c>
      <c r="AY370" s="192">
        <v>0</v>
      </c>
      <c r="BA370" s="34" t="str">
        <f t="shared" ca="1" si="54"/>
        <v>Scotland</v>
      </c>
      <c r="BB370" s="34" t="str">
        <f t="shared" si="55"/>
        <v>Fixed Inputs</v>
      </c>
      <c r="BC370" s="34" t="str">
        <f t="shared" si="59"/>
        <v>Variant allowances</v>
      </c>
      <c r="BD370" s="34" t="str">
        <f t="shared" si="57"/>
        <v>Totex variant allowances allocation percentages</v>
      </c>
    </row>
    <row r="371" spans="5:56" x14ac:dyDescent="0.35">
      <c r="E371" s="193" t="str" cm="1">
        <f t="array" ref="E371">INDEX($E$99:$E$202,INT((ROW()-ROW($E$205))/5)+1)</f>
        <v>Re-opener_HSE Policy Re-opener</v>
      </c>
      <c r="G371" s="33" t="s">
        <v>109</v>
      </c>
      <c r="H371" s="33" t="s">
        <v>169</v>
      </c>
      <c r="AU371" s="140">
        <v>0</v>
      </c>
      <c r="AV371" s="23">
        <v>0</v>
      </c>
      <c r="AW371" s="23">
        <v>0</v>
      </c>
      <c r="AX371" s="23">
        <v>0</v>
      </c>
      <c r="AY371" s="194">
        <v>0</v>
      </c>
      <c r="BA371" s="34" t="str">
        <f t="shared" ca="1" si="54"/>
        <v>Scotland</v>
      </c>
      <c r="BB371" s="34" t="str">
        <f t="shared" si="55"/>
        <v>Fixed Inputs</v>
      </c>
      <c r="BC371" s="34" t="str">
        <f t="shared" si="59"/>
        <v>Variant allowances</v>
      </c>
      <c r="BD371" s="34" t="str">
        <f t="shared" si="57"/>
        <v>Totex variant allowances allocation percentages</v>
      </c>
    </row>
    <row r="372" spans="5:56" x14ac:dyDescent="0.35">
      <c r="E372" s="193" t="str" cm="1">
        <f t="array" ref="E372">INDEX($E$99:$E$202,INT((ROW()-ROW($E$205))/5)+1)</f>
        <v>Re-opener_HSE Policy Re-opener</v>
      </c>
      <c r="G372" s="33" t="s">
        <v>109</v>
      </c>
      <c r="H372" s="33" t="s">
        <v>170</v>
      </c>
      <c r="AU372" s="140">
        <v>0</v>
      </c>
      <c r="AV372" s="23">
        <v>0</v>
      </c>
      <c r="AW372" s="23">
        <v>0</v>
      </c>
      <c r="AX372" s="23">
        <v>0</v>
      </c>
      <c r="AY372" s="194">
        <v>0</v>
      </c>
      <c r="BA372" s="34" t="str">
        <f t="shared" ca="1" si="54"/>
        <v>Scotland</v>
      </c>
      <c r="BB372" s="34" t="str">
        <f t="shared" si="55"/>
        <v>Fixed Inputs</v>
      </c>
      <c r="BC372" s="34" t="str">
        <f t="shared" si="59"/>
        <v>Variant allowances</v>
      </c>
      <c r="BD372" s="34" t="str">
        <f t="shared" si="57"/>
        <v>Totex variant allowances allocation percentages</v>
      </c>
    </row>
    <row r="373" spans="5:56" x14ac:dyDescent="0.35">
      <c r="E373" s="193" t="str" cm="1">
        <f t="array" ref="E373">INDEX($E$99:$E$202,INT((ROW()-ROW($E$205))/5)+1)</f>
        <v>Re-opener_HSE Policy Re-opener</v>
      </c>
      <c r="G373" s="33" t="s">
        <v>109</v>
      </c>
      <c r="H373" s="33" t="s">
        <v>171</v>
      </c>
      <c r="AU373" s="140">
        <v>0</v>
      </c>
      <c r="AV373" s="23">
        <v>0</v>
      </c>
      <c r="AW373" s="23">
        <v>0</v>
      </c>
      <c r="AX373" s="23">
        <v>0</v>
      </c>
      <c r="AY373" s="194">
        <v>0</v>
      </c>
      <c r="BA373" s="34" t="str">
        <f t="shared" ca="1" si="54"/>
        <v>Scotland</v>
      </c>
      <c r="BB373" s="34" t="str">
        <f t="shared" si="55"/>
        <v>Fixed Inputs</v>
      </c>
      <c r="BC373" s="34" t="str">
        <f t="shared" si="59"/>
        <v>Variant allowances</v>
      </c>
      <c r="BD373" s="34" t="str">
        <f t="shared" si="57"/>
        <v>Totex variant allowances allocation percentages</v>
      </c>
    </row>
    <row r="374" spans="5:56" x14ac:dyDescent="0.35">
      <c r="E374" s="195" t="str" cm="1">
        <f t="array" ref="E374">INDEX($E$99:$E$202,INT((ROW()-ROW($E$205))/5)+1)</f>
        <v>Re-opener_HSE Policy Re-opener</v>
      </c>
      <c r="F374" s="196"/>
      <c r="G374" s="196" t="s">
        <v>109</v>
      </c>
      <c r="H374" s="196" t="s">
        <v>172</v>
      </c>
      <c r="I374" s="196"/>
      <c r="J374" s="196"/>
      <c r="K374" s="196"/>
      <c r="L374" s="196"/>
      <c r="M374" s="196"/>
      <c r="N374" s="196"/>
      <c r="O374" s="196"/>
      <c r="P374" s="196"/>
      <c r="Q374" s="196"/>
      <c r="R374" s="196"/>
      <c r="S374" s="196"/>
      <c r="T374" s="196"/>
      <c r="U374" s="196"/>
      <c r="V374" s="196"/>
      <c r="W374" s="196"/>
      <c r="X374" s="196"/>
      <c r="Y374" s="196"/>
      <c r="Z374" s="196"/>
      <c r="AA374" s="196"/>
      <c r="AB374" s="196"/>
      <c r="AC374" s="196"/>
      <c r="AD374" s="196"/>
      <c r="AE374" s="196"/>
      <c r="AF374" s="196"/>
      <c r="AG374" s="196"/>
      <c r="AH374" s="196"/>
      <c r="AI374" s="196"/>
      <c r="AJ374" s="196"/>
      <c r="AK374" s="196"/>
      <c r="AL374" s="196"/>
      <c r="AM374" s="196"/>
      <c r="AN374" s="196"/>
      <c r="AO374" s="196"/>
      <c r="AP374" s="196"/>
      <c r="AQ374" s="196"/>
      <c r="AR374" s="196"/>
      <c r="AS374" s="196"/>
      <c r="AT374" s="208"/>
      <c r="AU374" s="198">
        <v>0</v>
      </c>
      <c r="AV374" s="199">
        <v>0</v>
      </c>
      <c r="AW374" s="199">
        <v>0</v>
      </c>
      <c r="AX374" s="199">
        <v>0</v>
      </c>
      <c r="AY374" s="200">
        <v>0</v>
      </c>
      <c r="BA374" s="34" t="str">
        <f t="shared" ca="1" si="54"/>
        <v>Scotland</v>
      </c>
      <c r="BB374" s="34" t="str">
        <f t="shared" si="55"/>
        <v>Fixed Inputs</v>
      </c>
      <c r="BC374" s="34" t="str">
        <f t="shared" si="59"/>
        <v>Variant allowances</v>
      </c>
      <c r="BD374" s="34" t="str">
        <f t="shared" si="57"/>
        <v>Totex variant allowances allocation percentages</v>
      </c>
    </row>
    <row r="375" spans="5:56" x14ac:dyDescent="0.35">
      <c r="E375" s="187" t="str" cm="1">
        <f t="array" ref="E375">INDEX($E$99:$E$202,INT((ROW()-ROW($E$205))/5)+1)</f>
        <v>Re-opener_London Subways and Tunnels</v>
      </c>
      <c r="F375" s="188"/>
      <c r="G375" s="188" t="s">
        <v>109</v>
      </c>
      <c r="H375" s="188" t="s">
        <v>168</v>
      </c>
      <c r="I375" s="188"/>
      <c r="J375" s="188"/>
      <c r="K375" s="188"/>
      <c r="L375" s="188"/>
      <c r="M375" s="188"/>
      <c r="N375" s="188"/>
      <c r="O375" s="188"/>
      <c r="P375" s="188"/>
      <c r="Q375" s="188"/>
      <c r="R375" s="188"/>
      <c r="S375" s="188"/>
      <c r="T375" s="188"/>
      <c r="U375" s="188"/>
      <c r="V375" s="188"/>
      <c r="W375" s="188"/>
      <c r="X375" s="188"/>
      <c r="Y375" s="188"/>
      <c r="Z375" s="188"/>
      <c r="AA375" s="188"/>
      <c r="AB375" s="188"/>
      <c r="AC375" s="188"/>
      <c r="AD375" s="188"/>
      <c r="AE375" s="188"/>
      <c r="AF375" s="188"/>
      <c r="AG375" s="188"/>
      <c r="AH375" s="188"/>
      <c r="AI375" s="188"/>
      <c r="AJ375" s="188"/>
      <c r="AK375" s="188"/>
      <c r="AL375" s="188"/>
      <c r="AM375" s="188"/>
      <c r="AN375" s="188"/>
      <c r="AO375" s="188"/>
      <c r="AP375" s="188"/>
      <c r="AQ375" s="188"/>
      <c r="AR375" s="188"/>
      <c r="AS375" s="188"/>
      <c r="AT375" s="202"/>
      <c r="AU375" s="21">
        <v>0</v>
      </c>
      <c r="AV375" s="21">
        <v>0</v>
      </c>
      <c r="AW375" s="21">
        <v>0</v>
      </c>
      <c r="AX375" s="21">
        <v>0</v>
      </c>
      <c r="AY375" s="21">
        <v>0</v>
      </c>
      <c r="BA375" s="34" t="str">
        <f t="shared" ca="1" si="54"/>
        <v>Scotland</v>
      </c>
      <c r="BB375" s="34" t="str">
        <f t="shared" si="55"/>
        <v>Fixed Inputs</v>
      </c>
      <c r="BC375" s="34" t="str">
        <f t="shared" si="59"/>
        <v>Variant allowances</v>
      </c>
      <c r="BD375" s="34" t="str">
        <f t="shared" si="57"/>
        <v>Totex variant allowances allocation percentages</v>
      </c>
    </row>
    <row r="376" spans="5:56" x14ac:dyDescent="0.35">
      <c r="E376" s="193" t="str" cm="1">
        <f t="array" ref="E376">INDEX($E$99:$E$202,INT((ROW()-ROW($E$205))/5)+1)</f>
        <v>Re-opener_London Subways and Tunnels</v>
      </c>
      <c r="G376" s="33" t="s">
        <v>109</v>
      </c>
      <c r="H376" s="33" t="s">
        <v>169</v>
      </c>
      <c r="AU376" s="21">
        <v>0</v>
      </c>
      <c r="AV376" s="21">
        <v>0</v>
      </c>
      <c r="AW376" s="21">
        <v>0</v>
      </c>
      <c r="AX376" s="21">
        <v>0</v>
      </c>
      <c r="AY376" s="21">
        <v>0</v>
      </c>
      <c r="BA376" s="34" t="str">
        <f t="shared" ca="1" si="54"/>
        <v>Scotland</v>
      </c>
      <c r="BB376" s="34" t="str">
        <f t="shared" si="55"/>
        <v>Fixed Inputs</v>
      </c>
      <c r="BC376" s="34" t="str">
        <f t="shared" si="59"/>
        <v>Variant allowances</v>
      </c>
      <c r="BD376" s="34" t="str">
        <f t="shared" si="57"/>
        <v>Totex variant allowances allocation percentages</v>
      </c>
    </row>
    <row r="377" spans="5:56" x14ac:dyDescent="0.35">
      <c r="E377" s="193" t="str" cm="1">
        <f t="array" ref="E377">INDEX($E$99:$E$202,INT((ROW()-ROW($E$205))/5)+1)</f>
        <v>Re-opener_London Subways and Tunnels</v>
      </c>
      <c r="G377" s="33" t="s">
        <v>109</v>
      </c>
      <c r="H377" s="33" t="s">
        <v>170</v>
      </c>
      <c r="AU377" s="21">
        <v>0</v>
      </c>
      <c r="AV377" s="21">
        <v>0</v>
      </c>
      <c r="AW377" s="21">
        <v>0</v>
      </c>
      <c r="AX377" s="21">
        <v>0</v>
      </c>
      <c r="AY377" s="21">
        <v>0</v>
      </c>
      <c r="BA377" s="34" t="str">
        <f t="shared" ca="1" si="54"/>
        <v>Scotland</v>
      </c>
      <c r="BB377" s="34" t="str">
        <f t="shared" si="55"/>
        <v>Fixed Inputs</v>
      </c>
      <c r="BC377" s="34" t="str">
        <f t="shared" si="59"/>
        <v>Variant allowances</v>
      </c>
      <c r="BD377" s="34" t="str">
        <f t="shared" si="57"/>
        <v>Totex variant allowances allocation percentages</v>
      </c>
    </row>
    <row r="378" spans="5:56" x14ac:dyDescent="0.35">
      <c r="E378" s="193" t="str" cm="1">
        <f t="array" ref="E378">INDEX($E$99:$E$202,INT((ROW()-ROW($E$205))/5)+1)</f>
        <v>Re-opener_London Subways and Tunnels</v>
      </c>
      <c r="G378" s="33" t="s">
        <v>109</v>
      </c>
      <c r="H378" s="33" t="s">
        <v>171</v>
      </c>
      <c r="AU378" s="21">
        <v>0</v>
      </c>
      <c r="AV378" s="21">
        <v>0</v>
      </c>
      <c r="AW378" s="21">
        <v>0</v>
      </c>
      <c r="AX378" s="21">
        <v>0</v>
      </c>
      <c r="AY378" s="21">
        <v>0</v>
      </c>
      <c r="BA378" s="34" t="str">
        <f t="shared" ca="1" si="54"/>
        <v>Scotland</v>
      </c>
      <c r="BB378" s="34" t="str">
        <f t="shared" si="55"/>
        <v>Fixed Inputs</v>
      </c>
      <c r="BC378" s="34" t="str">
        <f t="shared" si="59"/>
        <v>Variant allowances</v>
      </c>
      <c r="BD378" s="34" t="str">
        <f t="shared" si="57"/>
        <v>Totex variant allowances allocation percentages</v>
      </c>
    </row>
    <row r="379" spans="5:56" x14ac:dyDescent="0.35">
      <c r="E379" s="195" t="str" cm="1">
        <f t="array" ref="E379">INDEX($E$99:$E$202,INT((ROW()-ROW($E$205))/5)+1)</f>
        <v>Re-opener_London Subways and Tunnels</v>
      </c>
      <c r="F379" s="196"/>
      <c r="G379" s="196" t="s">
        <v>109</v>
      </c>
      <c r="H379" s="196" t="s">
        <v>172</v>
      </c>
      <c r="I379" s="196"/>
      <c r="J379" s="196"/>
      <c r="K379" s="196"/>
      <c r="L379" s="196"/>
      <c r="M379" s="196"/>
      <c r="N379" s="196"/>
      <c r="O379" s="196"/>
      <c r="P379" s="196"/>
      <c r="Q379" s="196"/>
      <c r="R379" s="196"/>
      <c r="S379" s="196"/>
      <c r="T379" s="196"/>
      <c r="U379" s="196"/>
      <c r="V379" s="196"/>
      <c r="W379" s="196"/>
      <c r="X379" s="196"/>
      <c r="Y379" s="196"/>
      <c r="Z379" s="196"/>
      <c r="AA379" s="196"/>
      <c r="AB379" s="196"/>
      <c r="AC379" s="196"/>
      <c r="AD379" s="196"/>
      <c r="AE379" s="196"/>
      <c r="AF379" s="196"/>
      <c r="AG379" s="196"/>
      <c r="AH379" s="196"/>
      <c r="AI379" s="196"/>
      <c r="AJ379" s="196"/>
      <c r="AK379" s="196"/>
      <c r="AL379" s="196"/>
      <c r="AM379" s="196"/>
      <c r="AN379" s="196"/>
      <c r="AO379" s="196"/>
      <c r="AP379" s="196"/>
      <c r="AQ379" s="196"/>
      <c r="AR379" s="196"/>
      <c r="AS379" s="196"/>
      <c r="AT379" s="208"/>
      <c r="AU379" s="21">
        <v>0</v>
      </c>
      <c r="AV379" s="21">
        <v>0</v>
      </c>
      <c r="AW379" s="21">
        <v>0</v>
      </c>
      <c r="AX379" s="21">
        <v>0</v>
      </c>
      <c r="AY379" s="21">
        <v>0</v>
      </c>
      <c r="BA379" s="34" t="str">
        <f t="shared" ca="1" si="54"/>
        <v>Scotland</v>
      </c>
      <c r="BB379" s="34" t="str">
        <f t="shared" si="55"/>
        <v>Fixed Inputs</v>
      </c>
      <c r="BC379" s="34" t="str">
        <f t="shared" si="59"/>
        <v>Variant allowances</v>
      </c>
      <c r="BD379" s="34" t="str">
        <f t="shared" si="57"/>
        <v>Totex variant allowances allocation percentages</v>
      </c>
    </row>
    <row r="380" spans="5:56" x14ac:dyDescent="0.35">
      <c r="E380" s="187" t="str" cm="1">
        <f t="array" ref="E380">INDEX($E$99:$E$202,INT((ROW()-ROW($E$205))/5)+1)</f>
        <v>Re-opener_Net Zero Pre-construction Works and Small Net Zero Projects Re-opener / Small Decarbonisation Projects Re-opener</v>
      </c>
      <c r="F380" s="188"/>
      <c r="G380" s="188" t="s">
        <v>109</v>
      </c>
      <c r="H380" s="188" t="s">
        <v>168</v>
      </c>
      <c r="I380" s="188"/>
      <c r="J380" s="188"/>
      <c r="K380" s="188"/>
      <c r="L380" s="188"/>
      <c r="M380" s="188"/>
      <c r="N380" s="188"/>
      <c r="O380" s="188"/>
      <c r="P380" s="188"/>
      <c r="Q380" s="188"/>
      <c r="R380" s="188"/>
      <c r="S380" s="188"/>
      <c r="T380" s="188"/>
      <c r="U380" s="188"/>
      <c r="V380" s="188"/>
      <c r="W380" s="188"/>
      <c r="X380" s="188"/>
      <c r="Y380" s="188"/>
      <c r="Z380" s="188"/>
      <c r="AA380" s="188"/>
      <c r="AB380" s="188"/>
      <c r="AC380" s="188"/>
      <c r="AD380" s="188"/>
      <c r="AE380" s="188"/>
      <c r="AF380" s="188"/>
      <c r="AG380" s="188"/>
      <c r="AH380" s="188"/>
      <c r="AI380" s="188"/>
      <c r="AJ380" s="188"/>
      <c r="AK380" s="188"/>
      <c r="AL380" s="188"/>
      <c r="AM380" s="188"/>
      <c r="AN380" s="188"/>
      <c r="AO380" s="188"/>
      <c r="AP380" s="188"/>
      <c r="AQ380" s="188"/>
      <c r="AR380" s="188"/>
      <c r="AS380" s="188"/>
      <c r="AT380" s="202"/>
      <c r="AU380" s="21">
        <v>0</v>
      </c>
      <c r="AV380" s="21">
        <v>0</v>
      </c>
      <c r="AW380" s="21">
        <v>0</v>
      </c>
      <c r="AX380" s="21">
        <v>0</v>
      </c>
      <c r="AY380" s="21">
        <v>0</v>
      </c>
      <c r="BA380" s="34" t="str">
        <f t="shared" ca="1" si="54"/>
        <v>Scotland</v>
      </c>
      <c r="BB380" s="34" t="str">
        <f t="shared" si="55"/>
        <v>Fixed Inputs</v>
      </c>
      <c r="BC380" s="34" t="str">
        <f t="shared" si="59"/>
        <v>Variant allowances</v>
      </c>
      <c r="BD380" s="34" t="str">
        <f t="shared" si="57"/>
        <v>Totex variant allowances allocation percentages</v>
      </c>
    </row>
    <row r="381" spans="5:56" x14ac:dyDescent="0.35">
      <c r="E381" s="193" t="str" cm="1">
        <f t="array" ref="E381">INDEX($E$99:$E$202,INT((ROW()-ROW($E$205))/5)+1)</f>
        <v>Re-opener_Net Zero Pre-construction Works and Small Net Zero Projects Re-opener / Small Decarbonisation Projects Re-opener</v>
      </c>
      <c r="G381" s="33" t="s">
        <v>109</v>
      </c>
      <c r="H381" s="33" t="s">
        <v>169</v>
      </c>
      <c r="AU381" s="21">
        <v>0</v>
      </c>
      <c r="AV381" s="21">
        <v>0</v>
      </c>
      <c r="AW381" s="21">
        <v>0</v>
      </c>
      <c r="AX381" s="21">
        <v>0</v>
      </c>
      <c r="AY381" s="21">
        <v>0</v>
      </c>
      <c r="BA381" s="34" t="str">
        <f t="shared" ca="1" si="54"/>
        <v>Scotland</v>
      </c>
      <c r="BB381" s="34" t="str">
        <f t="shared" si="55"/>
        <v>Fixed Inputs</v>
      </c>
      <c r="BC381" s="34" t="str">
        <f t="shared" si="59"/>
        <v>Variant allowances</v>
      </c>
      <c r="BD381" s="34" t="str">
        <f t="shared" si="57"/>
        <v>Totex variant allowances allocation percentages</v>
      </c>
    </row>
    <row r="382" spans="5:56" x14ac:dyDescent="0.35">
      <c r="E382" s="193" t="str" cm="1">
        <f t="array" ref="E382">INDEX($E$99:$E$202,INT((ROW()-ROW($E$205))/5)+1)</f>
        <v>Re-opener_Net Zero Pre-construction Works and Small Net Zero Projects Re-opener / Small Decarbonisation Projects Re-opener</v>
      </c>
      <c r="G382" s="33" t="s">
        <v>109</v>
      </c>
      <c r="H382" s="33" t="s">
        <v>170</v>
      </c>
      <c r="AU382" s="21">
        <v>0</v>
      </c>
      <c r="AV382" s="21">
        <v>0</v>
      </c>
      <c r="AW382" s="21">
        <v>0</v>
      </c>
      <c r="AX382" s="21">
        <v>0</v>
      </c>
      <c r="AY382" s="21">
        <v>0</v>
      </c>
      <c r="BA382" s="34" t="str">
        <f t="shared" ca="1" si="54"/>
        <v>Scotland</v>
      </c>
      <c r="BB382" s="34" t="str">
        <f t="shared" si="55"/>
        <v>Fixed Inputs</v>
      </c>
      <c r="BC382" s="34" t="str">
        <f t="shared" si="59"/>
        <v>Variant allowances</v>
      </c>
      <c r="BD382" s="34" t="str">
        <f t="shared" si="57"/>
        <v>Totex variant allowances allocation percentages</v>
      </c>
    </row>
    <row r="383" spans="5:56" x14ac:dyDescent="0.35">
      <c r="E383" s="193" t="str" cm="1">
        <f t="array" ref="E383">INDEX($E$99:$E$202,INT((ROW()-ROW($E$205))/5)+1)</f>
        <v>Re-opener_Net Zero Pre-construction Works and Small Net Zero Projects Re-opener / Small Decarbonisation Projects Re-opener</v>
      </c>
      <c r="G383" s="33" t="s">
        <v>109</v>
      </c>
      <c r="H383" s="33" t="s">
        <v>171</v>
      </c>
      <c r="AU383" s="21">
        <v>0</v>
      </c>
      <c r="AV383" s="21">
        <v>0</v>
      </c>
      <c r="AW383" s="21">
        <v>0</v>
      </c>
      <c r="AX383" s="21">
        <v>0</v>
      </c>
      <c r="AY383" s="21">
        <v>0</v>
      </c>
      <c r="BA383" s="34" t="str">
        <f t="shared" ca="1" si="54"/>
        <v>Scotland</v>
      </c>
      <c r="BB383" s="34" t="str">
        <f t="shared" si="55"/>
        <v>Fixed Inputs</v>
      </c>
      <c r="BC383" s="34" t="str">
        <f t="shared" si="59"/>
        <v>Variant allowances</v>
      </c>
      <c r="BD383" s="34" t="str">
        <f t="shared" si="57"/>
        <v>Totex variant allowances allocation percentages</v>
      </c>
    </row>
    <row r="384" spans="5:56" x14ac:dyDescent="0.35">
      <c r="E384" s="195" t="str" cm="1">
        <f t="array" ref="E384">INDEX($E$99:$E$202,INT((ROW()-ROW($E$205))/5)+1)</f>
        <v>Re-opener_Net Zero Pre-construction Works and Small Net Zero Projects Re-opener / Small Decarbonisation Projects Re-opener</v>
      </c>
      <c r="F384" s="196"/>
      <c r="G384" s="196" t="s">
        <v>109</v>
      </c>
      <c r="H384" s="196" t="s">
        <v>172</v>
      </c>
      <c r="I384" s="196"/>
      <c r="J384" s="196"/>
      <c r="K384" s="196"/>
      <c r="L384" s="196"/>
      <c r="M384" s="196"/>
      <c r="N384" s="196"/>
      <c r="O384" s="196"/>
      <c r="P384" s="196"/>
      <c r="Q384" s="196"/>
      <c r="R384" s="196"/>
      <c r="S384" s="196"/>
      <c r="T384" s="196"/>
      <c r="U384" s="196"/>
      <c r="V384" s="196"/>
      <c r="W384" s="196"/>
      <c r="X384" s="196"/>
      <c r="Y384" s="196"/>
      <c r="Z384" s="196"/>
      <c r="AA384" s="196"/>
      <c r="AB384" s="196"/>
      <c r="AC384" s="196"/>
      <c r="AD384" s="196"/>
      <c r="AE384" s="196"/>
      <c r="AF384" s="196"/>
      <c r="AG384" s="196"/>
      <c r="AH384" s="196"/>
      <c r="AI384" s="196"/>
      <c r="AJ384" s="196"/>
      <c r="AK384" s="196"/>
      <c r="AL384" s="196"/>
      <c r="AM384" s="196"/>
      <c r="AN384" s="196"/>
      <c r="AO384" s="196"/>
      <c r="AP384" s="196"/>
      <c r="AQ384" s="196"/>
      <c r="AR384" s="196"/>
      <c r="AS384" s="196"/>
      <c r="AT384" s="208"/>
      <c r="AU384" s="21">
        <v>0</v>
      </c>
      <c r="AV384" s="21">
        <v>0</v>
      </c>
      <c r="AW384" s="21">
        <v>0</v>
      </c>
      <c r="AX384" s="21">
        <v>0</v>
      </c>
      <c r="AY384" s="21">
        <v>0</v>
      </c>
      <c r="BA384" s="34" t="str">
        <f t="shared" ca="1" si="54"/>
        <v>Scotland</v>
      </c>
      <c r="BB384" s="34" t="str">
        <f t="shared" si="55"/>
        <v>Fixed Inputs</v>
      </c>
      <c r="BC384" s="34" t="str">
        <f t="shared" si="59"/>
        <v>Variant allowances</v>
      </c>
      <c r="BD384" s="34" t="str">
        <f t="shared" si="57"/>
        <v>Totex variant allowances allocation percentages</v>
      </c>
    </row>
    <row r="385" spans="5:56" x14ac:dyDescent="0.35">
      <c r="E385" s="187" t="str" cm="1">
        <f t="array" ref="E385">INDEX($E$99:$E$202,INT((ROW()-ROW($E$205))/5)+1)</f>
        <v>Re-opener_Net zero re-opener / Decarbonisation and Environmental Policy Re-opener</v>
      </c>
      <c r="F385" s="188"/>
      <c r="G385" s="188" t="s">
        <v>109</v>
      </c>
      <c r="H385" s="188" t="s">
        <v>168</v>
      </c>
      <c r="I385" s="188"/>
      <c r="J385" s="188"/>
      <c r="K385" s="188"/>
      <c r="L385" s="188"/>
      <c r="M385" s="188"/>
      <c r="N385" s="188"/>
      <c r="O385" s="188"/>
      <c r="P385" s="188"/>
      <c r="Q385" s="188"/>
      <c r="R385" s="188"/>
      <c r="S385" s="188"/>
      <c r="T385" s="188"/>
      <c r="U385" s="188"/>
      <c r="V385" s="188"/>
      <c r="W385" s="188"/>
      <c r="X385" s="188"/>
      <c r="Y385" s="188"/>
      <c r="Z385" s="188"/>
      <c r="AA385" s="188"/>
      <c r="AB385" s="188"/>
      <c r="AC385" s="188"/>
      <c r="AD385" s="188"/>
      <c r="AE385" s="188"/>
      <c r="AF385" s="188"/>
      <c r="AG385" s="188"/>
      <c r="AH385" s="188"/>
      <c r="AI385" s="188"/>
      <c r="AJ385" s="188"/>
      <c r="AK385" s="188"/>
      <c r="AL385" s="188"/>
      <c r="AM385" s="188"/>
      <c r="AN385" s="188"/>
      <c r="AO385" s="188"/>
      <c r="AP385" s="188"/>
      <c r="AQ385" s="188"/>
      <c r="AR385" s="188"/>
      <c r="AS385" s="188"/>
      <c r="AT385" s="202"/>
      <c r="AU385" s="21">
        <v>0</v>
      </c>
      <c r="AV385" s="21">
        <v>0</v>
      </c>
      <c r="AW385" s="21">
        <v>0</v>
      </c>
      <c r="AX385" s="21">
        <v>0</v>
      </c>
      <c r="AY385" s="21">
        <v>0</v>
      </c>
      <c r="BA385" s="34" t="str">
        <f t="shared" ca="1" si="54"/>
        <v>Scotland</v>
      </c>
      <c r="BB385" s="34" t="str">
        <f t="shared" si="55"/>
        <v>Fixed Inputs</v>
      </c>
      <c r="BC385" s="34" t="str">
        <f t="shared" si="59"/>
        <v>Variant allowances</v>
      </c>
      <c r="BD385" s="34" t="str">
        <f t="shared" si="57"/>
        <v>Totex variant allowances allocation percentages</v>
      </c>
    </row>
    <row r="386" spans="5:56" x14ac:dyDescent="0.35">
      <c r="E386" s="193" t="str" cm="1">
        <f t="array" ref="E386">INDEX($E$99:$E$202,INT((ROW()-ROW($E$205))/5)+1)</f>
        <v>Re-opener_Net zero re-opener / Decarbonisation and Environmental Policy Re-opener</v>
      </c>
      <c r="G386" s="33" t="s">
        <v>109</v>
      </c>
      <c r="H386" s="33" t="s">
        <v>169</v>
      </c>
      <c r="AU386" s="21">
        <v>0</v>
      </c>
      <c r="AV386" s="21">
        <v>0</v>
      </c>
      <c r="AW386" s="21">
        <v>0</v>
      </c>
      <c r="AX386" s="21">
        <v>0</v>
      </c>
      <c r="AY386" s="21">
        <v>0</v>
      </c>
      <c r="BA386" s="34" t="str">
        <f t="shared" ca="1" si="54"/>
        <v>Scotland</v>
      </c>
      <c r="BB386" s="34" t="str">
        <f t="shared" si="55"/>
        <v>Fixed Inputs</v>
      </c>
      <c r="BC386" s="34" t="str">
        <f t="shared" si="59"/>
        <v>Variant allowances</v>
      </c>
      <c r="BD386" s="34" t="str">
        <f t="shared" si="57"/>
        <v>Totex variant allowances allocation percentages</v>
      </c>
    </row>
    <row r="387" spans="5:56" x14ac:dyDescent="0.35">
      <c r="E387" s="193" t="str" cm="1">
        <f t="array" ref="E387">INDEX($E$99:$E$202,INT((ROW()-ROW($E$205))/5)+1)</f>
        <v>Re-opener_Net zero re-opener / Decarbonisation and Environmental Policy Re-opener</v>
      </c>
      <c r="G387" s="33" t="s">
        <v>109</v>
      </c>
      <c r="H387" s="33" t="s">
        <v>170</v>
      </c>
      <c r="AU387" s="21">
        <v>0</v>
      </c>
      <c r="AV387" s="21">
        <v>0</v>
      </c>
      <c r="AW387" s="21">
        <v>0</v>
      </c>
      <c r="AX387" s="21">
        <v>0</v>
      </c>
      <c r="AY387" s="21">
        <v>0</v>
      </c>
      <c r="BA387" s="34" t="str">
        <f t="shared" ca="1" si="54"/>
        <v>Scotland</v>
      </c>
      <c r="BB387" s="34" t="str">
        <f t="shared" si="55"/>
        <v>Fixed Inputs</v>
      </c>
      <c r="BC387" s="34" t="str">
        <f t="shared" si="59"/>
        <v>Variant allowances</v>
      </c>
      <c r="BD387" s="34" t="str">
        <f t="shared" si="57"/>
        <v>Totex variant allowances allocation percentages</v>
      </c>
    </row>
    <row r="388" spans="5:56" x14ac:dyDescent="0.35">
      <c r="E388" s="193" t="str" cm="1">
        <f t="array" ref="E388">INDEX($E$99:$E$202,INT((ROW()-ROW($E$205))/5)+1)</f>
        <v>Re-opener_Net zero re-opener / Decarbonisation and Environmental Policy Re-opener</v>
      </c>
      <c r="G388" s="33" t="s">
        <v>109</v>
      </c>
      <c r="H388" s="33" t="s">
        <v>171</v>
      </c>
      <c r="AU388" s="21">
        <v>0</v>
      </c>
      <c r="AV388" s="21">
        <v>0</v>
      </c>
      <c r="AW388" s="21">
        <v>0</v>
      </c>
      <c r="AX388" s="21">
        <v>0</v>
      </c>
      <c r="AY388" s="21">
        <v>0</v>
      </c>
      <c r="BA388" s="34" t="str">
        <f t="shared" ca="1" si="54"/>
        <v>Scotland</v>
      </c>
      <c r="BB388" s="34" t="str">
        <f t="shared" si="55"/>
        <v>Fixed Inputs</v>
      </c>
      <c r="BC388" s="34" t="str">
        <f t="shared" si="59"/>
        <v>Variant allowances</v>
      </c>
      <c r="BD388" s="34" t="str">
        <f t="shared" si="57"/>
        <v>Totex variant allowances allocation percentages</v>
      </c>
    </row>
    <row r="389" spans="5:56" x14ac:dyDescent="0.35">
      <c r="E389" s="195" t="str" cm="1">
        <f t="array" ref="E389">INDEX($E$99:$E$202,INT((ROW()-ROW($E$205))/5)+1)</f>
        <v>Re-opener_Net zero re-opener / Decarbonisation and Environmental Policy Re-opener</v>
      </c>
      <c r="F389" s="196"/>
      <c r="G389" s="196" t="s">
        <v>109</v>
      </c>
      <c r="H389" s="196" t="s">
        <v>172</v>
      </c>
      <c r="I389" s="196"/>
      <c r="J389" s="196"/>
      <c r="K389" s="196"/>
      <c r="L389" s="196"/>
      <c r="M389" s="196"/>
      <c r="N389" s="196"/>
      <c r="O389" s="196"/>
      <c r="P389" s="196"/>
      <c r="Q389" s="196"/>
      <c r="R389" s="196"/>
      <c r="S389" s="196"/>
      <c r="T389" s="196"/>
      <c r="U389" s="196"/>
      <c r="V389" s="196"/>
      <c r="W389" s="196"/>
      <c r="X389" s="196"/>
      <c r="Y389" s="196"/>
      <c r="Z389" s="196"/>
      <c r="AA389" s="196"/>
      <c r="AB389" s="196"/>
      <c r="AC389" s="196"/>
      <c r="AD389" s="196"/>
      <c r="AE389" s="196"/>
      <c r="AF389" s="196"/>
      <c r="AG389" s="196"/>
      <c r="AH389" s="196"/>
      <c r="AI389" s="196"/>
      <c r="AJ389" s="196"/>
      <c r="AK389" s="196"/>
      <c r="AL389" s="196"/>
      <c r="AM389" s="196"/>
      <c r="AN389" s="196"/>
      <c r="AO389" s="196"/>
      <c r="AP389" s="196"/>
      <c r="AQ389" s="196"/>
      <c r="AR389" s="196"/>
      <c r="AS389" s="196"/>
      <c r="AT389" s="208"/>
      <c r="AU389" s="21">
        <v>0</v>
      </c>
      <c r="AV389" s="21">
        <v>0</v>
      </c>
      <c r="AW389" s="21">
        <v>0</v>
      </c>
      <c r="AX389" s="21">
        <v>0</v>
      </c>
      <c r="AY389" s="21">
        <v>0</v>
      </c>
      <c r="BA389" s="34" t="str">
        <f t="shared" ca="1" si="54"/>
        <v>Scotland</v>
      </c>
      <c r="BB389" s="34" t="str">
        <f t="shared" si="55"/>
        <v>Fixed Inputs</v>
      </c>
      <c r="BC389" s="34" t="str">
        <f t="shared" si="59"/>
        <v>Variant allowances</v>
      </c>
      <c r="BD389" s="34" t="str">
        <f t="shared" si="57"/>
        <v>Totex variant allowances allocation percentages</v>
      </c>
    </row>
    <row r="390" spans="5:56" x14ac:dyDescent="0.35">
      <c r="E390" s="187" t="str" cm="1">
        <f t="array" ref="E390">INDEX($E$99:$E$202,INT((ROW()-ROW($E$205))/5)+1)</f>
        <v>Re-opener_New Large Load Connections Re-opener</v>
      </c>
      <c r="F390" s="188"/>
      <c r="G390" s="188" t="s">
        <v>109</v>
      </c>
      <c r="H390" s="188" t="s">
        <v>168</v>
      </c>
      <c r="I390" s="188"/>
      <c r="J390" s="188"/>
      <c r="K390" s="188"/>
      <c r="L390" s="188"/>
      <c r="M390" s="188"/>
      <c r="N390" s="188"/>
      <c r="O390" s="188"/>
      <c r="P390" s="188"/>
      <c r="Q390" s="188"/>
      <c r="R390" s="188"/>
      <c r="S390" s="188"/>
      <c r="T390" s="188"/>
      <c r="U390" s="188"/>
      <c r="V390" s="188"/>
      <c r="W390" s="188"/>
      <c r="X390" s="188"/>
      <c r="Y390" s="188"/>
      <c r="Z390" s="188"/>
      <c r="AA390" s="188"/>
      <c r="AB390" s="188"/>
      <c r="AC390" s="188"/>
      <c r="AD390" s="188"/>
      <c r="AE390" s="188"/>
      <c r="AF390" s="188"/>
      <c r="AG390" s="188"/>
      <c r="AH390" s="188"/>
      <c r="AI390" s="188"/>
      <c r="AJ390" s="188"/>
      <c r="AK390" s="188"/>
      <c r="AL390" s="188"/>
      <c r="AM390" s="188"/>
      <c r="AN390" s="188"/>
      <c r="AO390" s="188"/>
      <c r="AP390" s="188"/>
      <c r="AQ390" s="188"/>
      <c r="AR390" s="188"/>
      <c r="AS390" s="188"/>
      <c r="AT390" s="202"/>
      <c r="AU390" s="190">
        <v>0</v>
      </c>
      <c r="AV390" s="191">
        <v>0</v>
      </c>
      <c r="AW390" s="191">
        <v>0</v>
      </c>
      <c r="AX390" s="191">
        <v>0</v>
      </c>
      <c r="AY390" s="192">
        <v>0</v>
      </c>
      <c r="BA390" s="34" t="str">
        <f t="shared" ca="1" si="54"/>
        <v>Scotland</v>
      </c>
      <c r="BB390" s="34" t="str">
        <f t="shared" si="55"/>
        <v>Fixed Inputs</v>
      </c>
      <c r="BC390" s="34" t="str">
        <f t="shared" si="59"/>
        <v>Variant allowances</v>
      </c>
      <c r="BD390" s="34" t="str">
        <f t="shared" si="57"/>
        <v>Totex variant allowances allocation percentages</v>
      </c>
    </row>
    <row r="391" spans="5:56" x14ac:dyDescent="0.35">
      <c r="E391" s="193" t="str" cm="1">
        <f t="array" ref="E391">INDEX($E$99:$E$202,INT((ROW()-ROW($E$205))/5)+1)</f>
        <v>Re-opener_New Large Load Connections Re-opener</v>
      </c>
      <c r="G391" s="33" t="s">
        <v>109</v>
      </c>
      <c r="H391" s="33" t="s">
        <v>169</v>
      </c>
      <c r="AU391" s="140">
        <v>0</v>
      </c>
      <c r="AV391" s="23">
        <v>0</v>
      </c>
      <c r="AW391" s="23">
        <v>0</v>
      </c>
      <c r="AX391" s="23">
        <v>0</v>
      </c>
      <c r="AY391" s="194">
        <v>0</v>
      </c>
      <c r="BA391" s="34" t="str">
        <f t="shared" ca="1" si="54"/>
        <v>Scotland</v>
      </c>
      <c r="BB391" s="34" t="str">
        <f t="shared" si="55"/>
        <v>Fixed Inputs</v>
      </c>
      <c r="BC391" s="34" t="str">
        <f t="shared" si="59"/>
        <v>Variant allowances</v>
      </c>
      <c r="BD391" s="34" t="str">
        <f t="shared" si="57"/>
        <v>Totex variant allowances allocation percentages</v>
      </c>
    </row>
    <row r="392" spans="5:56" x14ac:dyDescent="0.35">
      <c r="E392" s="193" t="str" cm="1">
        <f t="array" ref="E392">INDEX($E$99:$E$202,INT((ROW()-ROW($E$205))/5)+1)</f>
        <v>Re-opener_New Large Load Connections Re-opener</v>
      </c>
      <c r="G392" s="33" t="s">
        <v>109</v>
      </c>
      <c r="H392" s="33" t="s">
        <v>170</v>
      </c>
      <c r="AU392" s="140">
        <v>0</v>
      </c>
      <c r="AV392" s="23">
        <v>0</v>
      </c>
      <c r="AW392" s="23">
        <v>0</v>
      </c>
      <c r="AX392" s="23">
        <v>0</v>
      </c>
      <c r="AY392" s="194">
        <v>0</v>
      </c>
      <c r="BA392" s="34" t="str">
        <f t="shared" ca="1" si="54"/>
        <v>Scotland</v>
      </c>
      <c r="BB392" s="34" t="str">
        <f t="shared" si="55"/>
        <v>Fixed Inputs</v>
      </c>
      <c r="BC392" s="34" t="str">
        <f t="shared" si="59"/>
        <v>Variant allowances</v>
      </c>
      <c r="BD392" s="34" t="str">
        <f t="shared" si="57"/>
        <v>Totex variant allowances allocation percentages</v>
      </c>
    </row>
    <row r="393" spans="5:56" x14ac:dyDescent="0.35">
      <c r="E393" s="193" t="str" cm="1">
        <f t="array" ref="E393">INDEX($E$99:$E$202,INT((ROW()-ROW($E$205))/5)+1)</f>
        <v>Re-opener_New Large Load Connections Re-opener</v>
      </c>
      <c r="G393" s="33" t="s">
        <v>109</v>
      </c>
      <c r="H393" s="33" t="s">
        <v>171</v>
      </c>
      <c r="AU393" s="140">
        <v>0</v>
      </c>
      <c r="AV393" s="23">
        <v>0</v>
      </c>
      <c r="AW393" s="23">
        <v>0</v>
      </c>
      <c r="AX393" s="23">
        <v>0</v>
      </c>
      <c r="AY393" s="194">
        <v>0</v>
      </c>
      <c r="BA393" s="34" t="str">
        <f t="shared" ca="1" si="54"/>
        <v>Scotland</v>
      </c>
      <c r="BB393" s="34" t="str">
        <f t="shared" si="55"/>
        <v>Fixed Inputs</v>
      </c>
      <c r="BC393" s="34" t="str">
        <f t="shared" si="59"/>
        <v>Variant allowances</v>
      </c>
      <c r="BD393" s="34" t="str">
        <f t="shared" si="57"/>
        <v>Totex variant allowances allocation percentages</v>
      </c>
    </row>
    <row r="394" spans="5:56" x14ac:dyDescent="0.35">
      <c r="E394" s="195" t="str" cm="1">
        <f t="array" ref="E394">INDEX($E$99:$E$202,INT((ROW()-ROW($E$205))/5)+1)</f>
        <v>Re-opener_New Large Load Connections Re-opener</v>
      </c>
      <c r="F394" s="196"/>
      <c r="G394" s="196" t="s">
        <v>109</v>
      </c>
      <c r="H394" s="196" t="s">
        <v>172</v>
      </c>
      <c r="I394" s="196"/>
      <c r="J394" s="196"/>
      <c r="K394" s="196"/>
      <c r="L394" s="196"/>
      <c r="M394" s="196"/>
      <c r="N394" s="196"/>
      <c r="O394" s="196"/>
      <c r="P394" s="196"/>
      <c r="Q394" s="196"/>
      <c r="R394" s="196"/>
      <c r="S394" s="196"/>
      <c r="T394" s="196"/>
      <c r="U394" s="196"/>
      <c r="V394" s="196"/>
      <c r="W394" s="196"/>
      <c r="X394" s="196"/>
      <c r="Y394" s="196"/>
      <c r="Z394" s="196"/>
      <c r="AA394" s="196"/>
      <c r="AB394" s="196"/>
      <c r="AC394" s="196"/>
      <c r="AD394" s="196"/>
      <c r="AE394" s="196"/>
      <c r="AF394" s="196"/>
      <c r="AG394" s="196"/>
      <c r="AH394" s="196"/>
      <c r="AI394" s="196"/>
      <c r="AJ394" s="196"/>
      <c r="AK394" s="196"/>
      <c r="AL394" s="196"/>
      <c r="AM394" s="196"/>
      <c r="AN394" s="196"/>
      <c r="AO394" s="196"/>
      <c r="AP394" s="196"/>
      <c r="AQ394" s="196"/>
      <c r="AR394" s="196"/>
      <c r="AS394" s="196"/>
      <c r="AT394" s="208"/>
      <c r="AU394" s="198">
        <v>0</v>
      </c>
      <c r="AV394" s="199">
        <v>0</v>
      </c>
      <c r="AW394" s="199">
        <v>0</v>
      </c>
      <c r="AX394" s="199">
        <v>0</v>
      </c>
      <c r="AY394" s="200">
        <v>0</v>
      </c>
      <c r="BA394" s="34" t="str">
        <f t="shared" ca="1" si="54"/>
        <v>Scotland</v>
      </c>
      <c r="BB394" s="34" t="str">
        <f t="shared" si="55"/>
        <v>Fixed Inputs</v>
      </c>
      <c r="BC394" s="34" t="str">
        <f t="shared" si="59"/>
        <v>Variant allowances</v>
      </c>
      <c r="BD394" s="34" t="str">
        <f t="shared" si="57"/>
        <v>Totex variant allowances allocation percentages</v>
      </c>
    </row>
    <row r="395" spans="5:56" x14ac:dyDescent="0.35">
      <c r="E395" s="187" t="str" cm="1">
        <f t="array" ref="E395">INDEX($E$99:$E$202,INT((ROW()-ROW($E$205))/5)+1)</f>
        <v>Re-opener_Resilience re-opener / Resilience Activity Re-opener</v>
      </c>
      <c r="F395" s="188"/>
      <c r="G395" s="188" t="s">
        <v>109</v>
      </c>
      <c r="H395" s="188" t="s">
        <v>168</v>
      </c>
      <c r="I395" s="188"/>
      <c r="J395" s="188"/>
      <c r="K395" s="188"/>
      <c r="L395" s="188"/>
      <c r="M395" s="188"/>
      <c r="N395" s="188"/>
      <c r="O395" s="188"/>
      <c r="P395" s="188"/>
      <c r="Q395" s="188"/>
      <c r="R395" s="188"/>
      <c r="S395" s="188"/>
      <c r="T395" s="188"/>
      <c r="U395" s="188"/>
      <c r="V395" s="188"/>
      <c r="W395" s="188"/>
      <c r="X395" s="188"/>
      <c r="Y395" s="188"/>
      <c r="Z395" s="188"/>
      <c r="AA395" s="188"/>
      <c r="AB395" s="188"/>
      <c r="AC395" s="188"/>
      <c r="AD395" s="188"/>
      <c r="AE395" s="188"/>
      <c r="AF395" s="188"/>
      <c r="AG395" s="188"/>
      <c r="AH395" s="188"/>
      <c r="AI395" s="188"/>
      <c r="AJ395" s="188"/>
      <c r="AK395" s="188"/>
      <c r="AL395" s="188"/>
      <c r="AM395" s="188"/>
      <c r="AN395" s="188"/>
      <c r="AO395" s="188"/>
      <c r="AP395" s="188"/>
      <c r="AQ395" s="188"/>
      <c r="AR395" s="188"/>
      <c r="AS395" s="188"/>
      <c r="AT395" s="202"/>
      <c r="AU395" s="190">
        <v>0</v>
      </c>
      <c r="AV395" s="191">
        <v>0</v>
      </c>
      <c r="AW395" s="191">
        <v>0</v>
      </c>
      <c r="AX395" s="191">
        <v>0</v>
      </c>
      <c r="AY395" s="192">
        <v>0</v>
      </c>
      <c r="BA395" s="34" t="str">
        <f t="shared" ca="1" si="54"/>
        <v>Scotland</v>
      </c>
      <c r="BB395" s="34" t="str">
        <f t="shared" si="55"/>
        <v>Fixed Inputs</v>
      </c>
      <c r="BC395" s="34" t="str">
        <f t="shared" si="59"/>
        <v>Variant allowances</v>
      </c>
      <c r="BD395" s="34" t="str">
        <f t="shared" si="57"/>
        <v>Totex variant allowances allocation percentages</v>
      </c>
    </row>
    <row r="396" spans="5:56" x14ac:dyDescent="0.35">
      <c r="E396" s="193" t="str" cm="1">
        <f t="array" ref="E396">INDEX($E$99:$E$202,INT((ROW()-ROW($E$205))/5)+1)</f>
        <v>Re-opener_Resilience re-opener / Resilience Activity Re-opener</v>
      </c>
      <c r="G396" s="33" t="s">
        <v>109</v>
      </c>
      <c r="H396" s="33" t="s">
        <v>169</v>
      </c>
      <c r="AU396" s="140">
        <v>0</v>
      </c>
      <c r="AV396" s="23">
        <v>0</v>
      </c>
      <c r="AW396" s="23">
        <v>0</v>
      </c>
      <c r="AX396" s="23">
        <v>0</v>
      </c>
      <c r="AY396" s="194">
        <v>0</v>
      </c>
      <c r="BA396" s="34" t="str">
        <f t="shared" ca="1" si="54"/>
        <v>Scotland</v>
      </c>
      <c r="BB396" s="34" t="str">
        <f t="shared" si="55"/>
        <v>Fixed Inputs</v>
      </c>
      <c r="BC396" s="34" t="str">
        <f t="shared" si="59"/>
        <v>Variant allowances</v>
      </c>
      <c r="BD396" s="34" t="str">
        <f t="shared" si="57"/>
        <v>Totex variant allowances allocation percentages</v>
      </c>
    </row>
    <row r="397" spans="5:56" x14ac:dyDescent="0.35">
      <c r="E397" s="193" t="str" cm="1">
        <f t="array" ref="E397">INDEX($E$99:$E$202,INT((ROW()-ROW($E$205))/5)+1)</f>
        <v>Re-opener_Resilience re-opener / Resilience Activity Re-opener</v>
      </c>
      <c r="G397" s="33" t="s">
        <v>109</v>
      </c>
      <c r="H397" s="33" t="s">
        <v>170</v>
      </c>
      <c r="AU397" s="140">
        <v>0</v>
      </c>
      <c r="AV397" s="23">
        <v>0</v>
      </c>
      <c r="AW397" s="23">
        <v>0</v>
      </c>
      <c r="AX397" s="23">
        <v>0</v>
      </c>
      <c r="AY397" s="194">
        <v>0</v>
      </c>
      <c r="BA397" s="34" t="str">
        <f t="shared" ca="1" si="54"/>
        <v>Scotland</v>
      </c>
      <c r="BB397" s="34" t="str">
        <f t="shared" si="55"/>
        <v>Fixed Inputs</v>
      </c>
      <c r="BC397" s="34" t="str">
        <f t="shared" ref="BC397:BC454" si="60">$B$151</f>
        <v>Variant allowances</v>
      </c>
      <c r="BD397" s="34" t="str">
        <f t="shared" si="57"/>
        <v>Totex variant allowances allocation percentages</v>
      </c>
    </row>
    <row r="398" spans="5:56" x14ac:dyDescent="0.35">
      <c r="E398" s="193" t="str" cm="1">
        <f t="array" ref="E398">INDEX($E$99:$E$202,INT((ROW()-ROW($E$205))/5)+1)</f>
        <v>Re-opener_Resilience re-opener / Resilience Activity Re-opener</v>
      </c>
      <c r="G398" s="33" t="s">
        <v>109</v>
      </c>
      <c r="H398" s="33" t="s">
        <v>171</v>
      </c>
      <c r="AU398" s="140">
        <v>0</v>
      </c>
      <c r="AV398" s="23">
        <v>0</v>
      </c>
      <c r="AW398" s="23">
        <v>0</v>
      </c>
      <c r="AX398" s="23">
        <v>0</v>
      </c>
      <c r="AY398" s="194">
        <v>0</v>
      </c>
      <c r="BA398" s="34" t="str">
        <f t="shared" ca="1" si="54"/>
        <v>Scotland</v>
      </c>
      <c r="BB398" s="34" t="str">
        <f t="shared" si="55"/>
        <v>Fixed Inputs</v>
      </c>
      <c r="BC398" s="34" t="str">
        <f t="shared" si="60"/>
        <v>Variant allowances</v>
      </c>
      <c r="BD398" s="34" t="str">
        <f t="shared" si="57"/>
        <v>Totex variant allowances allocation percentages</v>
      </c>
    </row>
    <row r="399" spans="5:56" x14ac:dyDescent="0.35">
      <c r="E399" s="195" t="str" cm="1">
        <f t="array" ref="E399">INDEX($E$99:$E$202,INT((ROW()-ROW($E$205))/5)+1)</f>
        <v>Re-opener_Resilience re-opener / Resilience Activity Re-opener</v>
      </c>
      <c r="F399" s="196"/>
      <c r="G399" s="196" t="s">
        <v>109</v>
      </c>
      <c r="H399" s="196" t="s">
        <v>172</v>
      </c>
      <c r="I399" s="196"/>
      <c r="J399" s="196"/>
      <c r="K399" s="196"/>
      <c r="L399" s="196"/>
      <c r="M399" s="196"/>
      <c r="N399" s="196"/>
      <c r="O399" s="196"/>
      <c r="P399" s="196"/>
      <c r="Q399" s="196"/>
      <c r="R399" s="196"/>
      <c r="S399" s="196"/>
      <c r="T399" s="196"/>
      <c r="U399" s="196"/>
      <c r="V399" s="196"/>
      <c r="W399" s="196"/>
      <c r="X399" s="196"/>
      <c r="Y399" s="196"/>
      <c r="Z399" s="196"/>
      <c r="AA399" s="196"/>
      <c r="AB399" s="196"/>
      <c r="AC399" s="196"/>
      <c r="AD399" s="196"/>
      <c r="AE399" s="196"/>
      <c r="AF399" s="196"/>
      <c r="AG399" s="196"/>
      <c r="AH399" s="196"/>
      <c r="AI399" s="196"/>
      <c r="AJ399" s="196"/>
      <c r="AK399" s="196"/>
      <c r="AL399" s="196"/>
      <c r="AM399" s="196"/>
      <c r="AN399" s="196"/>
      <c r="AO399" s="196"/>
      <c r="AP399" s="196"/>
      <c r="AQ399" s="196"/>
      <c r="AR399" s="196"/>
      <c r="AS399" s="196"/>
      <c r="AT399" s="208"/>
      <c r="AU399" s="198">
        <v>0</v>
      </c>
      <c r="AV399" s="199">
        <v>0</v>
      </c>
      <c r="AW399" s="199">
        <v>0</v>
      </c>
      <c r="AX399" s="199">
        <v>0</v>
      </c>
      <c r="AY399" s="200">
        <v>0</v>
      </c>
      <c r="BA399" s="34" t="str">
        <f t="shared" ca="1" si="54"/>
        <v>Scotland</v>
      </c>
      <c r="BB399" s="34" t="str">
        <f t="shared" si="55"/>
        <v>Fixed Inputs</v>
      </c>
      <c r="BC399" s="34" t="str">
        <f t="shared" si="60"/>
        <v>Variant allowances</v>
      </c>
      <c r="BD399" s="34" t="str">
        <f t="shared" si="57"/>
        <v>Totex variant allowances allocation percentages</v>
      </c>
    </row>
    <row r="400" spans="5:56" x14ac:dyDescent="0.35">
      <c r="E400" s="187" t="str" cm="1">
        <f t="array" ref="E400">INDEX($E$99:$E$202,INT((ROW()-ROW($E$205))/5)+1)</f>
        <v>Re-opener_Specified Streetworks Costs Re-opener</v>
      </c>
      <c r="F400" s="188"/>
      <c r="G400" s="188" t="s">
        <v>109</v>
      </c>
      <c r="H400" s="188" t="s">
        <v>168</v>
      </c>
      <c r="I400" s="188"/>
      <c r="J400" s="188"/>
      <c r="K400" s="188"/>
      <c r="L400" s="188"/>
      <c r="M400" s="188"/>
      <c r="N400" s="188"/>
      <c r="O400" s="188"/>
      <c r="P400" s="188"/>
      <c r="Q400" s="188"/>
      <c r="R400" s="188"/>
      <c r="S400" s="188"/>
      <c r="T400" s="188"/>
      <c r="U400" s="188"/>
      <c r="V400" s="188"/>
      <c r="W400" s="188"/>
      <c r="X400" s="188"/>
      <c r="Y400" s="188"/>
      <c r="Z400" s="188"/>
      <c r="AA400" s="188"/>
      <c r="AB400" s="188"/>
      <c r="AC400" s="188"/>
      <c r="AD400" s="188"/>
      <c r="AE400" s="188"/>
      <c r="AF400" s="188"/>
      <c r="AG400" s="188"/>
      <c r="AH400" s="188"/>
      <c r="AI400" s="188"/>
      <c r="AJ400" s="188"/>
      <c r="AK400" s="188"/>
      <c r="AL400" s="188"/>
      <c r="AM400" s="188"/>
      <c r="AN400" s="188"/>
      <c r="AO400" s="188"/>
      <c r="AP400" s="188"/>
      <c r="AQ400" s="188"/>
      <c r="AR400" s="188"/>
      <c r="AS400" s="188"/>
      <c r="AT400" s="202"/>
      <c r="AU400" s="190">
        <v>0</v>
      </c>
      <c r="AV400" s="191">
        <v>0</v>
      </c>
      <c r="AW400" s="191">
        <v>0</v>
      </c>
      <c r="AX400" s="191">
        <v>0</v>
      </c>
      <c r="AY400" s="192">
        <v>0</v>
      </c>
      <c r="BA400" s="34" t="str">
        <f t="shared" ca="1" si="54"/>
        <v>Scotland</v>
      </c>
      <c r="BB400" s="34" t="str">
        <f t="shared" si="55"/>
        <v>Fixed Inputs</v>
      </c>
      <c r="BC400" s="34" t="str">
        <f t="shared" si="60"/>
        <v>Variant allowances</v>
      </c>
      <c r="BD400" s="34" t="str">
        <f t="shared" si="57"/>
        <v>Totex variant allowances allocation percentages</v>
      </c>
    </row>
    <row r="401" spans="5:56" x14ac:dyDescent="0.35">
      <c r="E401" s="193" t="str" cm="1">
        <f t="array" ref="E401">INDEX($E$99:$E$202,INT((ROW()-ROW($E$205))/5)+1)</f>
        <v>Re-opener_Specified Streetworks Costs Re-opener</v>
      </c>
      <c r="G401" s="33" t="s">
        <v>109</v>
      </c>
      <c r="H401" s="33" t="s">
        <v>169</v>
      </c>
      <c r="AU401" s="140">
        <v>0</v>
      </c>
      <c r="AV401" s="23">
        <v>0</v>
      </c>
      <c r="AW401" s="23">
        <v>0</v>
      </c>
      <c r="AX401" s="23">
        <v>0</v>
      </c>
      <c r="AY401" s="194">
        <v>0</v>
      </c>
      <c r="BA401" s="34" t="str">
        <f t="shared" ca="1" si="54"/>
        <v>Scotland</v>
      </c>
      <c r="BB401" s="34" t="str">
        <f t="shared" si="55"/>
        <v>Fixed Inputs</v>
      </c>
      <c r="BC401" s="34" t="str">
        <f t="shared" si="60"/>
        <v>Variant allowances</v>
      </c>
      <c r="BD401" s="34" t="str">
        <f t="shared" si="57"/>
        <v>Totex variant allowances allocation percentages</v>
      </c>
    </row>
    <row r="402" spans="5:56" x14ac:dyDescent="0.35">
      <c r="E402" s="193" t="str" cm="1">
        <f t="array" ref="E402">INDEX($E$99:$E$202,INT((ROW()-ROW($E$205))/5)+1)</f>
        <v>Re-opener_Specified Streetworks Costs Re-opener</v>
      </c>
      <c r="G402" s="33" t="s">
        <v>109</v>
      </c>
      <c r="H402" s="33" t="s">
        <v>170</v>
      </c>
      <c r="AU402" s="140">
        <v>0</v>
      </c>
      <c r="AV402" s="23">
        <v>0</v>
      </c>
      <c r="AW402" s="23">
        <v>0</v>
      </c>
      <c r="AX402" s="23">
        <v>0</v>
      </c>
      <c r="AY402" s="194">
        <v>0</v>
      </c>
      <c r="BA402" s="34" t="str">
        <f t="shared" ca="1" si="54"/>
        <v>Scotland</v>
      </c>
      <c r="BB402" s="34" t="str">
        <f t="shared" si="55"/>
        <v>Fixed Inputs</v>
      </c>
      <c r="BC402" s="34" t="str">
        <f t="shared" si="60"/>
        <v>Variant allowances</v>
      </c>
      <c r="BD402" s="34" t="str">
        <f t="shared" si="57"/>
        <v>Totex variant allowances allocation percentages</v>
      </c>
    </row>
    <row r="403" spans="5:56" x14ac:dyDescent="0.35">
      <c r="E403" s="193" t="str" cm="1">
        <f t="array" ref="E403">INDEX($E$99:$E$202,INT((ROW()-ROW($E$205))/5)+1)</f>
        <v>Re-opener_Specified Streetworks Costs Re-opener</v>
      </c>
      <c r="G403" s="33" t="s">
        <v>109</v>
      </c>
      <c r="H403" s="33" t="s">
        <v>171</v>
      </c>
      <c r="AU403" s="140">
        <v>0</v>
      </c>
      <c r="AV403" s="23">
        <v>0</v>
      </c>
      <c r="AW403" s="23">
        <v>0</v>
      </c>
      <c r="AX403" s="23">
        <v>0</v>
      </c>
      <c r="AY403" s="194">
        <v>0</v>
      </c>
      <c r="BA403" s="34" t="str">
        <f t="shared" ca="1" si="54"/>
        <v>Scotland</v>
      </c>
      <c r="BB403" s="34" t="str">
        <f t="shared" si="55"/>
        <v>Fixed Inputs</v>
      </c>
      <c r="BC403" s="34" t="str">
        <f t="shared" si="60"/>
        <v>Variant allowances</v>
      </c>
      <c r="BD403" s="34" t="str">
        <f t="shared" si="57"/>
        <v>Totex variant allowances allocation percentages</v>
      </c>
    </row>
    <row r="404" spans="5:56" x14ac:dyDescent="0.35">
      <c r="E404" s="195" t="str" cm="1">
        <f t="array" ref="E404">INDEX($E$99:$E$202,INT((ROW()-ROW($E$205))/5)+1)</f>
        <v>Re-opener_Specified Streetworks Costs Re-opener</v>
      </c>
      <c r="F404" s="196"/>
      <c r="G404" s="196" t="s">
        <v>109</v>
      </c>
      <c r="H404" s="196" t="s">
        <v>172</v>
      </c>
      <c r="I404" s="196"/>
      <c r="J404" s="196"/>
      <c r="K404" s="196"/>
      <c r="L404" s="196"/>
      <c r="M404" s="196"/>
      <c r="N404" s="196"/>
      <c r="O404" s="196"/>
      <c r="P404" s="196"/>
      <c r="Q404" s="196"/>
      <c r="R404" s="196"/>
      <c r="S404" s="196"/>
      <c r="T404" s="196"/>
      <c r="U404" s="196"/>
      <c r="V404" s="196"/>
      <c r="W404" s="196"/>
      <c r="X404" s="196"/>
      <c r="Y404" s="196"/>
      <c r="Z404" s="196"/>
      <c r="AA404" s="196"/>
      <c r="AB404" s="196"/>
      <c r="AC404" s="196"/>
      <c r="AD404" s="196"/>
      <c r="AE404" s="196"/>
      <c r="AF404" s="196"/>
      <c r="AG404" s="196"/>
      <c r="AH404" s="196"/>
      <c r="AI404" s="196"/>
      <c r="AJ404" s="196"/>
      <c r="AK404" s="196"/>
      <c r="AL404" s="196"/>
      <c r="AM404" s="196"/>
      <c r="AN404" s="196"/>
      <c r="AO404" s="196"/>
      <c r="AP404" s="196"/>
      <c r="AQ404" s="196"/>
      <c r="AR404" s="196"/>
      <c r="AS404" s="196"/>
      <c r="AT404" s="208"/>
      <c r="AU404" s="198">
        <v>0</v>
      </c>
      <c r="AV404" s="199">
        <v>0</v>
      </c>
      <c r="AW404" s="199">
        <v>0</v>
      </c>
      <c r="AX404" s="199">
        <v>0</v>
      </c>
      <c r="AY404" s="200">
        <v>0</v>
      </c>
      <c r="BA404" s="34" t="str">
        <f t="shared" ca="1" si="54"/>
        <v>Scotland</v>
      </c>
      <c r="BB404" s="34" t="str">
        <f t="shared" si="55"/>
        <v>Fixed Inputs</v>
      </c>
      <c r="BC404" s="34" t="str">
        <f t="shared" si="60"/>
        <v>Variant allowances</v>
      </c>
      <c r="BD404" s="34" t="str">
        <f t="shared" si="57"/>
        <v>Totex variant allowances allocation percentages</v>
      </c>
    </row>
    <row r="405" spans="5:56" x14ac:dyDescent="0.35">
      <c r="E405" s="187" t="str" cm="1">
        <f t="array" ref="E405">INDEX($E$99:$E$202,INT((ROW()-ROW($E$205))/5)+1)</f>
        <v>Re-opener_Physical Security Re-opener</v>
      </c>
      <c r="F405" s="188"/>
      <c r="G405" s="188" t="s">
        <v>109</v>
      </c>
      <c r="H405" s="188" t="s">
        <v>168</v>
      </c>
      <c r="I405" s="188"/>
      <c r="J405" s="188"/>
      <c r="K405" s="188"/>
      <c r="L405" s="188"/>
      <c r="M405" s="188"/>
      <c r="N405" s="188"/>
      <c r="O405" s="188"/>
      <c r="P405" s="188"/>
      <c r="Q405" s="188"/>
      <c r="R405" s="188"/>
      <c r="S405" s="188"/>
      <c r="T405" s="188"/>
      <c r="U405" s="188"/>
      <c r="V405" s="188"/>
      <c r="W405" s="188"/>
      <c r="X405" s="188"/>
      <c r="Y405" s="188"/>
      <c r="Z405" s="188"/>
      <c r="AA405" s="188"/>
      <c r="AB405" s="188"/>
      <c r="AC405" s="188"/>
      <c r="AD405" s="188"/>
      <c r="AE405" s="188"/>
      <c r="AF405" s="188"/>
      <c r="AG405" s="188"/>
      <c r="AH405" s="188"/>
      <c r="AI405" s="188"/>
      <c r="AJ405" s="188"/>
      <c r="AK405" s="188"/>
      <c r="AL405" s="188"/>
      <c r="AM405" s="188"/>
      <c r="AN405" s="188"/>
      <c r="AO405" s="188"/>
      <c r="AP405" s="188"/>
      <c r="AQ405" s="188"/>
      <c r="AR405" s="188"/>
      <c r="AS405" s="188"/>
      <c r="AT405" s="202"/>
      <c r="AU405" s="190">
        <v>0</v>
      </c>
      <c r="AV405" s="191">
        <v>0</v>
      </c>
      <c r="AW405" s="191">
        <v>0</v>
      </c>
      <c r="AX405" s="191">
        <v>0</v>
      </c>
      <c r="AY405" s="192">
        <v>0</v>
      </c>
      <c r="BA405" s="34" t="str">
        <f t="shared" ca="1" si="54"/>
        <v>Scotland</v>
      </c>
      <c r="BB405" s="34" t="str">
        <f t="shared" si="55"/>
        <v>Fixed Inputs</v>
      </c>
      <c r="BC405" s="34" t="str">
        <f t="shared" si="60"/>
        <v>Variant allowances</v>
      </c>
      <c r="BD405" s="34" t="str">
        <f t="shared" si="57"/>
        <v>Totex variant allowances allocation percentages</v>
      </c>
    </row>
    <row r="406" spans="5:56" x14ac:dyDescent="0.35">
      <c r="E406" s="193" t="str" cm="1">
        <f t="array" ref="E406">INDEX($E$99:$E$202,INT((ROW()-ROW($E$205))/5)+1)</f>
        <v>Re-opener_Physical Security Re-opener</v>
      </c>
      <c r="G406" s="33" t="s">
        <v>109</v>
      </c>
      <c r="H406" s="33" t="s">
        <v>169</v>
      </c>
      <c r="AU406" s="140">
        <v>0</v>
      </c>
      <c r="AV406" s="23">
        <v>0</v>
      </c>
      <c r="AW406" s="23">
        <v>0</v>
      </c>
      <c r="AX406" s="23">
        <v>0</v>
      </c>
      <c r="AY406" s="194">
        <v>0</v>
      </c>
      <c r="BA406" s="34" t="str">
        <f t="shared" ca="1" si="54"/>
        <v>Scotland</v>
      </c>
      <c r="BB406" s="34" t="str">
        <f t="shared" si="55"/>
        <v>Fixed Inputs</v>
      </c>
      <c r="BC406" s="34" t="str">
        <f t="shared" si="60"/>
        <v>Variant allowances</v>
      </c>
      <c r="BD406" s="34" t="str">
        <f t="shared" si="57"/>
        <v>Totex variant allowances allocation percentages</v>
      </c>
    </row>
    <row r="407" spans="5:56" x14ac:dyDescent="0.35">
      <c r="E407" s="193" t="str" cm="1">
        <f t="array" ref="E407">INDEX($E$99:$E$202,INT((ROW()-ROW($E$205))/5)+1)</f>
        <v>Re-opener_Physical Security Re-opener</v>
      </c>
      <c r="G407" s="33" t="s">
        <v>109</v>
      </c>
      <c r="H407" s="33" t="s">
        <v>170</v>
      </c>
      <c r="AU407" s="140">
        <v>0</v>
      </c>
      <c r="AV407" s="23">
        <v>0</v>
      </c>
      <c r="AW407" s="23">
        <v>0</v>
      </c>
      <c r="AX407" s="23">
        <v>0</v>
      </c>
      <c r="AY407" s="194">
        <v>0</v>
      </c>
      <c r="BA407" s="34" t="str">
        <f t="shared" ca="1" si="54"/>
        <v>Scotland</v>
      </c>
      <c r="BB407" s="34" t="str">
        <f t="shared" si="55"/>
        <v>Fixed Inputs</v>
      </c>
      <c r="BC407" s="34" t="str">
        <f t="shared" si="60"/>
        <v>Variant allowances</v>
      </c>
      <c r="BD407" s="34" t="str">
        <f t="shared" si="57"/>
        <v>Totex variant allowances allocation percentages</v>
      </c>
    </row>
    <row r="408" spans="5:56" x14ac:dyDescent="0.35">
      <c r="E408" s="193" t="str" cm="1">
        <f t="array" ref="E408">INDEX($E$99:$E$202,INT((ROW()-ROW($E$205))/5)+1)</f>
        <v>Re-opener_Physical Security Re-opener</v>
      </c>
      <c r="G408" s="33" t="s">
        <v>109</v>
      </c>
      <c r="H408" s="33" t="s">
        <v>171</v>
      </c>
      <c r="AU408" s="140">
        <v>0</v>
      </c>
      <c r="AV408" s="23">
        <v>0</v>
      </c>
      <c r="AW408" s="23">
        <v>0</v>
      </c>
      <c r="AX408" s="23">
        <v>0</v>
      </c>
      <c r="AY408" s="194">
        <v>0</v>
      </c>
      <c r="BA408" s="34" t="str">
        <f t="shared" ca="1" si="54"/>
        <v>Scotland</v>
      </c>
      <c r="BB408" s="34" t="str">
        <f t="shared" si="55"/>
        <v>Fixed Inputs</v>
      </c>
      <c r="BC408" s="34" t="str">
        <f t="shared" si="60"/>
        <v>Variant allowances</v>
      </c>
      <c r="BD408" s="34" t="str">
        <f t="shared" si="57"/>
        <v>Totex variant allowances allocation percentages</v>
      </c>
    </row>
    <row r="409" spans="5:56" x14ac:dyDescent="0.35">
      <c r="E409" s="195" t="str" cm="1">
        <f t="array" ref="E409">INDEX($E$99:$E$202,INT((ROW()-ROW($E$205))/5)+1)</f>
        <v>Re-opener_Physical Security Re-opener</v>
      </c>
      <c r="F409" s="196"/>
      <c r="G409" s="196" t="s">
        <v>109</v>
      </c>
      <c r="H409" s="196" t="s">
        <v>172</v>
      </c>
      <c r="I409" s="196"/>
      <c r="J409" s="196"/>
      <c r="K409" s="196"/>
      <c r="L409" s="196"/>
      <c r="M409" s="196"/>
      <c r="N409" s="196"/>
      <c r="O409" s="196"/>
      <c r="P409" s="196"/>
      <c r="Q409" s="196"/>
      <c r="R409" s="196"/>
      <c r="S409" s="196"/>
      <c r="T409" s="196"/>
      <c r="U409" s="196"/>
      <c r="V409" s="196"/>
      <c r="W409" s="196"/>
      <c r="X409" s="196"/>
      <c r="Y409" s="196"/>
      <c r="Z409" s="196"/>
      <c r="AA409" s="196"/>
      <c r="AB409" s="196"/>
      <c r="AC409" s="196"/>
      <c r="AD409" s="196"/>
      <c r="AE409" s="196"/>
      <c r="AF409" s="196"/>
      <c r="AG409" s="196"/>
      <c r="AH409" s="196"/>
      <c r="AI409" s="196"/>
      <c r="AJ409" s="196"/>
      <c r="AK409" s="196"/>
      <c r="AL409" s="196"/>
      <c r="AM409" s="196"/>
      <c r="AN409" s="196"/>
      <c r="AO409" s="196"/>
      <c r="AP409" s="196"/>
      <c r="AQ409" s="196"/>
      <c r="AR409" s="196"/>
      <c r="AS409" s="196"/>
      <c r="AT409" s="208"/>
      <c r="AU409" s="198">
        <v>0</v>
      </c>
      <c r="AV409" s="199">
        <v>0</v>
      </c>
      <c r="AW409" s="199">
        <v>0</v>
      </c>
      <c r="AX409" s="199">
        <v>0</v>
      </c>
      <c r="AY409" s="200">
        <v>0</v>
      </c>
      <c r="BA409" s="34" t="str">
        <f t="shared" ca="1" si="54"/>
        <v>Scotland</v>
      </c>
      <c r="BB409" s="34" t="str">
        <f t="shared" si="55"/>
        <v>Fixed Inputs</v>
      </c>
      <c r="BC409" s="34" t="str">
        <f t="shared" si="60"/>
        <v>Variant allowances</v>
      </c>
      <c r="BD409" s="34" t="str">
        <f t="shared" si="57"/>
        <v>Totex variant allowances allocation percentages</v>
      </c>
    </row>
    <row r="410" spans="5:56" x14ac:dyDescent="0.35">
      <c r="E410" s="187" t="str" cm="1">
        <f t="array" ref="E410">INDEX($E$99:$E$202,INT((ROW()-ROW($E$205))/5)+1)</f>
        <v>Re-opener_East Coast Hydrogen NZASP Re-Opener (EoE and NGN) / GD2/GD3 Crossover Adjustment</v>
      </c>
      <c r="F410" s="188"/>
      <c r="G410" s="188" t="s">
        <v>109</v>
      </c>
      <c r="H410" s="188" t="s">
        <v>168</v>
      </c>
      <c r="I410" s="188"/>
      <c r="J410" s="188"/>
      <c r="K410" s="188"/>
      <c r="L410" s="188"/>
      <c r="M410" s="188"/>
      <c r="N410" s="188"/>
      <c r="O410" s="188"/>
      <c r="P410" s="188"/>
      <c r="Q410" s="188"/>
      <c r="R410" s="188"/>
      <c r="S410" s="188"/>
      <c r="T410" s="188"/>
      <c r="U410" s="188"/>
      <c r="V410" s="188"/>
      <c r="W410" s="188"/>
      <c r="X410" s="188"/>
      <c r="Y410" s="188"/>
      <c r="Z410" s="188"/>
      <c r="AA410" s="188"/>
      <c r="AB410" s="188"/>
      <c r="AC410" s="188"/>
      <c r="AD410" s="188"/>
      <c r="AE410" s="188"/>
      <c r="AF410" s="188"/>
      <c r="AG410" s="188"/>
      <c r="AH410" s="188"/>
      <c r="AI410" s="188"/>
      <c r="AJ410" s="188"/>
      <c r="AK410" s="188"/>
      <c r="AL410" s="188"/>
      <c r="AM410" s="188"/>
      <c r="AN410" s="188"/>
      <c r="AO410" s="188"/>
      <c r="AP410" s="188"/>
      <c r="AQ410" s="188"/>
      <c r="AR410" s="188"/>
      <c r="AS410" s="188"/>
      <c r="AT410" s="202"/>
      <c r="AU410" s="190">
        <v>0</v>
      </c>
      <c r="AV410" s="191">
        <v>0</v>
      </c>
      <c r="AW410" s="191">
        <v>0</v>
      </c>
      <c r="AX410" s="191">
        <v>0</v>
      </c>
      <c r="AY410" s="192">
        <v>0</v>
      </c>
      <c r="BA410" s="34" t="str">
        <f t="shared" ca="1" si="54"/>
        <v>Scotland</v>
      </c>
      <c r="BB410" s="34" t="str">
        <f t="shared" si="55"/>
        <v>Fixed Inputs</v>
      </c>
      <c r="BC410" s="34" t="str">
        <f t="shared" si="60"/>
        <v>Variant allowances</v>
      </c>
      <c r="BD410" s="34" t="str">
        <f t="shared" si="57"/>
        <v>Totex variant allowances allocation percentages</v>
      </c>
    </row>
    <row r="411" spans="5:56" x14ac:dyDescent="0.35">
      <c r="E411" s="193" t="str" cm="1">
        <f t="array" ref="E411">INDEX($E$99:$E$202,INT((ROW()-ROW($E$205))/5)+1)</f>
        <v>Re-opener_East Coast Hydrogen NZASP Re-Opener (EoE and NGN) / GD2/GD3 Crossover Adjustment</v>
      </c>
      <c r="G411" s="33" t="s">
        <v>109</v>
      </c>
      <c r="H411" s="33" t="s">
        <v>169</v>
      </c>
      <c r="AU411" s="140">
        <v>0</v>
      </c>
      <c r="AV411" s="23">
        <v>0</v>
      </c>
      <c r="AW411" s="23">
        <v>0</v>
      </c>
      <c r="AX411" s="23">
        <v>0</v>
      </c>
      <c r="AY411" s="194">
        <v>0</v>
      </c>
      <c r="BA411" s="34" t="str">
        <f t="shared" ca="1" si="54"/>
        <v>Scotland</v>
      </c>
      <c r="BB411" s="34" t="str">
        <f t="shared" si="55"/>
        <v>Fixed Inputs</v>
      </c>
      <c r="BC411" s="34" t="str">
        <f t="shared" si="60"/>
        <v>Variant allowances</v>
      </c>
      <c r="BD411" s="34" t="str">
        <f t="shared" si="57"/>
        <v>Totex variant allowances allocation percentages</v>
      </c>
    </row>
    <row r="412" spans="5:56" x14ac:dyDescent="0.35">
      <c r="E412" s="193" t="str" cm="1">
        <f t="array" ref="E412">INDEX($E$99:$E$202,INT((ROW()-ROW($E$205))/5)+1)</f>
        <v>Re-opener_East Coast Hydrogen NZASP Re-Opener (EoE and NGN) / GD2/GD3 Crossover Adjustment</v>
      </c>
      <c r="G412" s="33" t="s">
        <v>109</v>
      </c>
      <c r="H412" s="33" t="s">
        <v>170</v>
      </c>
      <c r="AU412" s="140">
        <v>0.6</v>
      </c>
      <c r="AV412" s="23">
        <v>0.6</v>
      </c>
      <c r="AW412" s="23">
        <v>0.6</v>
      </c>
      <c r="AX412" s="23">
        <v>0.6</v>
      </c>
      <c r="AY412" s="194">
        <v>0.6</v>
      </c>
      <c r="BA412" s="34" t="str">
        <f t="shared" ca="1" si="54"/>
        <v>Scotland</v>
      </c>
      <c r="BB412" s="34" t="str">
        <f t="shared" si="55"/>
        <v>Fixed Inputs</v>
      </c>
      <c r="BC412" s="34" t="str">
        <f t="shared" si="60"/>
        <v>Variant allowances</v>
      </c>
      <c r="BD412" s="34" t="str">
        <f t="shared" si="57"/>
        <v>Totex variant allowances allocation percentages</v>
      </c>
    </row>
    <row r="413" spans="5:56" x14ac:dyDescent="0.35">
      <c r="E413" s="193" t="str" cm="1">
        <f t="array" ref="E413">INDEX($E$99:$E$202,INT((ROW()-ROW($E$205))/5)+1)</f>
        <v>Re-opener_East Coast Hydrogen NZASP Re-Opener (EoE and NGN) / GD2/GD3 Crossover Adjustment</v>
      </c>
      <c r="G413" s="33" t="s">
        <v>109</v>
      </c>
      <c r="H413" s="33" t="s">
        <v>171</v>
      </c>
      <c r="AU413" s="140">
        <v>0.4</v>
      </c>
      <c r="AV413" s="23">
        <v>0.4</v>
      </c>
      <c r="AW413" s="23">
        <v>0.4</v>
      </c>
      <c r="AX413" s="23">
        <v>0.4</v>
      </c>
      <c r="AY413" s="194">
        <v>0.4</v>
      </c>
      <c r="BA413" s="34" t="str">
        <f t="shared" ca="1" si="54"/>
        <v>Scotland</v>
      </c>
      <c r="BB413" s="34" t="str">
        <f t="shared" si="55"/>
        <v>Fixed Inputs</v>
      </c>
      <c r="BC413" s="34" t="str">
        <f t="shared" si="60"/>
        <v>Variant allowances</v>
      </c>
      <c r="BD413" s="34" t="str">
        <f t="shared" si="57"/>
        <v>Totex variant allowances allocation percentages</v>
      </c>
    </row>
    <row r="414" spans="5:56" x14ac:dyDescent="0.35">
      <c r="E414" s="195" t="str" cm="1">
        <f t="array" ref="E414">INDEX($E$99:$E$202,INT((ROW()-ROW($E$205))/5)+1)</f>
        <v>Re-opener_East Coast Hydrogen NZASP Re-Opener (EoE and NGN) / GD2/GD3 Crossover Adjustment</v>
      </c>
      <c r="F414" s="196"/>
      <c r="G414" s="196" t="s">
        <v>109</v>
      </c>
      <c r="H414" s="196" t="s">
        <v>172</v>
      </c>
      <c r="I414" s="196"/>
      <c r="J414" s="196"/>
      <c r="K414" s="196"/>
      <c r="L414" s="196"/>
      <c r="M414" s="196"/>
      <c r="N414" s="196"/>
      <c r="O414" s="196"/>
      <c r="P414" s="196"/>
      <c r="Q414" s="196"/>
      <c r="R414" s="196"/>
      <c r="S414" s="196"/>
      <c r="T414" s="196"/>
      <c r="U414" s="196"/>
      <c r="V414" s="196"/>
      <c r="W414" s="196"/>
      <c r="X414" s="196"/>
      <c r="Y414" s="196"/>
      <c r="Z414" s="196"/>
      <c r="AA414" s="196"/>
      <c r="AB414" s="196"/>
      <c r="AC414" s="196"/>
      <c r="AD414" s="196"/>
      <c r="AE414" s="196"/>
      <c r="AF414" s="196"/>
      <c r="AG414" s="196"/>
      <c r="AH414" s="196"/>
      <c r="AI414" s="196"/>
      <c r="AJ414" s="196"/>
      <c r="AK414" s="196"/>
      <c r="AL414" s="196"/>
      <c r="AM414" s="196"/>
      <c r="AN414" s="196"/>
      <c r="AO414" s="196"/>
      <c r="AP414" s="196"/>
      <c r="AQ414" s="196"/>
      <c r="AR414" s="196"/>
      <c r="AS414" s="196"/>
      <c r="AT414" s="208"/>
      <c r="AU414" s="198">
        <v>0</v>
      </c>
      <c r="AV414" s="199">
        <v>0</v>
      </c>
      <c r="AW414" s="199">
        <v>0</v>
      </c>
      <c r="AX414" s="199">
        <v>0</v>
      </c>
      <c r="AY414" s="200">
        <v>0</v>
      </c>
      <c r="BA414" s="34" t="str">
        <f t="shared" ca="1" si="54"/>
        <v>Scotland</v>
      </c>
      <c r="BB414" s="34" t="str">
        <f t="shared" si="55"/>
        <v>Fixed Inputs</v>
      </c>
      <c r="BC414" s="34" t="str">
        <f t="shared" si="60"/>
        <v>Variant allowances</v>
      </c>
      <c r="BD414" s="34" t="str">
        <f t="shared" si="57"/>
        <v>Totex variant allowances allocation percentages</v>
      </c>
    </row>
    <row r="415" spans="5:56" x14ac:dyDescent="0.35">
      <c r="E415" s="187" t="str" cm="1">
        <f t="array" ref="E415">INDEX($E$99:$E$202,INT((ROW()-ROW($E$205))/5)+1)</f>
        <v>Re-opener_Complex Distributions Systems Re-opener</v>
      </c>
      <c r="F415" s="188"/>
      <c r="G415" s="188" t="s">
        <v>109</v>
      </c>
      <c r="H415" s="188" t="s">
        <v>168</v>
      </c>
      <c r="I415" s="188"/>
      <c r="J415" s="188"/>
      <c r="K415" s="188"/>
      <c r="L415" s="188"/>
      <c r="M415" s="188"/>
      <c r="N415" s="188"/>
      <c r="O415" s="188"/>
      <c r="P415" s="188"/>
      <c r="Q415" s="188"/>
      <c r="R415" s="188"/>
      <c r="S415" s="188"/>
      <c r="T415" s="188"/>
      <c r="U415" s="188"/>
      <c r="V415" s="188"/>
      <c r="W415" s="188"/>
      <c r="X415" s="188"/>
      <c r="Y415" s="188"/>
      <c r="Z415" s="188"/>
      <c r="AA415" s="188"/>
      <c r="AB415" s="188"/>
      <c r="AC415" s="188"/>
      <c r="AD415" s="188"/>
      <c r="AE415" s="188"/>
      <c r="AF415" s="188"/>
      <c r="AG415" s="188"/>
      <c r="AH415" s="188"/>
      <c r="AI415" s="188"/>
      <c r="AJ415" s="188"/>
      <c r="AK415" s="188"/>
      <c r="AL415" s="188"/>
      <c r="AM415" s="188"/>
      <c r="AN415" s="188"/>
      <c r="AO415" s="188"/>
      <c r="AP415" s="188"/>
      <c r="AQ415" s="188"/>
      <c r="AR415" s="188"/>
      <c r="AS415" s="188"/>
      <c r="AT415" s="202"/>
      <c r="AU415" s="190">
        <v>0</v>
      </c>
      <c r="AV415" s="191">
        <v>0</v>
      </c>
      <c r="AW415" s="191">
        <v>0</v>
      </c>
      <c r="AX415" s="191">
        <v>0</v>
      </c>
      <c r="AY415" s="192">
        <v>0</v>
      </c>
      <c r="BA415" s="34" t="str">
        <f t="shared" ca="1" si="54"/>
        <v>Scotland</v>
      </c>
      <c r="BB415" s="34" t="str">
        <f t="shared" si="55"/>
        <v>Fixed Inputs</v>
      </c>
      <c r="BC415" s="34" t="str">
        <f t="shared" si="60"/>
        <v>Variant allowances</v>
      </c>
      <c r="BD415" s="34" t="str">
        <f t="shared" si="57"/>
        <v>Totex variant allowances allocation percentages</v>
      </c>
    </row>
    <row r="416" spans="5:56" x14ac:dyDescent="0.35">
      <c r="E416" s="193" t="str" cm="1">
        <f t="array" ref="E416">INDEX($E$99:$E$202,INT((ROW()-ROW($E$205))/5)+1)</f>
        <v>Re-opener_Complex Distributions Systems Re-opener</v>
      </c>
      <c r="G416" s="33" t="s">
        <v>109</v>
      </c>
      <c r="H416" s="33" t="s">
        <v>169</v>
      </c>
      <c r="AU416" s="140">
        <v>0</v>
      </c>
      <c r="AV416" s="23">
        <v>0</v>
      </c>
      <c r="AW416" s="23">
        <v>0</v>
      </c>
      <c r="AX416" s="23">
        <v>0</v>
      </c>
      <c r="AY416" s="194">
        <v>0</v>
      </c>
      <c r="BA416" s="34" t="str">
        <f t="shared" ca="1" si="54"/>
        <v>Scotland</v>
      </c>
      <c r="BB416" s="34" t="str">
        <f t="shared" si="55"/>
        <v>Fixed Inputs</v>
      </c>
      <c r="BC416" s="34" t="str">
        <f t="shared" si="60"/>
        <v>Variant allowances</v>
      </c>
      <c r="BD416" s="34" t="str">
        <f t="shared" si="57"/>
        <v>Totex variant allowances allocation percentages</v>
      </c>
    </row>
    <row r="417" spans="5:56" x14ac:dyDescent="0.35">
      <c r="E417" s="193" t="str" cm="1">
        <f t="array" ref="E417">INDEX($E$99:$E$202,INT((ROW()-ROW($E$205))/5)+1)</f>
        <v>Re-opener_Complex Distributions Systems Re-opener</v>
      </c>
      <c r="G417" s="33" t="s">
        <v>109</v>
      </c>
      <c r="H417" s="33" t="s">
        <v>170</v>
      </c>
      <c r="AU417" s="140">
        <v>0</v>
      </c>
      <c r="AV417" s="23">
        <v>0</v>
      </c>
      <c r="AW417" s="23">
        <v>0</v>
      </c>
      <c r="AX417" s="23">
        <v>0</v>
      </c>
      <c r="AY417" s="194">
        <v>0</v>
      </c>
      <c r="BA417" s="34" t="str">
        <f t="shared" ca="1" si="54"/>
        <v>Scotland</v>
      </c>
      <c r="BB417" s="34" t="str">
        <f t="shared" si="55"/>
        <v>Fixed Inputs</v>
      </c>
      <c r="BC417" s="34" t="str">
        <f t="shared" si="60"/>
        <v>Variant allowances</v>
      </c>
      <c r="BD417" s="34" t="str">
        <f t="shared" si="57"/>
        <v>Totex variant allowances allocation percentages</v>
      </c>
    </row>
    <row r="418" spans="5:56" x14ac:dyDescent="0.35">
      <c r="E418" s="193" t="str" cm="1">
        <f t="array" ref="E418">INDEX($E$99:$E$202,INT((ROW()-ROW($E$205))/5)+1)</f>
        <v>Re-opener_Complex Distributions Systems Re-opener</v>
      </c>
      <c r="G418" s="33" t="s">
        <v>109</v>
      </c>
      <c r="H418" s="33" t="s">
        <v>171</v>
      </c>
      <c r="AU418" s="140">
        <v>0</v>
      </c>
      <c r="AV418" s="23">
        <v>0</v>
      </c>
      <c r="AW418" s="23">
        <v>0</v>
      </c>
      <c r="AX418" s="23">
        <v>0</v>
      </c>
      <c r="AY418" s="194">
        <v>0</v>
      </c>
      <c r="BA418" s="34" t="str">
        <f t="shared" ca="1" si="54"/>
        <v>Scotland</v>
      </c>
      <c r="BB418" s="34" t="str">
        <f t="shared" si="55"/>
        <v>Fixed Inputs</v>
      </c>
      <c r="BC418" s="34" t="str">
        <f t="shared" si="60"/>
        <v>Variant allowances</v>
      </c>
      <c r="BD418" s="34" t="str">
        <f t="shared" si="57"/>
        <v>Totex variant allowances allocation percentages</v>
      </c>
    </row>
    <row r="419" spans="5:56" x14ac:dyDescent="0.35">
      <c r="E419" s="195" t="str" cm="1">
        <f t="array" ref="E419">INDEX($E$99:$E$202,INT((ROW()-ROW($E$205))/5)+1)</f>
        <v>Re-opener_Complex Distributions Systems Re-opener</v>
      </c>
      <c r="F419" s="196"/>
      <c r="G419" s="196" t="s">
        <v>109</v>
      </c>
      <c r="H419" s="196" t="s">
        <v>172</v>
      </c>
      <c r="I419" s="196"/>
      <c r="J419" s="196"/>
      <c r="K419" s="196"/>
      <c r="L419" s="196"/>
      <c r="M419" s="196"/>
      <c r="N419" s="196"/>
      <c r="O419" s="196"/>
      <c r="P419" s="196"/>
      <c r="Q419" s="196"/>
      <c r="R419" s="196"/>
      <c r="S419" s="196"/>
      <c r="T419" s="196"/>
      <c r="U419" s="196"/>
      <c r="V419" s="196"/>
      <c r="W419" s="196"/>
      <c r="X419" s="196"/>
      <c r="Y419" s="196"/>
      <c r="Z419" s="196"/>
      <c r="AA419" s="196"/>
      <c r="AB419" s="196"/>
      <c r="AC419" s="196"/>
      <c r="AD419" s="196"/>
      <c r="AE419" s="196"/>
      <c r="AF419" s="196"/>
      <c r="AG419" s="196"/>
      <c r="AH419" s="196"/>
      <c r="AI419" s="196"/>
      <c r="AJ419" s="196"/>
      <c r="AK419" s="196"/>
      <c r="AL419" s="196"/>
      <c r="AM419" s="196"/>
      <c r="AN419" s="196"/>
      <c r="AO419" s="196"/>
      <c r="AP419" s="196"/>
      <c r="AQ419" s="196"/>
      <c r="AR419" s="196"/>
      <c r="AS419" s="196"/>
      <c r="AT419" s="208"/>
      <c r="AU419" s="198">
        <v>1</v>
      </c>
      <c r="AV419" s="199">
        <v>1</v>
      </c>
      <c r="AW419" s="199">
        <v>1</v>
      </c>
      <c r="AX419" s="199">
        <v>1</v>
      </c>
      <c r="AY419" s="200">
        <v>1</v>
      </c>
      <c r="BA419" s="34" t="str">
        <f t="shared" ca="1" si="54"/>
        <v>Scotland</v>
      </c>
      <c r="BB419" s="34" t="str">
        <f t="shared" si="55"/>
        <v>Fixed Inputs</v>
      </c>
      <c r="BC419" s="34" t="str">
        <f t="shared" si="60"/>
        <v>Variant allowances</v>
      </c>
      <c r="BD419" s="34" t="str">
        <f t="shared" si="57"/>
        <v>Totex variant allowances allocation percentages</v>
      </c>
    </row>
    <row r="420" spans="5:56" x14ac:dyDescent="0.35">
      <c r="E420" s="187" t="str" cm="1">
        <f t="array" ref="E420">INDEX($E$99:$E$202,INT((ROW()-ROW($E$205))/5)+1)</f>
        <v>Re-opener_Mandated Category 3 Security Re-opener</v>
      </c>
      <c r="F420" s="188"/>
      <c r="G420" s="188" t="s">
        <v>109</v>
      </c>
      <c r="H420" s="188" t="s">
        <v>168</v>
      </c>
      <c r="I420" s="188"/>
      <c r="J420" s="188"/>
      <c r="K420" s="188"/>
      <c r="L420" s="188"/>
      <c r="M420" s="188"/>
      <c r="N420" s="188"/>
      <c r="O420" s="188"/>
      <c r="P420" s="188"/>
      <c r="Q420" s="188"/>
      <c r="R420" s="188"/>
      <c r="S420" s="188"/>
      <c r="T420" s="188"/>
      <c r="U420" s="188"/>
      <c r="V420" s="188"/>
      <c r="W420" s="188"/>
      <c r="X420" s="188"/>
      <c r="Y420" s="188"/>
      <c r="Z420" s="188"/>
      <c r="AA420" s="188"/>
      <c r="AB420" s="188"/>
      <c r="AC420" s="188"/>
      <c r="AD420" s="188"/>
      <c r="AE420" s="188"/>
      <c r="AF420" s="188"/>
      <c r="AG420" s="188"/>
      <c r="AH420" s="188"/>
      <c r="AI420" s="188"/>
      <c r="AJ420" s="188"/>
      <c r="AK420" s="188"/>
      <c r="AL420" s="188"/>
      <c r="AM420" s="188"/>
      <c r="AN420" s="188"/>
      <c r="AO420" s="188"/>
      <c r="AP420" s="188"/>
      <c r="AQ420" s="188"/>
      <c r="AR420" s="188"/>
      <c r="AS420" s="188"/>
      <c r="AT420" s="202"/>
      <c r="AU420" s="190">
        <v>0</v>
      </c>
      <c r="AV420" s="191">
        <v>0</v>
      </c>
      <c r="AW420" s="191">
        <v>0</v>
      </c>
      <c r="AX420" s="191">
        <v>0</v>
      </c>
      <c r="AY420" s="192">
        <v>0</v>
      </c>
      <c r="BA420" s="34" t="str">
        <f t="shared" ca="1" si="54"/>
        <v>Scotland</v>
      </c>
      <c r="BB420" s="34" t="str">
        <f t="shared" si="55"/>
        <v>Fixed Inputs</v>
      </c>
      <c r="BC420" s="34" t="str">
        <f t="shared" si="60"/>
        <v>Variant allowances</v>
      </c>
      <c r="BD420" s="34" t="str">
        <f t="shared" si="57"/>
        <v>Totex variant allowances allocation percentages</v>
      </c>
    </row>
    <row r="421" spans="5:56" x14ac:dyDescent="0.35">
      <c r="E421" s="193" t="str" cm="1">
        <f t="array" ref="E421">INDEX($E$99:$E$202,INT((ROW()-ROW($E$205))/5)+1)</f>
        <v>Re-opener_Mandated Category 3 Security Re-opener</v>
      </c>
      <c r="G421" s="33" t="s">
        <v>109</v>
      </c>
      <c r="H421" s="33" t="s">
        <v>169</v>
      </c>
      <c r="AU421" s="140">
        <v>0</v>
      </c>
      <c r="AV421" s="23">
        <v>0</v>
      </c>
      <c r="AW421" s="23">
        <v>0</v>
      </c>
      <c r="AX421" s="23">
        <v>0</v>
      </c>
      <c r="AY421" s="194">
        <v>0</v>
      </c>
      <c r="BA421" s="34" t="str">
        <f t="shared" ca="1" si="54"/>
        <v>Scotland</v>
      </c>
      <c r="BB421" s="34" t="str">
        <f t="shared" si="55"/>
        <v>Fixed Inputs</v>
      </c>
      <c r="BC421" s="34" t="str">
        <f t="shared" si="60"/>
        <v>Variant allowances</v>
      </c>
      <c r="BD421" s="34" t="str">
        <f t="shared" si="57"/>
        <v>Totex variant allowances allocation percentages</v>
      </c>
    </row>
    <row r="422" spans="5:56" x14ac:dyDescent="0.35">
      <c r="E422" s="193" t="str" cm="1">
        <f t="array" ref="E422">INDEX($E$99:$E$202,INT((ROW()-ROW($E$205))/5)+1)</f>
        <v>Re-opener_Mandated Category 3 Security Re-opener</v>
      </c>
      <c r="G422" s="33" t="s">
        <v>109</v>
      </c>
      <c r="H422" s="33" t="s">
        <v>170</v>
      </c>
      <c r="AU422" s="140">
        <v>0</v>
      </c>
      <c r="AV422" s="23">
        <v>0</v>
      </c>
      <c r="AW422" s="23">
        <v>0</v>
      </c>
      <c r="AX422" s="23">
        <v>0</v>
      </c>
      <c r="AY422" s="194">
        <v>0</v>
      </c>
      <c r="BA422" s="34" t="str">
        <f t="shared" ca="1" si="54"/>
        <v>Scotland</v>
      </c>
      <c r="BB422" s="34" t="str">
        <f t="shared" si="55"/>
        <v>Fixed Inputs</v>
      </c>
      <c r="BC422" s="34" t="str">
        <f t="shared" si="60"/>
        <v>Variant allowances</v>
      </c>
      <c r="BD422" s="34" t="str">
        <f t="shared" si="57"/>
        <v>Totex variant allowances allocation percentages</v>
      </c>
    </row>
    <row r="423" spans="5:56" x14ac:dyDescent="0.35">
      <c r="E423" s="193" t="str" cm="1">
        <f t="array" ref="E423">INDEX($E$99:$E$202,INT((ROW()-ROW($E$205))/5)+1)</f>
        <v>Re-opener_Mandated Category 3 Security Re-opener</v>
      </c>
      <c r="G423" s="33" t="s">
        <v>109</v>
      </c>
      <c r="H423" s="33" t="s">
        <v>171</v>
      </c>
      <c r="AU423" s="140">
        <v>0</v>
      </c>
      <c r="AV423" s="23">
        <v>0</v>
      </c>
      <c r="AW423" s="23">
        <v>0</v>
      </c>
      <c r="AX423" s="23">
        <v>0</v>
      </c>
      <c r="AY423" s="194">
        <v>0</v>
      </c>
      <c r="BA423" s="34" t="str">
        <f t="shared" ca="1" si="54"/>
        <v>Scotland</v>
      </c>
      <c r="BB423" s="34" t="str">
        <f t="shared" si="55"/>
        <v>Fixed Inputs</v>
      </c>
      <c r="BC423" s="34" t="str">
        <f t="shared" si="60"/>
        <v>Variant allowances</v>
      </c>
      <c r="BD423" s="34" t="str">
        <f t="shared" si="57"/>
        <v>Totex variant allowances allocation percentages</v>
      </c>
    </row>
    <row r="424" spans="5:56" x14ac:dyDescent="0.35">
      <c r="E424" s="195" t="str" cm="1">
        <f t="array" ref="E424">INDEX($E$99:$E$202,INT((ROW()-ROW($E$205))/5)+1)</f>
        <v>Re-opener_Mandated Category 3 Security Re-opener</v>
      </c>
      <c r="F424" s="196"/>
      <c r="G424" s="196" t="s">
        <v>109</v>
      </c>
      <c r="H424" s="196" t="s">
        <v>172</v>
      </c>
      <c r="I424" s="196"/>
      <c r="J424" s="196"/>
      <c r="K424" s="196"/>
      <c r="L424" s="196"/>
      <c r="M424" s="196"/>
      <c r="N424" s="196"/>
      <c r="O424" s="196"/>
      <c r="P424" s="196"/>
      <c r="Q424" s="196"/>
      <c r="R424" s="196"/>
      <c r="S424" s="196"/>
      <c r="T424" s="196"/>
      <c r="U424" s="196"/>
      <c r="V424" s="196"/>
      <c r="W424" s="196"/>
      <c r="X424" s="196"/>
      <c r="Y424" s="196"/>
      <c r="Z424" s="196"/>
      <c r="AA424" s="196"/>
      <c r="AB424" s="196"/>
      <c r="AC424" s="196"/>
      <c r="AD424" s="196"/>
      <c r="AE424" s="196"/>
      <c r="AF424" s="196"/>
      <c r="AG424" s="196"/>
      <c r="AH424" s="196"/>
      <c r="AI424" s="196"/>
      <c r="AJ424" s="196"/>
      <c r="AK424" s="196"/>
      <c r="AL424" s="196"/>
      <c r="AM424" s="196"/>
      <c r="AN424" s="196"/>
      <c r="AO424" s="196"/>
      <c r="AP424" s="196"/>
      <c r="AQ424" s="196"/>
      <c r="AR424" s="196"/>
      <c r="AS424" s="196"/>
      <c r="AT424" s="208"/>
      <c r="AU424" s="198">
        <v>0</v>
      </c>
      <c r="AV424" s="199">
        <v>0</v>
      </c>
      <c r="AW424" s="199">
        <v>0</v>
      </c>
      <c r="AX424" s="199">
        <v>0</v>
      </c>
      <c r="AY424" s="200">
        <v>0</v>
      </c>
      <c r="BA424" s="34" t="str">
        <f t="shared" ca="1" si="54"/>
        <v>Scotland</v>
      </c>
      <c r="BB424" s="34" t="str">
        <f t="shared" si="55"/>
        <v>Fixed Inputs</v>
      </c>
      <c r="BC424" s="34" t="str">
        <f t="shared" si="60"/>
        <v>Variant allowances</v>
      </c>
      <c r="BD424" s="34" t="str">
        <f t="shared" si="57"/>
        <v>Totex variant allowances allocation percentages</v>
      </c>
    </row>
    <row r="425" spans="5:56" x14ac:dyDescent="0.35">
      <c r="E425" s="187" t="str" cm="1">
        <f t="array" ref="E425">INDEX($E$99:$E$202,INT((ROW()-ROW($E$205))/5)+1)</f>
        <v>Re-opener_General Reinforcement</v>
      </c>
      <c r="F425" s="188"/>
      <c r="G425" s="188" t="s">
        <v>109</v>
      </c>
      <c r="H425" s="188" t="s">
        <v>168</v>
      </c>
      <c r="I425" s="188"/>
      <c r="J425" s="188"/>
      <c r="K425" s="188"/>
      <c r="L425" s="188"/>
      <c r="M425" s="188"/>
      <c r="N425" s="188"/>
      <c r="O425" s="188"/>
      <c r="P425" s="188"/>
      <c r="Q425" s="188"/>
      <c r="R425" s="188"/>
      <c r="S425" s="188"/>
      <c r="T425" s="188"/>
      <c r="U425" s="188"/>
      <c r="V425" s="188"/>
      <c r="W425" s="188"/>
      <c r="X425" s="188"/>
      <c r="Y425" s="188"/>
      <c r="Z425" s="188"/>
      <c r="AA425" s="188"/>
      <c r="AB425" s="188"/>
      <c r="AC425" s="188"/>
      <c r="AD425" s="188"/>
      <c r="AE425" s="188"/>
      <c r="AF425" s="188"/>
      <c r="AG425" s="188"/>
      <c r="AH425" s="188"/>
      <c r="AI425" s="188"/>
      <c r="AJ425" s="188"/>
      <c r="AK425" s="188"/>
      <c r="AL425" s="188"/>
      <c r="AM425" s="188"/>
      <c r="AN425" s="188"/>
      <c r="AO425" s="188"/>
      <c r="AP425" s="188"/>
      <c r="AQ425" s="188"/>
      <c r="AR425" s="188"/>
      <c r="AS425" s="188"/>
      <c r="AT425" s="202"/>
      <c r="AU425" s="190">
        <v>0</v>
      </c>
      <c r="AV425" s="191">
        <v>0</v>
      </c>
      <c r="AW425" s="191">
        <v>0</v>
      </c>
      <c r="AX425" s="191">
        <v>0</v>
      </c>
      <c r="AY425" s="192">
        <v>0</v>
      </c>
      <c r="BA425" s="34" t="str">
        <f t="shared" ca="1" si="54"/>
        <v>Scotland</v>
      </c>
      <c r="BB425" s="34" t="str">
        <f t="shared" si="55"/>
        <v>Fixed Inputs</v>
      </c>
      <c r="BC425" s="34" t="str">
        <f t="shared" si="60"/>
        <v>Variant allowances</v>
      </c>
      <c r="BD425" s="34" t="str">
        <f t="shared" si="57"/>
        <v>Totex variant allowances allocation percentages</v>
      </c>
    </row>
    <row r="426" spans="5:56" x14ac:dyDescent="0.35">
      <c r="E426" s="193" t="str" cm="1">
        <f t="array" ref="E426">INDEX($E$99:$E$202,INT((ROW()-ROW($E$205))/5)+1)</f>
        <v>Re-opener_General Reinforcement</v>
      </c>
      <c r="G426" s="33" t="s">
        <v>109</v>
      </c>
      <c r="H426" s="33" t="s">
        <v>169</v>
      </c>
      <c r="AU426" s="140">
        <v>0</v>
      </c>
      <c r="AV426" s="23">
        <v>0</v>
      </c>
      <c r="AW426" s="23">
        <v>0</v>
      </c>
      <c r="AX426" s="23">
        <v>0</v>
      </c>
      <c r="AY426" s="194">
        <v>0</v>
      </c>
      <c r="BA426" s="34" t="str">
        <f t="shared" ca="1" si="54"/>
        <v>Scotland</v>
      </c>
      <c r="BB426" s="34" t="str">
        <f t="shared" si="55"/>
        <v>Fixed Inputs</v>
      </c>
      <c r="BC426" s="34" t="str">
        <f t="shared" si="60"/>
        <v>Variant allowances</v>
      </c>
      <c r="BD426" s="34" t="str">
        <f t="shared" si="57"/>
        <v>Totex variant allowances allocation percentages</v>
      </c>
    </row>
    <row r="427" spans="5:56" x14ac:dyDescent="0.35">
      <c r="E427" s="193" t="str" cm="1">
        <f t="array" ref="E427">INDEX($E$99:$E$202,INT((ROW()-ROW($E$205))/5)+1)</f>
        <v>Re-opener_General Reinforcement</v>
      </c>
      <c r="G427" s="33" t="s">
        <v>109</v>
      </c>
      <c r="H427" s="33" t="s">
        <v>170</v>
      </c>
      <c r="AU427" s="140">
        <v>0</v>
      </c>
      <c r="AV427" s="23">
        <v>0</v>
      </c>
      <c r="AW427" s="23">
        <v>0</v>
      </c>
      <c r="AX427" s="23">
        <v>0</v>
      </c>
      <c r="AY427" s="194">
        <v>0</v>
      </c>
      <c r="BA427" s="34" t="str">
        <f t="shared" ca="1" si="54"/>
        <v>Scotland</v>
      </c>
      <c r="BB427" s="34" t="str">
        <f t="shared" si="55"/>
        <v>Fixed Inputs</v>
      </c>
      <c r="BC427" s="34" t="str">
        <f t="shared" si="60"/>
        <v>Variant allowances</v>
      </c>
      <c r="BD427" s="34" t="str">
        <f t="shared" si="57"/>
        <v>Totex variant allowances allocation percentages</v>
      </c>
    </row>
    <row r="428" spans="5:56" x14ac:dyDescent="0.35">
      <c r="E428" s="193" t="str" cm="1">
        <f t="array" ref="E428">INDEX($E$99:$E$202,INT((ROW()-ROW($E$205))/5)+1)</f>
        <v>Re-opener_General Reinforcement</v>
      </c>
      <c r="G428" s="33" t="s">
        <v>109</v>
      </c>
      <c r="H428" s="33" t="s">
        <v>171</v>
      </c>
      <c r="AU428" s="140">
        <v>0</v>
      </c>
      <c r="AV428" s="23">
        <v>0</v>
      </c>
      <c r="AW428" s="23">
        <v>0</v>
      </c>
      <c r="AX428" s="23">
        <v>0</v>
      </c>
      <c r="AY428" s="194">
        <v>0</v>
      </c>
      <c r="BA428" s="34" t="str">
        <f t="shared" ca="1" si="54"/>
        <v>Scotland</v>
      </c>
      <c r="BB428" s="34" t="str">
        <f t="shared" si="55"/>
        <v>Fixed Inputs</v>
      </c>
      <c r="BC428" s="34" t="str">
        <f t="shared" si="60"/>
        <v>Variant allowances</v>
      </c>
      <c r="BD428" s="34" t="str">
        <f t="shared" si="57"/>
        <v>Totex variant allowances allocation percentages</v>
      </c>
    </row>
    <row r="429" spans="5:56" x14ac:dyDescent="0.35">
      <c r="E429" s="195" t="str" cm="1">
        <f t="array" ref="E429">INDEX($E$99:$E$202,INT((ROW()-ROW($E$205))/5)+1)</f>
        <v>Re-opener_General Reinforcement</v>
      </c>
      <c r="F429" s="196"/>
      <c r="G429" s="196" t="s">
        <v>109</v>
      </c>
      <c r="H429" s="196" t="s">
        <v>172</v>
      </c>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208"/>
      <c r="AU429" s="198">
        <v>0</v>
      </c>
      <c r="AV429" s="199">
        <v>0</v>
      </c>
      <c r="AW429" s="199">
        <v>0</v>
      </c>
      <c r="AX429" s="199">
        <v>0</v>
      </c>
      <c r="AY429" s="200">
        <v>0</v>
      </c>
      <c r="BA429" s="34" t="str">
        <f t="shared" ca="1" si="54"/>
        <v>Scotland</v>
      </c>
      <c r="BB429" s="34" t="str">
        <f t="shared" si="55"/>
        <v>Fixed Inputs</v>
      </c>
      <c r="BC429" s="34" t="str">
        <f t="shared" si="60"/>
        <v>Variant allowances</v>
      </c>
      <c r="BD429" s="34" t="str">
        <f t="shared" si="57"/>
        <v>Totex variant allowances allocation percentages</v>
      </c>
    </row>
    <row r="430" spans="5:56" x14ac:dyDescent="0.35">
      <c r="E430" s="187" t="str" cm="1">
        <f t="array" ref="E430">INDEX($E$99:$E$202,INT((ROW()-ROW($E$205))/5)+1)</f>
        <v>Spare 2</v>
      </c>
      <c r="F430" s="188"/>
      <c r="G430" s="188" t="s">
        <v>109</v>
      </c>
      <c r="H430" s="188" t="s">
        <v>168</v>
      </c>
      <c r="I430" s="188"/>
      <c r="J430" s="188"/>
      <c r="K430" s="188"/>
      <c r="L430" s="188"/>
      <c r="M430" s="188"/>
      <c r="N430" s="188"/>
      <c r="O430" s="188"/>
      <c r="P430" s="188"/>
      <c r="Q430" s="188"/>
      <c r="R430" s="188"/>
      <c r="S430" s="188"/>
      <c r="T430" s="188"/>
      <c r="U430" s="188"/>
      <c r="V430" s="188"/>
      <c r="W430" s="188"/>
      <c r="X430" s="188"/>
      <c r="Y430" s="188"/>
      <c r="Z430" s="188"/>
      <c r="AA430" s="188"/>
      <c r="AB430" s="188"/>
      <c r="AC430" s="188"/>
      <c r="AD430" s="188"/>
      <c r="AE430" s="188"/>
      <c r="AF430" s="188"/>
      <c r="AG430" s="188"/>
      <c r="AH430" s="188"/>
      <c r="AI430" s="188"/>
      <c r="AJ430" s="188"/>
      <c r="AK430" s="188"/>
      <c r="AL430" s="188"/>
      <c r="AM430" s="188"/>
      <c r="AN430" s="188"/>
      <c r="AO430" s="188"/>
      <c r="AP430" s="188"/>
      <c r="AQ430" s="188"/>
      <c r="AR430" s="188"/>
      <c r="AS430" s="188"/>
      <c r="AT430" s="202"/>
      <c r="AU430" s="190">
        <v>0</v>
      </c>
      <c r="AV430" s="191">
        <v>0</v>
      </c>
      <c r="AW430" s="191">
        <v>0</v>
      </c>
      <c r="AX430" s="191">
        <v>0</v>
      </c>
      <c r="AY430" s="192">
        <v>0</v>
      </c>
      <c r="BA430" s="34" t="str">
        <f t="shared" ca="1" si="54"/>
        <v>Scotland</v>
      </c>
      <c r="BB430" s="34" t="str">
        <f t="shared" si="55"/>
        <v>Fixed Inputs</v>
      </c>
      <c r="BC430" s="34" t="str">
        <f t="shared" si="60"/>
        <v>Variant allowances</v>
      </c>
      <c r="BD430" s="34" t="str">
        <f t="shared" si="57"/>
        <v>Totex variant allowances allocation percentages</v>
      </c>
    </row>
    <row r="431" spans="5:56" x14ac:dyDescent="0.35">
      <c r="E431" s="193" t="str" cm="1">
        <f t="array" ref="E431">INDEX($E$99:$E$202,INT((ROW()-ROW($E$205))/5)+1)</f>
        <v>Spare 2</v>
      </c>
      <c r="G431" s="33" t="s">
        <v>109</v>
      </c>
      <c r="H431" s="33" t="s">
        <v>169</v>
      </c>
      <c r="AU431" s="140">
        <v>0</v>
      </c>
      <c r="AV431" s="23">
        <v>0</v>
      </c>
      <c r="AW431" s="23">
        <v>0</v>
      </c>
      <c r="AX431" s="23">
        <v>0</v>
      </c>
      <c r="AY431" s="194">
        <v>0</v>
      </c>
      <c r="BA431" s="34" t="str">
        <f t="shared" ca="1" si="54"/>
        <v>Scotland</v>
      </c>
      <c r="BB431" s="34" t="str">
        <f t="shared" si="55"/>
        <v>Fixed Inputs</v>
      </c>
      <c r="BC431" s="34" t="str">
        <f t="shared" si="60"/>
        <v>Variant allowances</v>
      </c>
      <c r="BD431" s="34" t="str">
        <f t="shared" si="57"/>
        <v>Totex variant allowances allocation percentages</v>
      </c>
    </row>
    <row r="432" spans="5:56" x14ac:dyDescent="0.35">
      <c r="E432" s="193" t="str" cm="1">
        <f t="array" ref="E432">INDEX($E$99:$E$202,INT((ROW()-ROW($E$205))/5)+1)</f>
        <v>Spare 2</v>
      </c>
      <c r="G432" s="33" t="s">
        <v>109</v>
      </c>
      <c r="H432" s="33" t="s">
        <v>170</v>
      </c>
      <c r="AU432" s="140">
        <v>0</v>
      </c>
      <c r="AV432" s="23">
        <v>0</v>
      </c>
      <c r="AW432" s="23">
        <v>0</v>
      </c>
      <c r="AX432" s="23">
        <v>0</v>
      </c>
      <c r="AY432" s="194">
        <v>0</v>
      </c>
      <c r="BA432" s="34" t="str">
        <f t="shared" ca="1" si="54"/>
        <v>Scotland</v>
      </c>
      <c r="BB432" s="34" t="str">
        <f t="shared" si="55"/>
        <v>Fixed Inputs</v>
      </c>
      <c r="BC432" s="34" t="str">
        <f t="shared" si="60"/>
        <v>Variant allowances</v>
      </c>
      <c r="BD432" s="34" t="str">
        <f t="shared" si="57"/>
        <v>Totex variant allowances allocation percentages</v>
      </c>
    </row>
    <row r="433" spans="5:56" x14ac:dyDescent="0.35">
      <c r="E433" s="193" t="str" cm="1">
        <f t="array" ref="E433">INDEX($E$99:$E$202,INT((ROW()-ROW($E$205))/5)+1)</f>
        <v>Spare 2</v>
      </c>
      <c r="G433" s="33" t="s">
        <v>109</v>
      </c>
      <c r="H433" s="33" t="s">
        <v>171</v>
      </c>
      <c r="AU433" s="140">
        <v>0</v>
      </c>
      <c r="AV433" s="23">
        <v>0</v>
      </c>
      <c r="AW433" s="23">
        <v>0</v>
      </c>
      <c r="AX433" s="23">
        <v>0</v>
      </c>
      <c r="AY433" s="194">
        <v>0</v>
      </c>
      <c r="BA433" s="34" t="str">
        <f t="shared" ca="1" si="54"/>
        <v>Scotland</v>
      </c>
      <c r="BB433" s="34" t="str">
        <f t="shared" si="55"/>
        <v>Fixed Inputs</v>
      </c>
      <c r="BC433" s="34" t="str">
        <f t="shared" si="60"/>
        <v>Variant allowances</v>
      </c>
      <c r="BD433" s="34" t="str">
        <f t="shared" si="57"/>
        <v>Totex variant allowances allocation percentages</v>
      </c>
    </row>
    <row r="434" spans="5:56" x14ac:dyDescent="0.35">
      <c r="E434" s="195" t="str" cm="1">
        <f t="array" ref="E434">INDEX($E$99:$E$202,INT((ROW()-ROW($E$205))/5)+1)</f>
        <v>Spare 2</v>
      </c>
      <c r="F434" s="196"/>
      <c r="G434" s="196" t="s">
        <v>109</v>
      </c>
      <c r="H434" s="196" t="s">
        <v>172</v>
      </c>
      <c r="I434" s="196"/>
      <c r="J434" s="196"/>
      <c r="K434" s="196"/>
      <c r="L434" s="196"/>
      <c r="M434" s="196"/>
      <c r="N434" s="196"/>
      <c r="O434" s="196"/>
      <c r="P434" s="196"/>
      <c r="Q434" s="196"/>
      <c r="R434" s="196"/>
      <c r="S434" s="196"/>
      <c r="T434" s="196"/>
      <c r="U434" s="196"/>
      <c r="V434" s="196"/>
      <c r="W434" s="196"/>
      <c r="X434" s="196"/>
      <c r="Y434" s="196"/>
      <c r="Z434" s="196"/>
      <c r="AA434" s="196"/>
      <c r="AB434" s="196"/>
      <c r="AC434" s="196"/>
      <c r="AD434" s="196"/>
      <c r="AE434" s="196"/>
      <c r="AF434" s="196"/>
      <c r="AG434" s="196"/>
      <c r="AH434" s="196"/>
      <c r="AI434" s="196"/>
      <c r="AJ434" s="196"/>
      <c r="AK434" s="196"/>
      <c r="AL434" s="196"/>
      <c r="AM434" s="196"/>
      <c r="AN434" s="196"/>
      <c r="AO434" s="196"/>
      <c r="AP434" s="196"/>
      <c r="AQ434" s="196"/>
      <c r="AR434" s="196"/>
      <c r="AS434" s="196"/>
      <c r="AT434" s="208"/>
      <c r="AU434" s="198">
        <v>0</v>
      </c>
      <c r="AV434" s="199">
        <v>0</v>
      </c>
      <c r="AW434" s="199">
        <v>0</v>
      </c>
      <c r="AX434" s="199">
        <v>0</v>
      </c>
      <c r="AY434" s="200">
        <v>0</v>
      </c>
      <c r="BA434" s="34" t="str">
        <f t="shared" ca="1" si="54"/>
        <v>Scotland</v>
      </c>
      <c r="BB434" s="34" t="str">
        <f t="shared" si="55"/>
        <v>Fixed Inputs</v>
      </c>
      <c r="BC434" s="34" t="str">
        <f t="shared" si="60"/>
        <v>Variant allowances</v>
      </c>
      <c r="BD434" s="34" t="str">
        <f t="shared" si="57"/>
        <v>Totex variant allowances allocation percentages</v>
      </c>
    </row>
    <row r="435" spans="5:56" x14ac:dyDescent="0.35">
      <c r="E435" s="187" t="str" cm="1">
        <f t="array" ref="E435">INDEX($E$99:$E$202,INT((ROW()-ROW($E$205))/5)+1)</f>
        <v>Spare 3</v>
      </c>
      <c r="F435" s="188"/>
      <c r="G435" s="188" t="s">
        <v>109</v>
      </c>
      <c r="H435" s="188" t="s">
        <v>168</v>
      </c>
      <c r="I435" s="188"/>
      <c r="J435" s="188"/>
      <c r="K435" s="188"/>
      <c r="L435" s="188"/>
      <c r="M435" s="188"/>
      <c r="N435" s="188"/>
      <c r="O435" s="188"/>
      <c r="P435" s="188"/>
      <c r="Q435" s="188"/>
      <c r="R435" s="188"/>
      <c r="S435" s="188"/>
      <c r="T435" s="188"/>
      <c r="U435" s="188"/>
      <c r="V435" s="188"/>
      <c r="W435" s="188"/>
      <c r="X435" s="188"/>
      <c r="Y435" s="188"/>
      <c r="Z435" s="188"/>
      <c r="AA435" s="188"/>
      <c r="AB435" s="188"/>
      <c r="AC435" s="188"/>
      <c r="AD435" s="188"/>
      <c r="AE435" s="188"/>
      <c r="AF435" s="188"/>
      <c r="AG435" s="188"/>
      <c r="AH435" s="188"/>
      <c r="AI435" s="188"/>
      <c r="AJ435" s="188"/>
      <c r="AK435" s="188"/>
      <c r="AL435" s="188"/>
      <c r="AM435" s="188"/>
      <c r="AN435" s="188"/>
      <c r="AO435" s="188"/>
      <c r="AP435" s="188"/>
      <c r="AQ435" s="188"/>
      <c r="AR435" s="188"/>
      <c r="AS435" s="188"/>
      <c r="AT435" s="202"/>
      <c r="AU435" s="190">
        <v>0</v>
      </c>
      <c r="AV435" s="191">
        <v>0</v>
      </c>
      <c r="AW435" s="191">
        <v>0</v>
      </c>
      <c r="AX435" s="191">
        <v>0</v>
      </c>
      <c r="AY435" s="192">
        <v>0</v>
      </c>
      <c r="BA435" s="34" t="str">
        <f t="shared" ca="1" si="54"/>
        <v>Scotland</v>
      </c>
      <c r="BB435" s="34" t="str">
        <f t="shared" si="55"/>
        <v>Fixed Inputs</v>
      </c>
      <c r="BC435" s="34" t="str">
        <f t="shared" si="60"/>
        <v>Variant allowances</v>
      </c>
      <c r="BD435" s="34" t="str">
        <f t="shared" si="57"/>
        <v>Totex variant allowances allocation percentages</v>
      </c>
    </row>
    <row r="436" spans="5:56" x14ac:dyDescent="0.35">
      <c r="E436" s="193" t="str" cm="1">
        <f t="array" ref="E436">INDEX($E$99:$E$202,INT((ROW()-ROW($E$205))/5)+1)</f>
        <v>Spare 3</v>
      </c>
      <c r="G436" s="33" t="s">
        <v>109</v>
      </c>
      <c r="H436" s="33" t="s">
        <v>169</v>
      </c>
      <c r="AU436" s="140">
        <v>0</v>
      </c>
      <c r="AV436" s="23">
        <v>0</v>
      </c>
      <c r="AW436" s="23">
        <v>0</v>
      </c>
      <c r="AX436" s="23">
        <v>0</v>
      </c>
      <c r="AY436" s="194">
        <v>0</v>
      </c>
      <c r="BA436" s="34" t="str">
        <f t="shared" ca="1" si="54"/>
        <v>Scotland</v>
      </c>
      <c r="BB436" s="34" t="str">
        <f t="shared" si="55"/>
        <v>Fixed Inputs</v>
      </c>
      <c r="BC436" s="34" t="str">
        <f t="shared" si="60"/>
        <v>Variant allowances</v>
      </c>
      <c r="BD436" s="34" t="str">
        <f t="shared" si="57"/>
        <v>Totex variant allowances allocation percentages</v>
      </c>
    </row>
    <row r="437" spans="5:56" x14ac:dyDescent="0.35">
      <c r="E437" s="193" t="str" cm="1">
        <f t="array" ref="E437">INDEX($E$99:$E$202,INT((ROW()-ROW($E$205))/5)+1)</f>
        <v>Spare 3</v>
      </c>
      <c r="G437" s="33" t="s">
        <v>109</v>
      </c>
      <c r="H437" s="33" t="s">
        <v>170</v>
      </c>
      <c r="AU437" s="140">
        <v>0</v>
      </c>
      <c r="AV437" s="23">
        <v>0</v>
      </c>
      <c r="AW437" s="23">
        <v>0</v>
      </c>
      <c r="AX437" s="23">
        <v>0</v>
      </c>
      <c r="AY437" s="194">
        <v>0</v>
      </c>
      <c r="BA437" s="34" t="str">
        <f t="shared" ca="1" si="54"/>
        <v>Scotland</v>
      </c>
      <c r="BB437" s="34" t="str">
        <f t="shared" si="55"/>
        <v>Fixed Inputs</v>
      </c>
      <c r="BC437" s="34" t="str">
        <f t="shared" si="60"/>
        <v>Variant allowances</v>
      </c>
      <c r="BD437" s="34" t="str">
        <f t="shared" si="57"/>
        <v>Totex variant allowances allocation percentages</v>
      </c>
    </row>
    <row r="438" spans="5:56" x14ac:dyDescent="0.35">
      <c r="E438" s="193" t="str" cm="1">
        <f t="array" ref="E438">INDEX($E$99:$E$202,INT((ROW()-ROW($E$205))/5)+1)</f>
        <v>Spare 3</v>
      </c>
      <c r="G438" s="33" t="s">
        <v>109</v>
      </c>
      <c r="H438" s="33" t="s">
        <v>171</v>
      </c>
      <c r="AU438" s="140">
        <v>0</v>
      </c>
      <c r="AV438" s="23">
        <v>0</v>
      </c>
      <c r="AW438" s="23">
        <v>0</v>
      </c>
      <c r="AX438" s="23">
        <v>0</v>
      </c>
      <c r="AY438" s="194">
        <v>0</v>
      </c>
      <c r="BA438" s="34" t="str">
        <f t="shared" ca="1" si="54"/>
        <v>Scotland</v>
      </c>
      <c r="BB438" s="34" t="str">
        <f t="shared" si="55"/>
        <v>Fixed Inputs</v>
      </c>
      <c r="BC438" s="34" t="str">
        <f t="shared" si="60"/>
        <v>Variant allowances</v>
      </c>
      <c r="BD438" s="34" t="str">
        <f t="shared" si="57"/>
        <v>Totex variant allowances allocation percentages</v>
      </c>
    </row>
    <row r="439" spans="5:56" x14ac:dyDescent="0.35">
      <c r="E439" s="195" t="str" cm="1">
        <f t="array" ref="E439">INDEX($E$99:$E$202,INT((ROW()-ROW($E$205))/5)+1)</f>
        <v>Spare 3</v>
      </c>
      <c r="F439" s="196"/>
      <c r="G439" s="196" t="s">
        <v>109</v>
      </c>
      <c r="H439" s="196" t="s">
        <v>172</v>
      </c>
      <c r="I439" s="196"/>
      <c r="J439" s="196"/>
      <c r="K439" s="196"/>
      <c r="L439" s="196"/>
      <c r="M439" s="196"/>
      <c r="N439" s="196"/>
      <c r="O439" s="196"/>
      <c r="P439" s="196"/>
      <c r="Q439" s="196"/>
      <c r="R439" s="196"/>
      <c r="S439" s="196"/>
      <c r="T439" s="196"/>
      <c r="U439" s="196"/>
      <c r="V439" s="196"/>
      <c r="W439" s="196"/>
      <c r="X439" s="196"/>
      <c r="Y439" s="196"/>
      <c r="Z439" s="196"/>
      <c r="AA439" s="196"/>
      <c r="AB439" s="196"/>
      <c r="AC439" s="196"/>
      <c r="AD439" s="196"/>
      <c r="AE439" s="196"/>
      <c r="AF439" s="196"/>
      <c r="AG439" s="196"/>
      <c r="AH439" s="196"/>
      <c r="AI439" s="196"/>
      <c r="AJ439" s="196"/>
      <c r="AK439" s="196"/>
      <c r="AL439" s="196"/>
      <c r="AM439" s="196"/>
      <c r="AN439" s="196"/>
      <c r="AO439" s="196"/>
      <c r="AP439" s="196"/>
      <c r="AQ439" s="196"/>
      <c r="AR439" s="196"/>
      <c r="AS439" s="196"/>
      <c r="AT439" s="208"/>
      <c r="AU439" s="198">
        <v>0</v>
      </c>
      <c r="AV439" s="199">
        <v>0</v>
      </c>
      <c r="AW439" s="199">
        <v>0</v>
      </c>
      <c r="AX439" s="199">
        <v>0</v>
      </c>
      <c r="AY439" s="200">
        <v>0</v>
      </c>
      <c r="BA439" s="34" t="str">
        <f t="shared" ca="1" si="54"/>
        <v>Scotland</v>
      </c>
      <c r="BB439" s="34" t="str">
        <f t="shared" si="55"/>
        <v>Fixed Inputs</v>
      </c>
      <c r="BC439" s="34" t="str">
        <f t="shared" si="60"/>
        <v>Variant allowances</v>
      </c>
      <c r="BD439" s="34" t="str">
        <f t="shared" si="57"/>
        <v>Totex variant allowances allocation percentages</v>
      </c>
    </row>
    <row r="440" spans="5:56" x14ac:dyDescent="0.35">
      <c r="E440" s="187" t="str" cm="1">
        <f t="array" ref="E440">INDEX($E$99:$E$202,INT((ROW()-ROW($E$205))/5)+1)</f>
        <v>Spare 4</v>
      </c>
      <c r="F440" s="188"/>
      <c r="G440" s="188" t="s">
        <v>109</v>
      </c>
      <c r="H440" s="188" t="s">
        <v>168</v>
      </c>
      <c r="I440" s="188"/>
      <c r="J440" s="188"/>
      <c r="K440" s="188"/>
      <c r="L440" s="188"/>
      <c r="M440" s="188"/>
      <c r="N440" s="188"/>
      <c r="O440" s="188"/>
      <c r="P440" s="188"/>
      <c r="Q440" s="188"/>
      <c r="R440" s="188"/>
      <c r="S440" s="188"/>
      <c r="T440" s="188"/>
      <c r="U440" s="188"/>
      <c r="V440" s="188"/>
      <c r="W440" s="188"/>
      <c r="X440" s="188"/>
      <c r="Y440" s="188"/>
      <c r="Z440" s="188"/>
      <c r="AA440" s="188"/>
      <c r="AB440" s="188"/>
      <c r="AC440" s="188"/>
      <c r="AD440" s="188"/>
      <c r="AE440" s="188"/>
      <c r="AF440" s="188"/>
      <c r="AG440" s="188"/>
      <c r="AH440" s="188"/>
      <c r="AI440" s="188"/>
      <c r="AJ440" s="188"/>
      <c r="AK440" s="188"/>
      <c r="AL440" s="188"/>
      <c r="AM440" s="188"/>
      <c r="AN440" s="188"/>
      <c r="AO440" s="188"/>
      <c r="AP440" s="188"/>
      <c r="AQ440" s="188"/>
      <c r="AR440" s="188"/>
      <c r="AS440" s="188"/>
      <c r="AT440" s="202"/>
      <c r="AU440" s="190">
        <v>0</v>
      </c>
      <c r="AV440" s="191">
        <v>0</v>
      </c>
      <c r="AW440" s="191">
        <v>0</v>
      </c>
      <c r="AX440" s="191">
        <v>0</v>
      </c>
      <c r="AY440" s="192">
        <v>0</v>
      </c>
      <c r="BA440" s="34" t="str">
        <f t="shared" ca="1" si="54"/>
        <v>Scotland</v>
      </c>
      <c r="BB440" s="34" t="str">
        <f t="shared" si="55"/>
        <v>Fixed Inputs</v>
      </c>
      <c r="BC440" s="34" t="str">
        <f t="shared" si="60"/>
        <v>Variant allowances</v>
      </c>
      <c r="BD440" s="34" t="str">
        <f t="shared" si="57"/>
        <v>Totex variant allowances allocation percentages</v>
      </c>
    </row>
    <row r="441" spans="5:56" x14ac:dyDescent="0.35">
      <c r="E441" s="193" t="str" cm="1">
        <f t="array" ref="E441">INDEX($E$99:$E$202,INT((ROW()-ROW($E$205))/5)+1)</f>
        <v>Spare 4</v>
      </c>
      <c r="G441" s="33" t="s">
        <v>109</v>
      </c>
      <c r="H441" s="33" t="s">
        <v>169</v>
      </c>
      <c r="AU441" s="140">
        <v>0</v>
      </c>
      <c r="AV441" s="23">
        <v>0</v>
      </c>
      <c r="AW441" s="23">
        <v>0</v>
      </c>
      <c r="AX441" s="23">
        <v>0</v>
      </c>
      <c r="AY441" s="194">
        <v>0</v>
      </c>
      <c r="BA441" s="34" t="str">
        <f t="shared" ca="1" si="54"/>
        <v>Scotland</v>
      </c>
      <c r="BB441" s="34" t="str">
        <f t="shared" si="55"/>
        <v>Fixed Inputs</v>
      </c>
      <c r="BC441" s="34" t="str">
        <f t="shared" si="60"/>
        <v>Variant allowances</v>
      </c>
      <c r="BD441" s="34" t="str">
        <f t="shared" si="57"/>
        <v>Totex variant allowances allocation percentages</v>
      </c>
    </row>
    <row r="442" spans="5:56" x14ac:dyDescent="0.35">
      <c r="E442" s="193" t="str" cm="1">
        <f t="array" ref="E442">INDEX($E$99:$E$202,INT((ROW()-ROW($E$205))/5)+1)</f>
        <v>Spare 4</v>
      </c>
      <c r="G442" s="33" t="s">
        <v>109</v>
      </c>
      <c r="H442" s="33" t="s">
        <v>170</v>
      </c>
      <c r="AU442" s="140">
        <v>0</v>
      </c>
      <c r="AV442" s="23">
        <v>0</v>
      </c>
      <c r="AW442" s="23">
        <v>0</v>
      </c>
      <c r="AX442" s="23">
        <v>0</v>
      </c>
      <c r="AY442" s="194">
        <v>0</v>
      </c>
      <c r="BA442" s="34" t="str">
        <f t="shared" ca="1" si="54"/>
        <v>Scotland</v>
      </c>
      <c r="BB442" s="34" t="str">
        <f t="shared" si="55"/>
        <v>Fixed Inputs</v>
      </c>
      <c r="BC442" s="34" t="str">
        <f t="shared" si="60"/>
        <v>Variant allowances</v>
      </c>
      <c r="BD442" s="34" t="str">
        <f t="shared" si="57"/>
        <v>Totex variant allowances allocation percentages</v>
      </c>
    </row>
    <row r="443" spans="5:56" x14ac:dyDescent="0.35">
      <c r="E443" s="193" t="str" cm="1">
        <f t="array" ref="E443">INDEX($E$99:$E$202,INT((ROW()-ROW($E$205))/5)+1)</f>
        <v>Spare 4</v>
      </c>
      <c r="G443" s="33" t="s">
        <v>109</v>
      </c>
      <c r="H443" s="33" t="s">
        <v>171</v>
      </c>
      <c r="AU443" s="140">
        <v>0</v>
      </c>
      <c r="AV443" s="23">
        <v>0</v>
      </c>
      <c r="AW443" s="23">
        <v>0</v>
      </c>
      <c r="AX443" s="23">
        <v>0</v>
      </c>
      <c r="AY443" s="194">
        <v>0</v>
      </c>
      <c r="BA443" s="34" t="str">
        <f t="shared" ca="1" si="54"/>
        <v>Scotland</v>
      </c>
      <c r="BB443" s="34" t="str">
        <f t="shared" si="55"/>
        <v>Fixed Inputs</v>
      </c>
      <c r="BC443" s="34" t="str">
        <f t="shared" si="60"/>
        <v>Variant allowances</v>
      </c>
      <c r="BD443" s="34" t="str">
        <f t="shared" si="57"/>
        <v>Totex variant allowances allocation percentages</v>
      </c>
    </row>
    <row r="444" spans="5:56" x14ac:dyDescent="0.35">
      <c r="E444" s="195" t="str" cm="1">
        <f t="array" ref="E444">INDEX($E$99:$E$202,INT((ROW()-ROW($E$205))/5)+1)</f>
        <v>Spare 4</v>
      </c>
      <c r="F444" s="196"/>
      <c r="G444" s="196" t="s">
        <v>109</v>
      </c>
      <c r="H444" s="196" t="s">
        <v>172</v>
      </c>
      <c r="I444" s="196"/>
      <c r="J444" s="196"/>
      <c r="K444" s="196"/>
      <c r="L444" s="196"/>
      <c r="M444" s="196"/>
      <c r="N444" s="196"/>
      <c r="O444" s="196"/>
      <c r="P444" s="196"/>
      <c r="Q444" s="196"/>
      <c r="R444" s="196"/>
      <c r="S444" s="196"/>
      <c r="T444" s="196"/>
      <c r="U444" s="196"/>
      <c r="V444" s="196"/>
      <c r="W444" s="196"/>
      <c r="X444" s="196"/>
      <c r="Y444" s="196"/>
      <c r="Z444" s="196"/>
      <c r="AA444" s="196"/>
      <c r="AB444" s="196"/>
      <c r="AC444" s="196"/>
      <c r="AD444" s="196"/>
      <c r="AE444" s="196"/>
      <c r="AF444" s="196"/>
      <c r="AG444" s="196"/>
      <c r="AH444" s="196"/>
      <c r="AI444" s="196"/>
      <c r="AJ444" s="196"/>
      <c r="AK444" s="196"/>
      <c r="AL444" s="196"/>
      <c r="AM444" s="196"/>
      <c r="AN444" s="196"/>
      <c r="AO444" s="196"/>
      <c r="AP444" s="196"/>
      <c r="AQ444" s="196"/>
      <c r="AR444" s="196"/>
      <c r="AS444" s="196"/>
      <c r="AT444" s="208"/>
      <c r="AU444" s="198">
        <v>0</v>
      </c>
      <c r="AV444" s="199">
        <v>0</v>
      </c>
      <c r="AW444" s="199">
        <v>0</v>
      </c>
      <c r="AX444" s="199">
        <v>0</v>
      </c>
      <c r="AY444" s="200">
        <v>0</v>
      </c>
      <c r="BA444" s="34" t="str">
        <f t="shared" ca="1" si="54"/>
        <v>Scotland</v>
      </c>
      <c r="BB444" s="34" t="str">
        <f t="shared" si="55"/>
        <v>Fixed Inputs</v>
      </c>
      <c r="BC444" s="34" t="str">
        <f t="shared" si="60"/>
        <v>Variant allowances</v>
      </c>
      <c r="BD444" s="34" t="str">
        <f t="shared" si="57"/>
        <v>Totex variant allowances allocation percentages</v>
      </c>
    </row>
    <row r="445" spans="5:56" x14ac:dyDescent="0.35">
      <c r="E445" s="187" t="str" cm="1">
        <f t="array" ref="E445">INDEX($E$99:$E$202,INT((ROW()-ROW($E$205))/5)+1)</f>
        <v>Spare 5</v>
      </c>
      <c r="F445" s="188"/>
      <c r="G445" s="188" t="s">
        <v>109</v>
      </c>
      <c r="H445" s="188" t="s">
        <v>168</v>
      </c>
      <c r="I445" s="188"/>
      <c r="J445" s="188"/>
      <c r="K445" s="188"/>
      <c r="L445" s="188"/>
      <c r="M445" s="188"/>
      <c r="N445" s="188"/>
      <c r="O445" s="188"/>
      <c r="P445" s="188"/>
      <c r="Q445" s="188"/>
      <c r="R445" s="188"/>
      <c r="S445" s="188"/>
      <c r="T445" s="188"/>
      <c r="U445" s="188"/>
      <c r="V445" s="188"/>
      <c r="W445" s="188"/>
      <c r="X445" s="188"/>
      <c r="Y445" s="188"/>
      <c r="Z445" s="188"/>
      <c r="AA445" s="188"/>
      <c r="AB445" s="188"/>
      <c r="AC445" s="188"/>
      <c r="AD445" s="188"/>
      <c r="AE445" s="188"/>
      <c r="AF445" s="188"/>
      <c r="AG445" s="188"/>
      <c r="AH445" s="188"/>
      <c r="AI445" s="188"/>
      <c r="AJ445" s="188"/>
      <c r="AK445" s="188"/>
      <c r="AL445" s="188"/>
      <c r="AM445" s="188"/>
      <c r="AN445" s="188"/>
      <c r="AO445" s="188"/>
      <c r="AP445" s="188"/>
      <c r="AQ445" s="188"/>
      <c r="AR445" s="188"/>
      <c r="AS445" s="188"/>
      <c r="AT445" s="202"/>
      <c r="AU445" s="190">
        <v>0</v>
      </c>
      <c r="AV445" s="191">
        <v>0</v>
      </c>
      <c r="AW445" s="191">
        <v>0</v>
      </c>
      <c r="AX445" s="191">
        <v>0</v>
      </c>
      <c r="AY445" s="192">
        <v>0</v>
      </c>
      <c r="BA445" s="34" t="str">
        <f t="shared" ca="1" si="54"/>
        <v>Scotland</v>
      </c>
      <c r="BB445" s="34" t="str">
        <f t="shared" si="55"/>
        <v>Fixed Inputs</v>
      </c>
      <c r="BC445" s="34" t="str">
        <f t="shared" si="60"/>
        <v>Variant allowances</v>
      </c>
      <c r="BD445" s="34" t="str">
        <f t="shared" si="57"/>
        <v>Totex variant allowances allocation percentages</v>
      </c>
    </row>
    <row r="446" spans="5:56" x14ac:dyDescent="0.35">
      <c r="E446" s="193" t="str" cm="1">
        <f t="array" ref="E446">INDEX($E$99:$E$202,INT((ROW()-ROW($E$205))/5)+1)</f>
        <v>Spare 5</v>
      </c>
      <c r="G446" s="33" t="s">
        <v>109</v>
      </c>
      <c r="H446" s="33" t="s">
        <v>169</v>
      </c>
      <c r="AU446" s="140">
        <v>0</v>
      </c>
      <c r="AV446" s="23">
        <v>0</v>
      </c>
      <c r="AW446" s="23">
        <v>0</v>
      </c>
      <c r="AX446" s="23">
        <v>0</v>
      </c>
      <c r="AY446" s="194">
        <v>0</v>
      </c>
      <c r="BA446" s="34" t="str">
        <f t="shared" ca="1" si="54"/>
        <v>Scotland</v>
      </c>
      <c r="BB446" s="34" t="str">
        <f t="shared" si="55"/>
        <v>Fixed Inputs</v>
      </c>
      <c r="BC446" s="34" t="str">
        <f t="shared" si="60"/>
        <v>Variant allowances</v>
      </c>
      <c r="BD446" s="34" t="str">
        <f t="shared" si="57"/>
        <v>Totex variant allowances allocation percentages</v>
      </c>
    </row>
    <row r="447" spans="5:56" x14ac:dyDescent="0.35">
      <c r="E447" s="193" t="str" cm="1">
        <f t="array" ref="E447">INDEX($E$99:$E$202,INT((ROW()-ROW($E$205))/5)+1)</f>
        <v>Spare 5</v>
      </c>
      <c r="G447" s="33" t="s">
        <v>109</v>
      </c>
      <c r="H447" s="33" t="s">
        <v>170</v>
      </c>
      <c r="AU447" s="140">
        <v>0</v>
      </c>
      <c r="AV447" s="23">
        <v>0</v>
      </c>
      <c r="AW447" s="23">
        <v>0</v>
      </c>
      <c r="AX447" s="23">
        <v>0</v>
      </c>
      <c r="AY447" s="194">
        <v>0</v>
      </c>
      <c r="BA447" s="34" t="str">
        <f t="shared" ca="1" si="54"/>
        <v>Scotland</v>
      </c>
      <c r="BB447" s="34" t="str">
        <f t="shared" si="55"/>
        <v>Fixed Inputs</v>
      </c>
      <c r="BC447" s="34" t="str">
        <f t="shared" si="60"/>
        <v>Variant allowances</v>
      </c>
      <c r="BD447" s="34" t="str">
        <f t="shared" si="57"/>
        <v>Totex variant allowances allocation percentages</v>
      </c>
    </row>
    <row r="448" spans="5:56" x14ac:dyDescent="0.35">
      <c r="E448" s="193" t="str" cm="1">
        <f t="array" ref="E448">INDEX($E$99:$E$202,INT((ROW()-ROW($E$205))/5)+1)</f>
        <v>Spare 5</v>
      </c>
      <c r="G448" s="33" t="s">
        <v>109</v>
      </c>
      <c r="H448" s="33" t="s">
        <v>171</v>
      </c>
      <c r="AU448" s="140">
        <v>0</v>
      </c>
      <c r="AV448" s="23">
        <v>0</v>
      </c>
      <c r="AW448" s="23">
        <v>0</v>
      </c>
      <c r="AX448" s="23">
        <v>0</v>
      </c>
      <c r="AY448" s="194">
        <v>0</v>
      </c>
      <c r="BA448" s="34" t="str">
        <f t="shared" ca="1" si="54"/>
        <v>Scotland</v>
      </c>
      <c r="BB448" s="34" t="str">
        <f t="shared" si="55"/>
        <v>Fixed Inputs</v>
      </c>
      <c r="BC448" s="34" t="str">
        <f t="shared" si="60"/>
        <v>Variant allowances</v>
      </c>
      <c r="BD448" s="34" t="str">
        <f t="shared" si="57"/>
        <v>Totex variant allowances allocation percentages</v>
      </c>
    </row>
    <row r="449" spans="2:56" x14ac:dyDescent="0.35">
      <c r="E449" s="195" t="str" cm="1">
        <f t="array" ref="E449">INDEX($E$99:$E$202,INT((ROW()-ROW($E$205))/5)+1)</f>
        <v>Spare 5</v>
      </c>
      <c r="F449" s="196"/>
      <c r="G449" s="196" t="s">
        <v>109</v>
      </c>
      <c r="H449" s="196" t="s">
        <v>172</v>
      </c>
      <c r="I449" s="196"/>
      <c r="J449" s="196"/>
      <c r="K449" s="196"/>
      <c r="L449" s="196"/>
      <c r="M449" s="196"/>
      <c r="N449" s="196"/>
      <c r="O449" s="196"/>
      <c r="P449" s="196"/>
      <c r="Q449" s="196"/>
      <c r="R449" s="196"/>
      <c r="S449" s="196"/>
      <c r="T449" s="196"/>
      <c r="U449" s="196"/>
      <c r="V449" s="196"/>
      <c r="W449" s="196"/>
      <c r="X449" s="196"/>
      <c r="Y449" s="196"/>
      <c r="Z449" s="196"/>
      <c r="AA449" s="196"/>
      <c r="AB449" s="196"/>
      <c r="AC449" s="196"/>
      <c r="AD449" s="196"/>
      <c r="AE449" s="196"/>
      <c r="AF449" s="196"/>
      <c r="AG449" s="196"/>
      <c r="AH449" s="196"/>
      <c r="AI449" s="196"/>
      <c r="AJ449" s="196"/>
      <c r="AK449" s="196"/>
      <c r="AL449" s="196"/>
      <c r="AM449" s="196"/>
      <c r="AN449" s="196"/>
      <c r="AO449" s="196"/>
      <c r="AP449" s="196"/>
      <c r="AQ449" s="196"/>
      <c r="AR449" s="196"/>
      <c r="AS449" s="196"/>
      <c r="AT449" s="208"/>
      <c r="AU449" s="198">
        <v>0</v>
      </c>
      <c r="AV449" s="199">
        <v>0</v>
      </c>
      <c r="AW449" s="199">
        <v>0</v>
      </c>
      <c r="AX449" s="199">
        <v>0</v>
      </c>
      <c r="AY449" s="200">
        <v>0</v>
      </c>
      <c r="BA449" s="34" t="str">
        <f t="shared" ca="1" si="54"/>
        <v>Scotland</v>
      </c>
      <c r="BB449" s="34" t="str">
        <f t="shared" si="55"/>
        <v>Fixed Inputs</v>
      </c>
      <c r="BC449" s="34" t="str">
        <f t="shared" si="60"/>
        <v>Variant allowances</v>
      </c>
      <c r="BD449" s="34" t="str">
        <f t="shared" si="57"/>
        <v>Totex variant allowances allocation percentages</v>
      </c>
    </row>
    <row r="450" spans="2:56" x14ac:dyDescent="0.35">
      <c r="E450" s="187" t="str" cm="1">
        <f t="array" ref="E450">INDEX($E$99:$E$202,INT((ROW()-ROW($E$205))/5)+1)</f>
        <v>Spare 6</v>
      </c>
      <c r="F450" s="188"/>
      <c r="G450" s="188" t="s">
        <v>109</v>
      </c>
      <c r="H450" s="188" t="s">
        <v>168</v>
      </c>
      <c r="I450" s="188"/>
      <c r="J450" s="188"/>
      <c r="K450" s="188"/>
      <c r="L450" s="188"/>
      <c r="M450" s="188"/>
      <c r="N450" s="188"/>
      <c r="O450" s="188"/>
      <c r="P450" s="188"/>
      <c r="Q450" s="188"/>
      <c r="R450" s="188"/>
      <c r="S450" s="188"/>
      <c r="T450" s="188"/>
      <c r="U450" s="188"/>
      <c r="V450" s="188"/>
      <c r="W450" s="188"/>
      <c r="X450" s="188"/>
      <c r="Y450" s="188"/>
      <c r="Z450" s="188"/>
      <c r="AA450" s="188"/>
      <c r="AB450" s="188"/>
      <c r="AC450" s="188"/>
      <c r="AD450" s="188"/>
      <c r="AE450" s="188"/>
      <c r="AF450" s="188"/>
      <c r="AG450" s="188"/>
      <c r="AH450" s="188"/>
      <c r="AI450" s="188"/>
      <c r="AJ450" s="188"/>
      <c r="AK450" s="188"/>
      <c r="AL450" s="188"/>
      <c r="AM450" s="188"/>
      <c r="AN450" s="188"/>
      <c r="AO450" s="188"/>
      <c r="AP450" s="188"/>
      <c r="AQ450" s="188"/>
      <c r="AR450" s="188"/>
      <c r="AS450" s="188"/>
      <c r="AT450" s="202"/>
      <c r="AU450" s="190">
        <v>0</v>
      </c>
      <c r="AV450" s="191">
        <v>0</v>
      </c>
      <c r="AW450" s="191">
        <v>0</v>
      </c>
      <c r="AX450" s="191">
        <v>0</v>
      </c>
      <c r="AY450" s="192">
        <v>0</v>
      </c>
      <c r="BA450" s="34" t="str">
        <f t="shared" ca="1" si="54"/>
        <v>Scotland</v>
      </c>
      <c r="BB450" s="34" t="str">
        <f t="shared" si="55"/>
        <v>Fixed Inputs</v>
      </c>
      <c r="BC450" s="34" t="str">
        <f t="shared" si="60"/>
        <v>Variant allowances</v>
      </c>
      <c r="BD450" s="34" t="str">
        <f t="shared" si="57"/>
        <v>Totex variant allowances allocation percentages</v>
      </c>
    </row>
    <row r="451" spans="2:56" x14ac:dyDescent="0.35">
      <c r="E451" s="193" t="str" cm="1">
        <f t="array" ref="E451">INDEX($E$99:$E$202,INT((ROW()-ROW($E$205))/5)+1)</f>
        <v>Spare 6</v>
      </c>
      <c r="G451" s="33" t="s">
        <v>109</v>
      </c>
      <c r="H451" s="33" t="s">
        <v>169</v>
      </c>
      <c r="AU451" s="140">
        <v>0</v>
      </c>
      <c r="AV451" s="23">
        <v>0</v>
      </c>
      <c r="AW451" s="23">
        <v>0</v>
      </c>
      <c r="AX451" s="23">
        <v>0</v>
      </c>
      <c r="AY451" s="194">
        <v>0</v>
      </c>
      <c r="BA451" s="34" t="str">
        <f t="shared" ca="1" si="54"/>
        <v>Scotland</v>
      </c>
      <c r="BB451" s="34" t="str">
        <f t="shared" si="55"/>
        <v>Fixed Inputs</v>
      </c>
      <c r="BC451" s="34" t="str">
        <f t="shared" si="60"/>
        <v>Variant allowances</v>
      </c>
      <c r="BD451" s="34" t="str">
        <f t="shared" si="57"/>
        <v>Totex variant allowances allocation percentages</v>
      </c>
    </row>
    <row r="452" spans="2:56" x14ac:dyDescent="0.35">
      <c r="E452" s="193" t="str" cm="1">
        <f t="array" ref="E452">INDEX($E$99:$E$202,INT((ROW()-ROW($E$205))/5)+1)</f>
        <v>Spare 6</v>
      </c>
      <c r="G452" s="33" t="s">
        <v>109</v>
      </c>
      <c r="H452" s="33" t="s">
        <v>170</v>
      </c>
      <c r="AU452" s="140">
        <v>0</v>
      </c>
      <c r="AV452" s="23">
        <v>0</v>
      </c>
      <c r="AW452" s="23">
        <v>0</v>
      </c>
      <c r="AX452" s="23">
        <v>0</v>
      </c>
      <c r="AY452" s="194">
        <v>0</v>
      </c>
      <c r="BA452" s="34" t="str">
        <f t="shared" ca="1" si="54"/>
        <v>Scotland</v>
      </c>
      <c r="BB452" s="34" t="str">
        <f t="shared" si="55"/>
        <v>Fixed Inputs</v>
      </c>
      <c r="BC452" s="34" t="str">
        <f t="shared" si="60"/>
        <v>Variant allowances</v>
      </c>
      <c r="BD452" s="34" t="str">
        <f t="shared" si="57"/>
        <v>Totex variant allowances allocation percentages</v>
      </c>
    </row>
    <row r="453" spans="2:56" x14ac:dyDescent="0.35">
      <c r="E453" s="193" t="str" cm="1">
        <f t="array" ref="E453">INDEX($E$99:$E$202,INT((ROW()-ROW($E$205))/5)+1)</f>
        <v>Spare 6</v>
      </c>
      <c r="G453" s="33" t="s">
        <v>109</v>
      </c>
      <c r="H453" s="33" t="s">
        <v>171</v>
      </c>
      <c r="AU453" s="140">
        <v>0</v>
      </c>
      <c r="AV453" s="23">
        <v>0</v>
      </c>
      <c r="AW453" s="23">
        <v>0</v>
      </c>
      <c r="AX453" s="23">
        <v>0</v>
      </c>
      <c r="AY453" s="194">
        <v>0</v>
      </c>
      <c r="BA453" s="34" t="str">
        <f t="shared" ca="1" si="54"/>
        <v>Scotland</v>
      </c>
      <c r="BB453" s="34" t="str">
        <f t="shared" si="55"/>
        <v>Fixed Inputs</v>
      </c>
      <c r="BC453" s="34" t="str">
        <f t="shared" si="60"/>
        <v>Variant allowances</v>
      </c>
      <c r="BD453" s="34" t="str">
        <f t="shared" si="57"/>
        <v>Totex variant allowances allocation percentages</v>
      </c>
    </row>
    <row r="454" spans="2:56" x14ac:dyDescent="0.35">
      <c r="E454" s="195" t="str" cm="1">
        <f t="array" ref="E454">INDEX($E$99:$E$202,INT((ROW()-ROW($E$205))/5)+1)</f>
        <v>Spare 6</v>
      </c>
      <c r="F454" s="196"/>
      <c r="G454" s="196" t="s">
        <v>109</v>
      </c>
      <c r="H454" s="196" t="s">
        <v>172</v>
      </c>
      <c r="I454" s="196"/>
      <c r="J454" s="196"/>
      <c r="K454" s="196"/>
      <c r="L454" s="196"/>
      <c r="M454" s="196"/>
      <c r="N454" s="196"/>
      <c r="O454" s="196"/>
      <c r="P454" s="196"/>
      <c r="Q454" s="196"/>
      <c r="R454" s="196"/>
      <c r="S454" s="196"/>
      <c r="T454" s="196"/>
      <c r="U454" s="196"/>
      <c r="V454" s="196"/>
      <c r="W454" s="196"/>
      <c r="X454" s="196"/>
      <c r="Y454" s="196"/>
      <c r="Z454" s="196"/>
      <c r="AA454" s="196"/>
      <c r="AB454" s="196"/>
      <c r="AC454" s="196"/>
      <c r="AD454" s="196"/>
      <c r="AE454" s="196"/>
      <c r="AF454" s="196"/>
      <c r="AG454" s="196"/>
      <c r="AH454" s="196"/>
      <c r="AI454" s="196"/>
      <c r="AJ454" s="196"/>
      <c r="AK454" s="196"/>
      <c r="AL454" s="196"/>
      <c r="AM454" s="196"/>
      <c r="AN454" s="196"/>
      <c r="AO454" s="196"/>
      <c r="AP454" s="196"/>
      <c r="AQ454" s="196"/>
      <c r="AR454" s="196"/>
      <c r="AS454" s="196"/>
      <c r="AT454" s="208"/>
      <c r="AU454" s="198">
        <v>0</v>
      </c>
      <c r="AV454" s="199">
        <v>0</v>
      </c>
      <c r="AW454" s="199">
        <v>0</v>
      </c>
      <c r="AX454" s="199">
        <v>0</v>
      </c>
      <c r="AY454" s="200">
        <v>0</v>
      </c>
      <c r="BA454" s="34" t="str">
        <f t="shared" ca="1" si="54"/>
        <v>Scotland</v>
      </c>
      <c r="BB454" s="34" t="str">
        <f t="shared" si="55"/>
        <v>Fixed Inputs</v>
      </c>
      <c r="BC454" s="34" t="str">
        <f t="shared" si="60"/>
        <v>Variant allowances</v>
      </c>
      <c r="BD454" s="34" t="str">
        <f t="shared" si="57"/>
        <v>Totex variant allowances allocation percentages</v>
      </c>
    </row>
    <row r="455" spans="2:56" x14ac:dyDescent="0.35">
      <c r="AU455"/>
      <c r="AV455"/>
      <c r="AW455"/>
      <c r="AX455"/>
      <c r="AY455"/>
    </row>
    <row r="456" spans="2:56" ht="17.5" thickBot="1" x14ac:dyDescent="0.4">
      <c r="B456" s="8" t="s">
        <v>174</v>
      </c>
    </row>
    <row r="457" spans="2:56" ht="17" thickTop="1" thickBot="1" x14ac:dyDescent="0.4">
      <c r="C457" s="9" t="s">
        <v>175</v>
      </c>
    </row>
    <row r="458" spans="2:56" x14ac:dyDescent="0.35">
      <c r="E458" s="33" t="s">
        <v>176</v>
      </c>
      <c r="G458" s="33" t="str">
        <f>price_label</f>
        <v>£m 23/24 prices</v>
      </c>
      <c r="AU458" s="139">
        <v>3.5402390683891056</v>
      </c>
      <c r="AV458" s="22">
        <v>3.0501931150341823</v>
      </c>
      <c r="AW458" s="22">
        <v>2.5895698466230046</v>
      </c>
      <c r="AX458" s="22">
        <v>2.5871066352145871</v>
      </c>
      <c r="AY458" s="22">
        <v>2.6839984496996454</v>
      </c>
      <c r="BA458" s="34" t="str">
        <f t="shared" ref="BA458:BA462" ca="1" si="61">$A$1</f>
        <v>Scotland</v>
      </c>
      <c r="BB458" s="34" t="str">
        <f t="shared" ref="BB458:BB462" si="62">$A$150</f>
        <v>Fixed Inputs</v>
      </c>
      <c r="BC458" s="34" t="str">
        <f>$B$456</f>
        <v>Totex allowance</v>
      </c>
      <c r="BD458" s="34" t="str">
        <f>$C$457</f>
        <v>Non-variant allowances</v>
      </c>
    </row>
    <row r="459" spans="2:56" x14ac:dyDescent="0.35">
      <c r="E459" s="33" t="s">
        <v>177</v>
      </c>
      <c r="G459" s="33" t="str">
        <f>price_label</f>
        <v>£m 23/24 prices</v>
      </c>
      <c r="AU459" s="139">
        <v>36.722051194398162</v>
      </c>
      <c r="AV459" s="22">
        <v>39.871822655688462</v>
      </c>
      <c r="AW459" s="22">
        <v>39.267847096578222</v>
      </c>
      <c r="AX459" s="22">
        <v>30.038708454622835</v>
      </c>
      <c r="AY459" s="22">
        <v>25.188320891193055</v>
      </c>
      <c r="BA459" s="34" t="str">
        <f t="shared" ca="1" si="61"/>
        <v>Scotland</v>
      </c>
      <c r="BB459" s="34" t="str">
        <f t="shared" si="62"/>
        <v>Fixed Inputs</v>
      </c>
      <c r="BC459" s="34" t="str">
        <f t="shared" ref="BC459:BC462" si="63">$B$456</f>
        <v>Totex allowance</v>
      </c>
      <c r="BD459" s="34" t="str">
        <f t="shared" ref="BD459:BD462" si="64">$C$457</f>
        <v>Non-variant allowances</v>
      </c>
    </row>
    <row r="460" spans="2:56" x14ac:dyDescent="0.35">
      <c r="E460" s="33" t="s">
        <v>178</v>
      </c>
      <c r="G460" s="33" t="str">
        <f>price_label</f>
        <v>£m 23/24 prices</v>
      </c>
      <c r="AU460" s="139">
        <v>13.777629902832262</v>
      </c>
      <c r="AV460" s="22">
        <v>13.61145589245713</v>
      </c>
      <c r="AW460" s="22">
        <v>14.142057363017287</v>
      </c>
      <c r="AX460" s="22">
        <v>15.20684071411436</v>
      </c>
      <c r="AY460" s="22">
        <v>13.011966642298292</v>
      </c>
      <c r="BA460" s="34" t="str">
        <f t="shared" ca="1" si="61"/>
        <v>Scotland</v>
      </c>
      <c r="BB460" s="34" t="str">
        <f t="shared" si="62"/>
        <v>Fixed Inputs</v>
      </c>
      <c r="BC460" s="34" t="str">
        <f t="shared" si="63"/>
        <v>Totex allowance</v>
      </c>
      <c r="BD460" s="34" t="str">
        <f t="shared" si="64"/>
        <v>Non-variant allowances</v>
      </c>
    </row>
    <row r="461" spans="2:56" x14ac:dyDescent="0.35">
      <c r="E461" s="33" t="s">
        <v>179</v>
      </c>
      <c r="G461" s="33" t="str">
        <f>price_label</f>
        <v>£m 23/24 prices</v>
      </c>
      <c r="AU461" s="139">
        <v>86.277023320972546</v>
      </c>
      <c r="AV461" s="22">
        <v>86.758188369471014</v>
      </c>
      <c r="AW461" s="22">
        <v>86.427928116231257</v>
      </c>
      <c r="AX461" s="22">
        <v>85.410347364856705</v>
      </c>
      <c r="AY461" s="22">
        <v>84.505706887154588</v>
      </c>
      <c r="BA461" s="34" t="str">
        <f t="shared" ca="1" si="61"/>
        <v>Scotland</v>
      </c>
      <c r="BB461" s="34" t="str">
        <f t="shared" si="62"/>
        <v>Fixed Inputs</v>
      </c>
      <c r="BC461" s="34" t="str">
        <f t="shared" si="63"/>
        <v>Totex allowance</v>
      </c>
      <c r="BD461" s="34" t="str">
        <f t="shared" si="64"/>
        <v>Non-variant allowances</v>
      </c>
    </row>
    <row r="462" spans="2:56" x14ac:dyDescent="0.35">
      <c r="E462" s="33" t="s">
        <v>180</v>
      </c>
      <c r="G462" s="33" t="str">
        <f>price_label</f>
        <v>£m 23/24 prices</v>
      </c>
      <c r="AU462" s="139">
        <v>1.6905313381244582</v>
      </c>
      <c r="AV462" s="22">
        <v>2.1547820980217836</v>
      </c>
      <c r="AW462" s="22">
        <v>2.0752876571834236</v>
      </c>
      <c r="AX462" s="22">
        <v>2.0346926700608918</v>
      </c>
      <c r="AY462" s="22">
        <v>2.0142145553303692</v>
      </c>
      <c r="BA462" s="34" t="str">
        <f t="shared" ca="1" si="61"/>
        <v>Scotland</v>
      </c>
      <c r="BB462" s="34" t="str">
        <f t="shared" si="62"/>
        <v>Fixed Inputs</v>
      </c>
      <c r="BC462" s="34" t="str">
        <f t="shared" si="63"/>
        <v>Totex allowance</v>
      </c>
      <c r="BD462" s="34" t="str">
        <f t="shared" si="64"/>
        <v>Non-variant allowances</v>
      </c>
    </row>
    <row r="463" spans="2:56" x14ac:dyDescent="0.35"/>
    <row r="464" spans="2:56" ht="17.5" thickBot="1" x14ac:dyDescent="0.4">
      <c r="B464" s="8" t="s">
        <v>49</v>
      </c>
    </row>
    <row r="465" spans="2:56" ht="16.5" thickTop="1" x14ac:dyDescent="0.35">
      <c r="E465" s="33" t="s">
        <v>409</v>
      </c>
      <c r="G465" s="33" t="str">
        <f>price_label</f>
        <v>£m 23/24 prices</v>
      </c>
      <c r="H465" s="33" t="s">
        <v>181</v>
      </c>
      <c r="AU465" s="139">
        <v>-0.8</v>
      </c>
      <c r="AV465" s="22">
        <v>-0.80500000000000005</v>
      </c>
      <c r="AW465" s="22">
        <v>-0.80700000000000005</v>
      </c>
      <c r="AX465" s="22">
        <v>-0.80400000000000005</v>
      </c>
      <c r="AY465" s="22">
        <v>-0.79700000000000004</v>
      </c>
      <c r="BA465" s="34" t="str">
        <f t="shared" ref="BA465" ca="1" si="65">$A$1</f>
        <v>Scotland</v>
      </c>
      <c r="BB465" s="34" t="str">
        <f>$A$150</f>
        <v>Fixed Inputs</v>
      </c>
      <c r="BC465" s="34" t="str">
        <f>$B$464</f>
        <v>Incentive revenue</v>
      </c>
    </row>
    <row r="466" spans="2:56" x14ac:dyDescent="0.35"/>
    <row r="467" spans="2:56" ht="17.5" thickBot="1" x14ac:dyDescent="0.4">
      <c r="B467" s="8" t="s">
        <v>843</v>
      </c>
    </row>
    <row r="468" spans="2:56" ht="16.5" thickTop="1" x14ac:dyDescent="0.35">
      <c r="E468" s="33" t="s">
        <v>183</v>
      </c>
      <c r="G468" s="33" t="str">
        <f>price_label</f>
        <v>£m 23/24 prices</v>
      </c>
      <c r="AU468" s="139">
        <v>1.5073476235385441</v>
      </c>
      <c r="AV468" s="22">
        <v>1.5777854665626652</v>
      </c>
      <c r="AW468" s="22">
        <v>1.6130806242112121</v>
      </c>
      <c r="AX468" s="22">
        <v>1.6124484596230519</v>
      </c>
      <c r="AY468" s="22">
        <v>1.6130229169488854</v>
      </c>
      <c r="BA468" s="34" t="str">
        <f t="shared" ref="BA468:BA553" ca="1" si="66">$A$1</f>
        <v>Scotland</v>
      </c>
      <c r="BB468" s="34" t="str">
        <f>$A$150</f>
        <v>Fixed Inputs</v>
      </c>
      <c r="BC468" s="34" t="str">
        <f>$B$467</f>
        <v>Tax trigger</v>
      </c>
    </row>
    <row r="469" spans="2:56" customFormat="1" ht="14.5" x14ac:dyDescent="0.35">
      <c r="AT469" s="61"/>
    </row>
    <row r="470" spans="2:56" ht="17.5" thickBot="1" x14ac:dyDescent="0.4">
      <c r="B470" s="8" t="s">
        <v>187</v>
      </c>
    </row>
    <row r="471" spans="2:56" ht="17" thickTop="1" thickBot="1" x14ac:dyDescent="0.4">
      <c r="C471" s="9" t="s">
        <v>188</v>
      </c>
    </row>
    <row r="472" spans="2:56" x14ac:dyDescent="0.35">
      <c r="E472" s="33" t="s">
        <v>412</v>
      </c>
      <c r="G472" s="33" t="str">
        <f>price_label</f>
        <v>£m 23/24 prices</v>
      </c>
      <c r="J472" s="33" t="s">
        <v>13</v>
      </c>
      <c r="AH472" s="22">
        <v>1398.6437346002203</v>
      </c>
      <c r="BA472" s="34" t="str">
        <f t="shared" ref="BA472:BA478" ca="1" si="67">$A$1</f>
        <v>Scotland</v>
      </c>
      <c r="BB472" s="34" t="str">
        <f t="shared" ref="BB472:BB478" si="68">$A$150</f>
        <v>Fixed Inputs</v>
      </c>
      <c r="BC472" s="34" t="str">
        <f>$B$470</f>
        <v>RAV and assets</v>
      </c>
      <c r="BD472" s="34" t="str">
        <f>$C$471</f>
        <v>Pre-vesting assets</v>
      </c>
    </row>
    <row r="473" spans="2:56" x14ac:dyDescent="0.35">
      <c r="E473" s="33" t="s">
        <v>189</v>
      </c>
      <c r="G473" s="33" t="s">
        <v>190</v>
      </c>
      <c r="I473" s="24">
        <v>56</v>
      </c>
      <c r="BA473" s="34" t="str">
        <f t="shared" ca="1" si="67"/>
        <v>Scotland</v>
      </c>
      <c r="BB473" s="34" t="str">
        <f t="shared" si="68"/>
        <v>Fixed Inputs</v>
      </c>
      <c r="BC473" s="34" t="str">
        <f t="shared" ref="BC473:BC478" si="69">$B$470</f>
        <v>RAV and assets</v>
      </c>
      <c r="BD473" s="34" t="str">
        <f t="shared" ref="BD473:BD478" si="70">$C$471</f>
        <v>Pre-vesting assets</v>
      </c>
    </row>
    <row r="474" spans="2:56" x14ac:dyDescent="0.35">
      <c r="E474" s="33" t="s">
        <v>191</v>
      </c>
      <c r="G474" s="33" t="str">
        <f>price_label</f>
        <v>£m 23/24 prices</v>
      </c>
      <c r="AH474" s="22">
        <v>0.32595209977257916</v>
      </c>
      <c r="AI474" s="22">
        <v>-0.32704485562675989</v>
      </c>
      <c r="AJ474" s="22">
        <v>0</v>
      </c>
      <c r="AK474" s="22">
        <v>0</v>
      </c>
      <c r="AL474" s="22">
        <v>0</v>
      </c>
      <c r="AM474" s="22">
        <v>0</v>
      </c>
      <c r="AN474" s="22">
        <v>0</v>
      </c>
      <c r="AO474" s="22">
        <v>0</v>
      </c>
      <c r="AP474" s="22"/>
      <c r="AQ474" s="22"/>
      <c r="AR474" s="22"/>
      <c r="AS474" s="22"/>
      <c r="AT474" s="63"/>
      <c r="AU474" s="139"/>
      <c r="AV474" s="22"/>
      <c r="AW474" s="22"/>
      <c r="AX474" s="22"/>
      <c r="AY474" s="22"/>
      <c r="BA474" s="34" t="str">
        <f t="shared" ca="1" si="67"/>
        <v>Scotland</v>
      </c>
      <c r="BB474" s="34" t="str">
        <f t="shared" si="68"/>
        <v>Fixed Inputs</v>
      </c>
      <c r="BC474" s="34" t="str">
        <f t="shared" si="69"/>
        <v>RAV and assets</v>
      </c>
      <c r="BD474" s="34" t="str">
        <f t="shared" si="70"/>
        <v>Pre-vesting assets</v>
      </c>
    </row>
    <row r="475" spans="2:56" x14ac:dyDescent="0.35">
      <c r="E475" s="33" t="s">
        <v>272</v>
      </c>
      <c r="G475" s="33" t="s">
        <v>190</v>
      </c>
      <c r="AH475" s="24">
        <v>45</v>
      </c>
      <c r="AI475" s="24">
        <v>44</v>
      </c>
      <c r="AJ475" s="24">
        <v>43</v>
      </c>
      <c r="AK475" s="24">
        <v>42</v>
      </c>
      <c r="AL475" s="24">
        <v>41</v>
      </c>
      <c r="AM475" s="24">
        <v>40</v>
      </c>
      <c r="AN475" s="24">
        <v>39</v>
      </c>
      <c r="AO475" s="24">
        <v>38</v>
      </c>
      <c r="AP475" s="24">
        <v>37</v>
      </c>
      <c r="AQ475" s="24">
        <v>36</v>
      </c>
      <c r="AR475" s="24">
        <v>35</v>
      </c>
      <c r="AS475" s="24">
        <v>34</v>
      </c>
      <c r="AT475" s="64">
        <v>33</v>
      </c>
      <c r="AU475" s="142">
        <v>32</v>
      </c>
      <c r="AV475" s="24">
        <v>31</v>
      </c>
      <c r="AW475" s="24">
        <v>30</v>
      </c>
      <c r="AX475" s="24">
        <v>29</v>
      </c>
      <c r="AY475" s="24">
        <v>28</v>
      </c>
      <c r="BA475" s="34" t="str">
        <f t="shared" ca="1" si="67"/>
        <v>Scotland</v>
      </c>
      <c r="BB475" s="34" t="str">
        <f t="shared" si="68"/>
        <v>Fixed Inputs</v>
      </c>
      <c r="BC475" s="34" t="str">
        <f t="shared" si="69"/>
        <v>RAV and assets</v>
      </c>
      <c r="BD475" s="34" t="str">
        <f t="shared" si="70"/>
        <v>Pre-vesting assets</v>
      </c>
    </row>
    <row r="476" spans="2:56" x14ac:dyDescent="0.35"/>
    <row r="477" spans="2:56" ht="16.5" thickBot="1" x14ac:dyDescent="0.4">
      <c r="C477" s="9" t="s">
        <v>192</v>
      </c>
    </row>
    <row r="478" spans="2:56" x14ac:dyDescent="0.35">
      <c r="E478" s="33" t="s">
        <v>558</v>
      </c>
      <c r="G478" s="33" t="str">
        <f>price_label</f>
        <v>£m 23/24 prices</v>
      </c>
      <c r="J478" s="33" t="s">
        <v>13</v>
      </c>
      <c r="AH478" s="22">
        <v>2095.5788454953899</v>
      </c>
      <c r="AI478" s="22">
        <v>2096.4366763908479</v>
      </c>
      <c r="AJ478" s="22">
        <v>2111.1742200829735</v>
      </c>
      <c r="AK478" s="22">
        <v>2139.0912178938702</v>
      </c>
      <c r="AL478" s="22">
        <v>2159.871609026854</v>
      </c>
      <c r="AM478" s="22">
        <v>2183.5361945520353</v>
      </c>
      <c r="AN478" s="22">
        <v>2190.3424327322405</v>
      </c>
      <c r="AO478" s="22">
        <v>2179.7871028770651</v>
      </c>
      <c r="AP478" s="22">
        <v>2192.7447700106682</v>
      </c>
      <c r="AQ478" s="22">
        <v>2214.711822994399</v>
      </c>
      <c r="AR478" s="22">
        <v>2251.2395822747467</v>
      </c>
      <c r="AS478" s="22">
        <v>2283.1835886408285</v>
      </c>
      <c r="AT478" s="63">
        <v>2321.5363073040198</v>
      </c>
      <c r="BA478" s="34" t="str">
        <f t="shared" ca="1" si="67"/>
        <v>Scotland</v>
      </c>
      <c r="BB478" s="34" t="str">
        <f t="shared" si="68"/>
        <v>Fixed Inputs</v>
      </c>
      <c r="BC478" s="34" t="str">
        <f t="shared" si="69"/>
        <v>RAV and assets</v>
      </c>
      <c r="BD478" s="34" t="str">
        <f t="shared" si="70"/>
        <v>Pre-vesting assets</v>
      </c>
    </row>
    <row r="479" spans="2:56" x14ac:dyDescent="0.35"/>
    <row r="480" spans="2:56" x14ac:dyDescent="0.35">
      <c r="E480" s="33" t="s">
        <v>197</v>
      </c>
      <c r="G480" s="33" t="s">
        <v>190</v>
      </c>
      <c r="I480" s="24">
        <v>45</v>
      </c>
      <c r="BA480" s="34" t="str">
        <f t="shared" ref="BA480:BA488" ca="1" si="71">$A$1</f>
        <v>Scotland</v>
      </c>
      <c r="BB480" s="34" t="str">
        <f t="shared" ref="BB480:BB488" si="72">$A$150</f>
        <v>Fixed Inputs</v>
      </c>
      <c r="BC480" s="34" t="str">
        <f t="shared" ref="BC480:BC488" si="73">$B$470</f>
        <v>RAV and assets</v>
      </c>
      <c r="BD480" s="34" t="str">
        <f t="shared" ref="BD480:BD484" si="74">$C$477</f>
        <v>Post-vesting assets</v>
      </c>
    </row>
    <row r="481" spans="3:56" x14ac:dyDescent="0.35">
      <c r="E481" s="33" t="s">
        <v>300</v>
      </c>
      <c r="G481" s="33" t="s">
        <v>109</v>
      </c>
      <c r="J481" s="33" t="s">
        <v>13</v>
      </c>
      <c r="AH481" s="23">
        <v>0.15</v>
      </c>
      <c r="AI481" s="23">
        <v>0.15</v>
      </c>
      <c r="AJ481" s="23">
        <v>2.5000000000000001E-2</v>
      </c>
      <c r="AK481" s="23">
        <v>0</v>
      </c>
      <c r="AL481" s="23">
        <v>0.05</v>
      </c>
      <c r="AM481" s="23">
        <v>0.125</v>
      </c>
      <c r="AN481" s="23">
        <v>0.2</v>
      </c>
      <c r="AO481" s="23">
        <v>0.3</v>
      </c>
      <c r="AP481"/>
      <c r="AQ481"/>
      <c r="AR481"/>
      <c r="AS481"/>
      <c r="AT481" s="61"/>
      <c r="AU481"/>
      <c r="AV481"/>
      <c r="AW481"/>
      <c r="AX481"/>
      <c r="AY481"/>
      <c r="BA481" s="34" t="str">
        <f t="shared" ca="1" si="71"/>
        <v>Scotland</v>
      </c>
      <c r="BB481" s="34" t="str">
        <f t="shared" si="72"/>
        <v>Fixed Inputs</v>
      </c>
      <c r="BC481" s="34" t="str">
        <f t="shared" si="73"/>
        <v>RAV and assets</v>
      </c>
      <c r="BD481" s="34" t="str">
        <f t="shared" si="74"/>
        <v>Post-vesting assets</v>
      </c>
    </row>
    <row r="482" spans="3:56" x14ac:dyDescent="0.35">
      <c r="E482" s="33" t="s">
        <v>413</v>
      </c>
      <c r="G482" s="33" t="s">
        <v>193</v>
      </c>
      <c r="I482" s="25">
        <v>41729</v>
      </c>
      <c r="BA482" s="34" t="str">
        <f t="shared" ca="1" si="71"/>
        <v>Scotland</v>
      </c>
      <c r="BB482" s="34" t="str">
        <f t="shared" si="72"/>
        <v>Fixed Inputs</v>
      </c>
      <c r="BC482" s="34" t="str">
        <f t="shared" si="73"/>
        <v>RAV and assets</v>
      </c>
      <c r="BD482" s="34" t="str">
        <f t="shared" si="74"/>
        <v>Post-vesting assets</v>
      </c>
    </row>
    <row r="483" spans="3:56" x14ac:dyDescent="0.35">
      <c r="E483" s="33" t="s">
        <v>194</v>
      </c>
      <c r="G483" s="33" t="str">
        <f>price_label</f>
        <v>£m 23/24 prices</v>
      </c>
      <c r="J483" s="33" t="s">
        <v>13</v>
      </c>
      <c r="W483" s="22">
        <v>91.905465427581476</v>
      </c>
      <c r="X483" s="22">
        <v>79.115440417778871</v>
      </c>
      <c r="Y483" s="22">
        <v>57.28104057961589</v>
      </c>
      <c r="Z483" s="22">
        <v>66.994243886430311</v>
      </c>
      <c r="AA483" s="22">
        <v>49.644047772208971</v>
      </c>
      <c r="AB483" s="22">
        <v>133.37914749620904</v>
      </c>
      <c r="AC483" s="22">
        <v>144.02328495601324</v>
      </c>
      <c r="AD483" s="22">
        <v>189.59720839926936</v>
      </c>
      <c r="AE483" s="22">
        <v>197.52068254319832</v>
      </c>
      <c r="AF483" s="22">
        <v>177.25045037918576</v>
      </c>
      <c r="AG483" s="22">
        <v>110.81029182430835</v>
      </c>
      <c r="BA483" s="34" t="str">
        <f t="shared" ca="1" si="71"/>
        <v>Scotland</v>
      </c>
      <c r="BB483" s="34" t="str">
        <f t="shared" si="72"/>
        <v>Fixed Inputs</v>
      </c>
      <c r="BC483" s="34" t="str">
        <f t="shared" si="73"/>
        <v>RAV and assets</v>
      </c>
      <c r="BD483" s="34" t="str">
        <f t="shared" si="74"/>
        <v>Post-vesting assets</v>
      </c>
    </row>
    <row r="484" spans="3:56" x14ac:dyDescent="0.35">
      <c r="E484" s="33" t="s">
        <v>610</v>
      </c>
      <c r="G484" s="33" t="str">
        <f>price_label</f>
        <v>£m 23/24 prices</v>
      </c>
      <c r="AH484" s="22">
        <v>113.32221010949328</v>
      </c>
      <c r="AI484" s="22">
        <v>109.76500366917041</v>
      </c>
      <c r="AJ484" s="22">
        <v>114.22336322517508</v>
      </c>
      <c r="AK484" s="22">
        <v>127.54784733053384</v>
      </c>
      <c r="AL484" s="22">
        <v>128.38622713335945</v>
      </c>
      <c r="AM484" s="22">
        <v>141.61228861219638</v>
      </c>
      <c r="AN484" s="22">
        <v>135.54680984121518</v>
      </c>
      <c r="AO484" s="22">
        <v>131.03123438949584</v>
      </c>
      <c r="AP484" s="22">
        <v>127.80430836953926</v>
      </c>
      <c r="AQ484" s="22">
        <v>139.25083719589287</v>
      </c>
      <c r="AR484" s="22">
        <v>156.62287921155232</v>
      </c>
      <c r="AS484" s="22">
        <v>155.47122631923617</v>
      </c>
      <c r="AT484" s="63">
        <v>165.11064032006806</v>
      </c>
      <c r="AU484"/>
      <c r="AV484"/>
      <c r="AW484"/>
      <c r="AX484"/>
      <c r="AY484"/>
      <c r="BA484" s="34" t="str">
        <f t="shared" ca="1" si="71"/>
        <v>Scotland</v>
      </c>
      <c r="BB484" s="34" t="str">
        <f t="shared" si="72"/>
        <v>Fixed Inputs</v>
      </c>
      <c r="BC484" s="34" t="str">
        <f t="shared" si="73"/>
        <v>RAV and assets</v>
      </c>
      <c r="BD484" s="34" t="str">
        <f t="shared" si="74"/>
        <v>Post-vesting assets</v>
      </c>
    </row>
    <row r="485" spans="3:56" x14ac:dyDescent="0.35">
      <c r="G485"/>
      <c r="J485"/>
      <c r="AH485"/>
      <c r="AI485"/>
      <c r="AJ485"/>
      <c r="AK485"/>
      <c r="AL485"/>
      <c r="AM485"/>
      <c r="AN485"/>
      <c r="AO485"/>
      <c r="AP485"/>
      <c r="AQ485"/>
      <c r="AR485"/>
      <c r="AS485"/>
      <c r="AT485" s="61"/>
      <c r="AU485"/>
      <c r="AV485"/>
      <c r="AW485"/>
      <c r="AX485"/>
      <c r="AY485"/>
      <c r="BA485"/>
      <c r="BB485"/>
      <c r="BC485"/>
      <c r="BD485"/>
    </row>
    <row r="486" spans="3:56" customFormat="1" ht="14.5" x14ac:dyDescent="0.35">
      <c r="E486" s="33" t="s">
        <v>550</v>
      </c>
      <c r="G486" t="s">
        <v>193</v>
      </c>
      <c r="I486" s="30">
        <v>54878</v>
      </c>
      <c r="AT486" s="61"/>
      <c r="BA486" s="34" t="str">
        <f t="shared" ca="1" si="71"/>
        <v>Scotland</v>
      </c>
      <c r="BB486" s="34" t="str">
        <f t="shared" si="72"/>
        <v>Fixed Inputs</v>
      </c>
      <c r="BC486" s="34" t="str">
        <f t="shared" si="73"/>
        <v>RAV and assets</v>
      </c>
      <c r="BD486" s="34" t="str">
        <f>$C$477</f>
        <v>Post-vesting assets</v>
      </c>
    </row>
    <row r="487" spans="3:56" customFormat="1" ht="14.5" x14ac:dyDescent="0.35">
      <c r="E487" s="33" t="s">
        <v>551</v>
      </c>
      <c r="G487" t="s">
        <v>236</v>
      </c>
      <c r="J487" s="33"/>
      <c r="X487" s="31"/>
      <c r="Y487" s="31"/>
      <c r="Z487" s="31"/>
      <c r="AA487" s="31"/>
      <c r="AB487" s="31"/>
      <c r="AC487" s="31"/>
      <c r="AD487" s="31"/>
      <c r="AE487" s="31"/>
      <c r="AF487" s="31"/>
      <c r="AG487" s="31"/>
      <c r="AH487" s="31">
        <v>0</v>
      </c>
      <c r="AI487" s="31">
        <v>0</v>
      </c>
      <c r="AJ487" s="31">
        <v>0</v>
      </c>
      <c r="AK487" s="31">
        <v>0</v>
      </c>
      <c r="AL487" s="31">
        <v>0</v>
      </c>
      <c r="AM487" s="31">
        <v>0</v>
      </c>
      <c r="AN487" s="31">
        <v>0</v>
      </c>
      <c r="AO487" s="31">
        <v>0</v>
      </c>
      <c r="AP487" s="31">
        <v>0</v>
      </c>
      <c r="AQ487" s="31">
        <v>0</v>
      </c>
      <c r="AR487" s="31">
        <v>0</v>
      </c>
      <c r="AS487" s="31">
        <v>0</v>
      </c>
      <c r="AT487" s="67">
        <v>0</v>
      </c>
      <c r="AU487" s="143">
        <v>0</v>
      </c>
      <c r="AV487" s="31">
        <v>0</v>
      </c>
      <c r="AW487" s="31">
        <v>0</v>
      </c>
      <c r="AX487" s="31">
        <v>0</v>
      </c>
      <c r="AY487" s="31">
        <v>0</v>
      </c>
      <c r="BA487" s="34" t="str">
        <f t="shared" ca="1" si="71"/>
        <v>Scotland</v>
      </c>
      <c r="BB487" s="34" t="str">
        <f t="shared" si="72"/>
        <v>Fixed Inputs</v>
      </c>
      <c r="BC487" s="34" t="str">
        <f t="shared" si="73"/>
        <v>RAV and assets</v>
      </c>
      <c r="BD487" s="34" t="str">
        <f>$C$477</f>
        <v>Post-vesting assets</v>
      </c>
    </row>
    <row r="488" spans="3:56" customFormat="1" ht="14.5" x14ac:dyDescent="0.35">
      <c r="E488" s="33" t="s">
        <v>490</v>
      </c>
      <c r="G488" t="s">
        <v>77</v>
      </c>
      <c r="J488" s="33"/>
      <c r="X488" s="31"/>
      <c r="Y488" s="31"/>
      <c r="Z488" s="31"/>
      <c r="AA488" s="31"/>
      <c r="AB488" s="31"/>
      <c r="AC488" s="31"/>
      <c r="AD488" s="31"/>
      <c r="AE488" s="31"/>
      <c r="AF488" s="31"/>
      <c r="AG488" s="31"/>
      <c r="AH488" s="31"/>
      <c r="AI488" s="31"/>
      <c r="AJ488" s="31"/>
      <c r="AK488" s="31"/>
      <c r="AL488" s="31"/>
      <c r="AM488" s="31"/>
      <c r="AN488" s="31"/>
      <c r="AO488" s="31"/>
      <c r="AP488" s="31"/>
      <c r="AQ488" s="31"/>
      <c r="AR488" s="31"/>
      <c r="AS488" s="31"/>
      <c r="AT488" s="67"/>
      <c r="AU488" s="143">
        <v>0</v>
      </c>
      <c r="AV488" s="31">
        <v>0</v>
      </c>
      <c r="AW488" s="31">
        <v>0</v>
      </c>
      <c r="AX488" s="31">
        <v>0</v>
      </c>
      <c r="AY488" s="31">
        <v>0</v>
      </c>
      <c r="BA488" s="34" t="str">
        <f t="shared" ca="1" si="71"/>
        <v>Scotland</v>
      </c>
      <c r="BB488" s="34" t="str">
        <f t="shared" si="72"/>
        <v>Fixed Inputs</v>
      </c>
      <c r="BC488" s="34" t="str">
        <f t="shared" si="73"/>
        <v>RAV and assets</v>
      </c>
      <c r="BD488" s="34" t="str">
        <f>$C$477</f>
        <v>Post-vesting assets</v>
      </c>
    </row>
    <row r="489" spans="3:56" x14ac:dyDescent="0.35"/>
    <row r="490" spans="3:56" ht="16.5" thickBot="1" x14ac:dyDescent="0.4">
      <c r="C490" s="9" t="s">
        <v>196</v>
      </c>
    </row>
    <row r="491" spans="3:56" x14ac:dyDescent="0.35">
      <c r="E491" s="33" t="s">
        <v>197</v>
      </c>
      <c r="G491" s="33" t="s">
        <v>190</v>
      </c>
      <c r="I491" s="24">
        <v>45</v>
      </c>
      <c r="BA491" s="34" t="str">
        <f t="shared" ref="BA491:BA495" ca="1" si="75">$A$1</f>
        <v>Scotland</v>
      </c>
      <c r="BB491" s="34" t="str">
        <f t="shared" ref="BB491:BB495" si="76">$A$150</f>
        <v>Fixed Inputs</v>
      </c>
      <c r="BC491" s="34" t="str">
        <f t="shared" ref="BC491:BC495" si="77">$B$470</f>
        <v>RAV and assets</v>
      </c>
      <c r="BD491" s="34" t="str">
        <f>$C$490</f>
        <v>Fuel Poor</v>
      </c>
    </row>
    <row r="492" spans="3:56" x14ac:dyDescent="0.35">
      <c r="E492" s="33" t="s">
        <v>198</v>
      </c>
      <c r="G492" s="33" t="s">
        <v>190</v>
      </c>
      <c r="I492" s="24">
        <v>5</v>
      </c>
      <c r="BA492" s="34" t="str">
        <f t="shared" ca="1" si="75"/>
        <v>Scotland</v>
      </c>
      <c r="BB492" s="34" t="str">
        <f t="shared" si="76"/>
        <v>Fixed Inputs</v>
      </c>
      <c r="BC492" s="34" t="str">
        <f t="shared" si="77"/>
        <v>RAV and assets</v>
      </c>
      <c r="BD492" s="34" t="str">
        <f t="shared" ref="BD492:BD495" si="78">$C$490</f>
        <v>Fuel Poor</v>
      </c>
    </row>
    <row r="493" spans="3:56" x14ac:dyDescent="0.35">
      <c r="E493" s="33" t="s">
        <v>199</v>
      </c>
      <c r="G493" s="33" t="str">
        <f>price_label</f>
        <v>£m 23/24 prices</v>
      </c>
      <c r="J493" s="33" t="s">
        <v>13</v>
      </c>
      <c r="AC493"/>
      <c r="AD493" s="22">
        <v>0</v>
      </c>
      <c r="AE493" s="22">
        <v>0</v>
      </c>
      <c r="AF493" s="22">
        <v>0</v>
      </c>
      <c r="AG493" s="22">
        <v>0</v>
      </c>
      <c r="AH493"/>
      <c r="AI493"/>
      <c r="AJ493"/>
      <c r="AK493"/>
      <c r="AL493"/>
      <c r="AM493"/>
      <c r="AN493"/>
      <c r="AO493"/>
      <c r="AP493"/>
      <c r="AQ493"/>
      <c r="AR493"/>
      <c r="AS493"/>
      <c r="AT493" s="61"/>
      <c r="AU493"/>
      <c r="AV493"/>
      <c r="AW493"/>
      <c r="AX493"/>
      <c r="AY493"/>
      <c r="BA493" s="34" t="str">
        <f t="shared" ca="1" si="75"/>
        <v>Scotland</v>
      </c>
      <c r="BB493" s="34" t="str">
        <f t="shared" si="76"/>
        <v>Fixed Inputs</v>
      </c>
      <c r="BC493" s="34" t="str">
        <f t="shared" si="77"/>
        <v>RAV and assets</v>
      </c>
      <c r="BD493" s="34" t="str">
        <f t="shared" si="78"/>
        <v>Fuel Poor</v>
      </c>
    </row>
    <row r="494" spans="3:56" x14ac:dyDescent="0.35">
      <c r="E494" s="33" t="s">
        <v>200</v>
      </c>
      <c r="G494" s="33" t="str">
        <f>price_label</f>
        <v>£m 23/24 prices</v>
      </c>
      <c r="J494" s="33" t="s">
        <v>13</v>
      </c>
      <c r="AC494"/>
      <c r="AD494" s="22">
        <v>0</v>
      </c>
      <c r="AE494" s="22">
        <v>0</v>
      </c>
      <c r="AF494" s="22">
        <v>0</v>
      </c>
      <c r="AG494" s="22">
        <v>0</v>
      </c>
      <c r="AH494"/>
      <c r="AI494"/>
      <c r="AJ494"/>
      <c r="AK494"/>
      <c r="AL494"/>
      <c r="AM494"/>
      <c r="AN494"/>
      <c r="AO494"/>
      <c r="AP494"/>
      <c r="AQ494"/>
      <c r="AR494"/>
      <c r="AS494"/>
      <c r="AT494" s="61"/>
      <c r="AU494"/>
      <c r="AV494"/>
      <c r="AW494"/>
      <c r="AX494"/>
      <c r="AY494"/>
      <c r="BA494" s="34" t="str">
        <f t="shared" ca="1" si="75"/>
        <v>Scotland</v>
      </c>
      <c r="BB494" s="34" t="str">
        <f t="shared" si="76"/>
        <v>Fixed Inputs</v>
      </c>
      <c r="BC494" s="34" t="str">
        <f t="shared" si="77"/>
        <v>RAV and assets</v>
      </c>
      <c r="BD494" s="34" t="str">
        <f t="shared" si="78"/>
        <v>Fuel Poor</v>
      </c>
    </row>
    <row r="495" spans="3:56" x14ac:dyDescent="0.35">
      <c r="E495" s="33" t="s">
        <v>201</v>
      </c>
      <c r="G495" s="33" t="str">
        <f>price_label</f>
        <v>£m 23/24 prices</v>
      </c>
      <c r="J495" s="33" t="s">
        <v>13</v>
      </c>
      <c r="AC495"/>
      <c r="AD495" s="22">
        <v>3.8738486569847601</v>
      </c>
      <c r="AE495" s="22">
        <v>6.4058681806719227</v>
      </c>
      <c r="AF495" s="22">
        <v>7.2340525287469379</v>
      </c>
      <c r="AG495" s="22">
        <v>5.2649264003666829</v>
      </c>
      <c r="AH495"/>
      <c r="AI495"/>
      <c r="AJ495"/>
      <c r="AK495"/>
      <c r="AL495"/>
      <c r="AM495"/>
      <c r="AN495"/>
      <c r="AO495"/>
      <c r="AP495"/>
      <c r="AQ495"/>
      <c r="AR495"/>
      <c r="AS495"/>
      <c r="AT495" s="61"/>
      <c r="AU495"/>
      <c r="AV495"/>
      <c r="AW495"/>
      <c r="AX495"/>
      <c r="AY495"/>
      <c r="BA495" s="34" t="str">
        <f t="shared" ca="1" si="75"/>
        <v>Scotland</v>
      </c>
      <c r="BB495" s="34" t="str">
        <f t="shared" si="76"/>
        <v>Fixed Inputs</v>
      </c>
      <c r="BC495" s="34" t="str">
        <f t="shared" si="77"/>
        <v>RAV and assets</v>
      </c>
      <c r="BD495" s="34" t="str">
        <f t="shared" si="78"/>
        <v>Fuel Poor</v>
      </c>
    </row>
    <row r="496" spans="3:56" x14ac:dyDescent="0.35"/>
    <row r="497" spans="1:56" ht="17.5" thickBot="1" x14ac:dyDescent="0.4">
      <c r="B497" s="8" t="s">
        <v>202</v>
      </c>
    </row>
    <row r="498" spans="1:56" ht="16.5" thickTop="1" x14ac:dyDescent="0.35">
      <c r="E498" s="33" t="s">
        <v>202</v>
      </c>
      <c r="G498" s="33" t="str">
        <f>price_label</f>
        <v>£m 23/24 prices</v>
      </c>
      <c r="AU498" s="332">
        <v>-8.183739375</v>
      </c>
      <c r="AV498" s="333">
        <v>-8.5845247937500009</v>
      </c>
      <c r="AW498" s="333">
        <v>-9.0437251534374994</v>
      </c>
      <c r="AX498" s="333">
        <v>-9.5108419273093805</v>
      </c>
      <c r="AY498" s="333">
        <v>-10.0058532618868</v>
      </c>
      <c r="BA498" s="34" t="str">
        <f t="shared" ref="BA498" ca="1" si="79">$A$1</f>
        <v>Scotland</v>
      </c>
      <c r="BB498" s="34" t="str">
        <f>$A$150</f>
        <v>Fixed Inputs</v>
      </c>
      <c r="BC498" s="34" t="str">
        <f>$B$497</f>
        <v>Cross-subsidy adjustment</v>
      </c>
    </row>
    <row r="499" spans="1:56" x14ac:dyDescent="0.35"/>
    <row r="500" spans="1:56" ht="20" thickBot="1" x14ac:dyDescent="0.4">
      <c r="A500" s="7" t="s">
        <v>844</v>
      </c>
    </row>
    <row r="501" spans="1:56" customFormat="1" ht="18" thickTop="1" thickBot="1" x14ac:dyDescent="0.45">
      <c r="B501" s="15" t="s">
        <v>382</v>
      </c>
      <c r="AT501" s="61"/>
    </row>
    <row r="502" spans="1:56" ht="16.5" thickTop="1" x14ac:dyDescent="0.35">
      <c r="E502" s="33" t="s">
        <v>207</v>
      </c>
      <c r="G502" s="33" t="s">
        <v>208</v>
      </c>
      <c r="H502" s="33" t="s">
        <v>209</v>
      </c>
      <c r="J502" s="33" t="s">
        <v>13</v>
      </c>
      <c r="AS502" s="21">
        <v>1.1900000000000001E-2</v>
      </c>
      <c r="AT502" s="147">
        <v>2.2000000000000001E-3</v>
      </c>
      <c r="AU502" s="141">
        <v>6.7000000000000002E-3</v>
      </c>
      <c r="AV502" s="21">
        <v>4.4999999999999997E-3</v>
      </c>
      <c r="AW502" s="21">
        <v>5.5999999999999999E-3</v>
      </c>
      <c r="AX502" s="21">
        <v>7.1000000000000004E-3</v>
      </c>
      <c r="AY502" s="21">
        <v>0.01</v>
      </c>
      <c r="BA502" s="34" t="str">
        <f t="shared" ref="BA502:BA519" ca="1" si="80">$A$1</f>
        <v>Scotland</v>
      </c>
      <c r="BB502" s="34" t="str">
        <f t="shared" ref="BB502:BB527" si="81">$A$500</f>
        <v>Variable policy</v>
      </c>
      <c r="BC502" s="34" t="str">
        <f>$B$501</f>
        <v>Real Price Effects</v>
      </c>
    </row>
    <row r="503" spans="1:56" customFormat="1" ht="14.5" x14ac:dyDescent="0.35">
      <c r="AT503" s="61"/>
    </row>
    <row r="504" spans="1:56" ht="17.5" thickBot="1" x14ac:dyDescent="0.4">
      <c r="B504" s="8" t="s">
        <v>226</v>
      </c>
    </row>
    <row r="505" spans="1:56" customFormat="1" ht="15.5" thickTop="1" thickBot="1" x14ac:dyDescent="0.4">
      <c r="C505" s="11" t="s">
        <v>218</v>
      </c>
      <c r="AT505" s="61"/>
      <c r="AU505" s="33"/>
      <c r="AV505" s="33"/>
      <c r="AW505" s="33"/>
      <c r="AX505" s="33"/>
      <c r="AY505" s="33"/>
    </row>
    <row r="506" spans="1:56" x14ac:dyDescent="0.35">
      <c r="E506" s="33" t="s">
        <v>203</v>
      </c>
      <c r="G506" s="33" t="s">
        <v>186</v>
      </c>
      <c r="H506" s="33" t="s">
        <v>204</v>
      </c>
      <c r="AU506" s="141">
        <v>3.0499999999999999E-2</v>
      </c>
      <c r="AV506" s="21">
        <v>3.1399999999999997E-2</v>
      </c>
      <c r="AW506" s="21">
        <v>3.2199999999999999E-2</v>
      </c>
      <c r="AX506" s="21">
        <v>3.3300000000000003E-2</v>
      </c>
      <c r="AY506" s="21">
        <v>3.4500000000000003E-2</v>
      </c>
      <c r="BA506" s="34" t="str">
        <f t="shared" ca="1" si="80"/>
        <v>Scotland</v>
      </c>
      <c r="BB506" s="34" t="str">
        <f>$A$500</f>
        <v>Variable policy</v>
      </c>
      <c r="BC506" s="34" t="str">
        <f>$B$504</f>
        <v>Finance</v>
      </c>
      <c r="BD506" s="34" t="str">
        <f>$C$505</f>
        <v>Allowed return on capital</v>
      </c>
    </row>
    <row r="507" spans="1:56" x14ac:dyDescent="0.35">
      <c r="E507" s="33" t="s">
        <v>205</v>
      </c>
      <c r="G507" s="33" t="s">
        <v>186</v>
      </c>
      <c r="H507" s="33" t="s">
        <v>206</v>
      </c>
      <c r="AU507" s="141">
        <v>2.2800000000000001E-2</v>
      </c>
      <c r="AV507" s="21">
        <v>2.2800000000000001E-2</v>
      </c>
      <c r="AW507" s="21">
        <v>2.2800000000000001E-2</v>
      </c>
      <c r="AX507" s="21">
        <v>2.2800000000000001E-2</v>
      </c>
      <c r="AY507" s="21">
        <v>2.2800000000000001E-2</v>
      </c>
      <c r="BA507" s="34" t="str">
        <f t="shared" ca="1" si="80"/>
        <v>Scotland</v>
      </c>
      <c r="BB507" s="34" t="str">
        <f t="shared" si="81"/>
        <v>Variable policy</v>
      </c>
      <c r="BC507" s="34" t="str">
        <f t="shared" ref="BC507:BC512" si="82">$B$504</f>
        <v>Finance</v>
      </c>
      <c r="BD507" s="34" t="str">
        <f>$C$505</f>
        <v>Allowed return on capital</v>
      </c>
    </row>
    <row r="508" spans="1:56" customFormat="1" ht="14.5" x14ac:dyDescent="0.35">
      <c r="AT508" s="61"/>
    </row>
    <row r="509" spans="1:56" customFormat="1" ht="15" thickBot="1" x14ac:dyDescent="0.4">
      <c r="C509" s="11" t="s">
        <v>256</v>
      </c>
      <c r="AT509" s="61"/>
      <c r="BA509" s="34"/>
    </row>
    <row r="510" spans="1:56" customFormat="1" ht="14.5" x14ac:dyDescent="0.35">
      <c r="E510" t="s">
        <v>418</v>
      </c>
      <c r="G510" t="s">
        <v>231</v>
      </c>
      <c r="J510" s="33" t="s">
        <v>13</v>
      </c>
      <c r="AP510" s="59">
        <v>2022</v>
      </c>
      <c r="AQ510" s="59">
        <v>2023</v>
      </c>
      <c r="AR510" s="59">
        <v>2024</v>
      </c>
      <c r="AS510" s="59">
        <v>2025</v>
      </c>
      <c r="AT510" s="65">
        <v>2026</v>
      </c>
      <c r="AU510" s="144">
        <v>2027</v>
      </c>
      <c r="AV510" s="59">
        <v>2028</v>
      </c>
      <c r="AW510" s="59">
        <v>2029</v>
      </c>
      <c r="AX510" s="59">
        <v>2030</v>
      </c>
      <c r="AY510" s="59">
        <v>2031</v>
      </c>
      <c r="AZ510" s="59">
        <v>2032</v>
      </c>
      <c r="BA510" s="34" t="str">
        <f t="shared" ref="BA510:BA512" ca="1" si="83">$A$1</f>
        <v>Scotland</v>
      </c>
      <c r="BB510" s="34" t="str">
        <f t="shared" ref="BB510:BB512" si="84">$A$500</f>
        <v>Variable policy</v>
      </c>
      <c r="BC510" s="34" t="str">
        <f t="shared" si="82"/>
        <v>Finance</v>
      </c>
      <c r="BD510" s="34" t="str">
        <f>$C$509</f>
        <v>Inflation</v>
      </c>
    </row>
    <row r="511" spans="1:56" customFormat="1" ht="14.5" x14ac:dyDescent="0.35">
      <c r="E511" t="s">
        <v>644</v>
      </c>
      <c r="G511" t="s">
        <v>77</v>
      </c>
      <c r="J511" s="33" t="s">
        <v>13</v>
      </c>
      <c r="AP511" s="26">
        <v>3.6737186990396076</v>
      </c>
      <c r="AQ511" s="26">
        <v>8.7741270010504469</v>
      </c>
      <c r="AR511" s="26">
        <v>5.546901249206293</v>
      </c>
      <c r="AS511" s="26">
        <v>3.2148359255837144</v>
      </c>
      <c r="AT511" s="66">
        <v>3.8464084526910858</v>
      </c>
      <c r="AU511" s="138">
        <v>2.3689382169692408</v>
      </c>
      <c r="AV511" s="26">
        <v>2.1054516816467084</v>
      </c>
      <c r="AW511" s="26">
        <v>2.1285796243298183</v>
      </c>
      <c r="AX511" s="26">
        <v>2.0983342920036119</v>
      </c>
      <c r="AY511" s="26">
        <v>2.1355060506057066</v>
      </c>
      <c r="AZ511" s="26">
        <v>2.1355060506057066</v>
      </c>
      <c r="BA511" s="34" t="str">
        <f t="shared" ca="1" si="83"/>
        <v>Scotland</v>
      </c>
      <c r="BB511" s="34" t="str">
        <f t="shared" si="84"/>
        <v>Variable policy</v>
      </c>
      <c r="BC511" s="34" t="str">
        <f t="shared" si="82"/>
        <v>Finance</v>
      </c>
      <c r="BD511" s="34" t="str">
        <f>$C$509</f>
        <v>Inflation</v>
      </c>
    </row>
    <row r="512" spans="1:56" customFormat="1" ht="14.5" x14ac:dyDescent="0.35">
      <c r="E512" t="s">
        <v>378</v>
      </c>
      <c r="G512" t="s">
        <v>109</v>
      </c>
      <c r="J512" t="s">
        <v>13</v>
      </c>
      <c r="AT512" s="61"/>
      <c r="AU512" s="145">
        <v>2.1299999999999999E-2</v>
      </c>
      <c r="AV512" s="28">
        <v>2.1299999999999999E-2</v>
      </c>
      <c r="AW512" s="28">
        <v>2.1299999999999999E-2</v>
      </c>
      <c r="AX512" s="28">
        <v>2.1299999999999999E-2</v>
      </c>
      <c r="AY512" s="28">
        <v>2.1299999999999999E-2</v>
      </c>
      <c r="BA512" s="34" t="str">
        <f t="shared" ca="1" si="83"/>
        <v>Scotland</v>
      </c>
      <c r="BB512" s="34" t="str">
        <f t="shared" si="84"/>
        <v>Variable policy</v>
      </c>
      <c r="BC512" s="34" t="str">
        <f t="shared" si="82"/>
        <v>Finance</v>
      </c>
      <c r="BD512" s="34" t="str">
        <f>$C$509</f>
        <v>Inflation</v>
      </c>
    </row>
    <row r="513" spans="2:55" customFormat="1" ht="14.5" x14ac:dyDescent="0.35">
      <c r="AT513" s="61"/>
      <c r="BA513" s="34"/>
      <c r="BB513" s="34"/>
      <c r="BC513" s="34"/>
    </row>
    <row r="514" spans="2:55" ht="17.5" thickBot="1" x14ac:dyDescent="0.45">
      <c r="B514" s="15" t="s">
        <v>475</v>
      </c>
      <c r="C514" s="6"/>
    </row>
    <row r="515" spans="2:55" ht="16.5" thickTop="1" x14ac:dyDescent="0.35">
      <c r="E515" s="33" t="s">
        <v>210</v>
      </c>
      <c r="G515" s="33" t="s">
        <v>109</v>
      </c>
      <c r="H515" s="33" t="s">
        <v>211</v>
      </c>
      <c r="AU515" s="141">
        <v>0.25</v>
      </c>
      <c r="AV515" s="21">
        <v>0.25</v>
      </c>
      <c r="AW515" s="21">
        <v>0.25</v>
      </c>
      <c r="AX515" s="21">
        <v>0.25</v>
      </c>
      <c r="AY515" s="21">
        <v>0.25</v>
      </c>
      <c r="BA515" s="34" t="str">
        <f t="shared" ca="1" si="80"/>
        <v>Scotland</v>
      </c>
      <c r="BB515" s="34" t="str">
        <f t="shared" si="81"/>
        <v>Variable policy</v>
      </c>
      <c r="BC515" s="34" t="str">
        <f>$B$514</f>
        <v>Tax</v>
      </c>
    </row>
    <row r="516" spans="2:55" x14ac:dyDescent="0.35">
      <c r="E516" s="33" t="s">
        <v>212</v>
      </c>
      <c r="G516" s="33" t="s">
        <v>109</v>
      </c>
      <c r="H516" s="33" t="s">
        <v>213</v>
      </c>
      <c r="AU516" s="141">
        <v>0.14000000000000001</v>
      </c>
      <c r="AV516" s="141">
        <v>0.14000000000000001</v>
      </c>
      <c r="AW516" s="141">
        <v>0.14000000000000001</v>
      </c>
      <c r="AX516" s="141">
        <v>0.14000000000000001</v>
      </c>
      <c r="AY516" s="141">
        <v>0.14000000000000001</v>
      </c>
      <c r="BA516" s="34" t="str">
        <f t="shared" ca="1" si="80"/>
        <v>Scotland</v>
      </c>
      <c r="BB516" s="34" t="str">
        <f t="shared" si="81"/>
        <v>Variable policy</v>
      </c>
      <c r="BC516" s="34" t="str">
        <f t="shared" ref="BC516:BC527" si="85">$B$514</f>
        <v>Tax</v>
      </c>
    </row>
    <row r="517" spans="2:55" x14ac:dyDescent="0.35">
      <c r="E517" s="33" t="s">
        <v>214</v>
      </c>
      <c r="G517" s="33" t="s">
        <v>109</v>
      </c>
      <c r="H517" s="33" t="s">
        <v>215</v>
      </c>
      <c r="AU517" s="141">
        <v>0.06</v>
      </c>
      <c r="AV517" s="21">
        <v>0.06</v>
      </c>
      <c r="AW517" s="21">
        <v>0.06</v>
      </c>
      <c r="AX517" s="21">
        <v>0.06</v>
      </c>
      <c r="AY517" s="21">
        <v>0.06</v>
      </c>
      <c r="BA517" s="34" t="str">
        <f t="shared" ca="1" si="80"/>
        <v>Scotland</v>
      </c>
      <c r="BB517" s="34" t="str">
        <f t="shared" si="81"/>
        <v>Variable policy</v>
      </c>
      <c r="BC517" s="34" t="str">
        <f t="shared" si="85"/>
        <v>Tax</v>
      </c>
    </row>
    <row r="518" spans="2:55" x14ac:dyDescent="0.35">
      <c r="E518" s="33" t="s">
        <v>414</v>
      </c>
      <c r="G518" s="33" t="s">
        <v>109</v>
      </c>
      <c r="H518" s="33" t="s">
        <v>216</v>
      </c>
      <c r="AU518" s="141">
        <v>0.03</v>
      </c>
      <c r="AV518" s="21">
        <v>0.03</v>
      </c>
      <c r="AW518" s="21">
        <v>0.03</v>
      </c>
      <c r="AX518" s="21">
        <v>0.03</v>
      </c>
      <c r="AY518" s="21">
        <v>0.03</v>
      </c>
      <c r="BA518" s="34" t="str">
        <f t="shared" ca="1" si="80"/>
        <v>Scotland</v>
      </c>
      <c r="BB518" s="34" t="str">
        <f t="shared" si="81"/>
        <v>Variable policy</v>
      </c>
      <c r="BC518" s="34" t="str">
        <f t="shared" si="85"/>
        <v>Tax</v>
      </c>
    </row>
    <row r="519" spans="2:55" x14ac:dyDescent="0.35">
      <c r="E519" s="33" t="s">
        <v>415</v>
      </c>
      <c r="G519" s="33" t="s">
        <v>109</v>
      </c>
      <c r="H519" s="33" t="s">
        <v>217</v>
      </c>
      <c r="AU519" s="141">
        <v>2.2200000000000001E-2</v>
      </c>
      <c r="AV519" s="21">
        <v>2.2200000000000001E-2</v>
      </c>
      <c r="AW519" s="21">
        <v>2.2200000000000001E-2</v>
      </c>
      <c r="AX519" s="21">
        <v>2.2200000000000001E-2</v>
      </c>
      <c r="AY519" s="21">
        <v>2.2200000000000001E-2</v>
      </c>
      <c r="BA519" s="34" t="str">
        <f t="shared" ca="1" si="80"/>
        <v>Scotland</v>
      </c>
      <c r="BB519" s="34" t="str">
        <f t="shared" si="81"/>
        <v>Variable policy</v>
      </c>
      <c r="BC519" s="34" t="str">
        <f t="shared" si="85"/>
        <v>Tax</v>
      </c>
    </row>
    <row r="520" spans="2:55" x14ac:dyDescent="0.35">
      <c r="E520" s="33" t="s">
        <v>410</v>
      </c>
      <c r="G520" s="33" t="s">
        <v>109</v>
      </c>
      <c r="I520"/>
      <c r="AU520" s="141">
        <v>1</v>
      </c>
      <c r="AV520" s="21">
        <v>1</v>
      </c>
      <c r="AW520" s="21">
        <v>1</v>
      </c>
      <c r="AX520" s="21">
        <v>1</v>
      </c>
      <c r="AY520" s="21">
        <v>1</v>
      </c>
      <c r="BA520" s="34" t="str">
        <f t="shared" ca="1" si="33"/>
        <v>Scotland</v>
      </c>
      <c r="BB520" s="34" t="str">
        <f t="shared" si="81"/>
        <v>Variable policy</v>
      </c>
      <c r="BC520" s="34" t="str">
        <f t="shared" si="85"/>
        <v>Tax</v>
      </c>
    </row>
    <row r="521" spans="2:55" x14ac:dyDescent="0.35">
      <c r="E521" s="33" t="s">
        <v>807</v>
      </c>
      <c r="G521" s="33" t="s">
        <v>109</v>
      </c>
      <c r="I521"/>
      <c r="AU521" s="141">
        <v>1</v>
      </c>
      <c r="AV521" s="21">
        <v>1</v>
      </c>
      <c r="AW521" s="21">
        <v>1</v>
      </c>
      <c r="AX521" s="21">
        <v>1</v>
      </c>
      <c r="AY521" s="21">
        <v>1</v>
      </c>
      <c r="BA521" s="34" t="str">
        <f t="shared" ca="1" si="33"/>
        <v>Scotland</v>
      </c>
      <c r="BB521" s="34" t="str">
        <f t="shared" si="81"/>
        <v>Variable policy</v>
      </c>
      <c r="BC521" s="34" t="str">
        <f t="shared" si="85"/>
        <v>Tax</v>
      </c>
    </row>
    <row r="522" spans="2:55" x14ac:dyDescent="0.35">
      <c r="E522" s="33" t="s">
        <v>108</v>
      </c>
      <c r="G522" s="33" t="s">
        <v>109</v>
      </c>
      <c r="H522" s="33" t="s">
        <v>110</v>
      </c>
      <c r="AU522" s="141">
        <v>8.1561323845346964E-2</v>
      </c>
      <c r="AV522" s="21">
        <v>8.7089942158051284E-2</v>
      </c>
      <c r="AW522" s="21">
        <v>7.5902892928816718E-2</v>
      </c>
      <c r="AX522" s="21">
        <v>6.1819489363919441E-2</v>
      </c>
      <c r="AY522" s="21">
        <v>6.2364469171817052E-2</v>
      </c>
      <c r="BA522" s="34" t="str">
        <f t="shared" ca="1" si="33"/>
        <v>Scotland</v>
      </c>
      <c r="BB522" s="34" t="str">
        <f t="shared" si="81"/>
        <v>Variable policy</v>
      </c>
      <c r="BC522" s="34" t="str">
        <f t="shared" si="85"/>
        <v>Tax</v>
      </c>
    </row>
    <row r="523" spans="2:55" x14ac:dyDescent="0.35">
      <c r="E523" s="33" t="s">
        <v>111</v>
      </c>
      <c r="G523" s="33" t="s">
        <v>109</v>
      </c>
      <c r="H523" s="33" t="s">
        <v>112</v>
      </c>
      <c r="AU523" s="141">
        <v>0.13333945479379639</v>
      </c>
      <c r="AV523" s="21">
        <v>0.1451889645796422</v>
      </c>
      <c r="AW523" s="21">
        <v>0.16448943406379332</v>
      </c>
      <c r="AX523" s="21">
        <v>0.14070885065760691</v>
      </c>
      <c r="AY523" s="21">
        <v>0.12033246756929508</v>
      </c>
      <c r="BA523" s="34" t="str">
        <f t="shared" ca="1" si="33"/>
        <v>Scotland</v>
      </c>
      <c r="BB523" s="34" t="str">
        <f t="shared" si="81"/>
        <v>Variable policy</v>
      </c>
      <c r="BC523" s="34" t="str">
        <f t="shared" si="85"/>
        <v>Tax</v>
      </c>
    </row>
    <row r="524" spans="2:55" x14ac:dyDescent="0.35">
      <c r="E524" s="33" t="s">
        <v>113</v>
      </c>
      <c r="G524" s="33" t="s">
        <v>109</v>
      </c>
      <c r="H524" s="33" t="s">
        <v>114</v>
      </c>
      <c r="AU524" s="141">
        <v>1.9566713603510213E-3</v>
      </c>
      <c r="AV524" s="21">
        <v>1.7995172739703102E-3</v>
      </c>
      <c r="AW524" s="21">
        <v>1.8407843966143527E-3</v>
      </c>
      <c r="AX524" s="21">
        <v>2.0750456018522705E-3</v>
      </c>
      <c r="AY524" s="21">
        <v>2.0576989492834424E-3</v>
      </c>
      <c r="BA524" s="34" t="str">
        <f t="shared" ca="1" si="33"/>
        <v>Scotland</v>
      </c>
      <c r="BB524" s="34" t="str">
        <f t="shared" si="81"/>
        <v>Variable policy</v>
      </c>
      <c r="BC524" s="34" t="str">
        <f t="shared" si="85"/>
        <v>Tax</v>
      </c>
    </row>
    <row r="525" spans="2:55" x14ac:dyDescent="0.35">
      <c r="E525" s="33" t="s">
        <v>115</v>
      </c>
      <c r="G525" s="33" t="s">
        <v>109</v>
      </c>
      <c r="H525" s="33" t="s">
        <v>116</v>
      </c>
      <c r="AU525" s="141">
        <v>0.34534530932312468</v>
      </c>
      <c r="AV525" s="21">
        <v>0.35172599517235781</v>
      </c>
      <c r="AW525" s="21">
        <v>0.34065046551220723</v>
      </c>
      <c r="AX525" s="21">
        <v>0.34337430315509987</v>
      </c>
      <c r="AY525" s="21">
        <v>0.34916832967707528</v>
      </c>
      <c r="BA525" s="34" t="str">
        <f t="shared" ca="1" si="33"/>
        <v>Scotland</v>
      </c>
      <c r="BB525" s="34" t="str">
        <f t="shared" si="81"/>
        <v>Variable policy</v>
      </c>
      <c r="BC525" s="34" t="str">
        <f t="shared" si="85"/>
        <v>Tax</v>
      </c>
    </row>
    <row r="526" spans="2:55" x14ac:dyDescent="0.35">
      <c r="E526" s="33" t="s">
        <v>119</v>
      </c>
      <c r="G526" s="33" t="s">
        <v>109</v>
      </c>
      <c r="H526" s="33" t="s">
        <v>120</v>
      </c>
      <c r="AU526" s="141">
        <v>5.6027900865573861E-3</v>
      </c>
      <c r="AV526" s="21">
        <v>5.0010266472562291E-3</v>
      </c>
      <c r="AW526" s="21">
        <v>6.9576753718335067E-3</v>
      </c>
      <c r="AX526" s="21">
        <v>5.3157505082448734E-3</v>
      </c>
      <c r="AY526" s="21">
        <v>4.972693850937333E-3</v>
      </c>
      <c r="BA526" s="34" t="str">
        <f t="shared" ca="1" si="33"/>
        <v>Scotland</v>
      </c>
      <c r="BB526" s="34" t="str">
        <f t="shared" si="81"/>
        <v>Variable policy</v>
      </c>
      <c r="BC526" s="34" t="str">
        <f t="shared" si="85"/>
        <v>Tax</v>
      </c>
    </row>
    <row r="527" spans="2:55" x14ac:dyDescent="0.35">
      <c r="E527" s="33" t="s">
        <v>117</v>
      </c>
      <c r="G527" s="33" t="s">
        <v>109</v>
      </c>
      <c r="H527" s="33" t="s">
        <v>118</v>
      </c>
      <c r="AU527" s="141">
        <v>0.43219445059082356</v>
      </c>
      <c r="AV527" s="21">
        <v>0.4091945541687223</v>
      </c>
      <c r="AW527" s="21">
        <v>0.41015874772673477</v>
      </c>
      <c r="AX527" s="21">
        <v>0.44670656071327663</v>
      </c>
      <c r="AY527" s="21">
        <v>0.4611043407815919</v>
      </c>
      <c r="BA527" s="34" t="str">
        <f t="shared" ca="1" si="33"/>
        <v>Scotland</v>
      </c>
      <c r="BB527" s="34" t="str">
        <f t="shared" si="81"/>
        <v>Variable policy</v>
      </c>
      <c r="BC527" s="34" t="str">
        <f t="shared" si="85"/>
        <v>Tax</v>
      </c>
    </row>
    <row r="528" spans="2:55" x14ac:dyDescent="0.35"/>
    <row r="529" spans="1:56" customFormat="1" ht="17.5" thickBot="1" x14ac:dyDescent="0.45">
      <c r="B529" s="15" t="s">
        <v>609</v>
      </c>
      <c r="G529" s="33"/>
      <c r="J529" s="33"/>
      <c r="AT529" s="61"/>
      <c r="BA529" s="34"/>
      <c r="BB529" s="34"/>
      <c r="BC529" s="34"/>
      <c r="BD529" s="34"/>
    </row>
    <row r="530" spans="1:56" ht="16.5" thickTop="1" x14ac:dyDescent="0.35">
      <c r="A530"/>
      <c r="B530"/>
      <c r="E530" t="s">
        <v>515</v>
      </c>
      <c r="G530" s="33" t="s">
        <v>77</v>
      </c>
      <c r="AT530" s="61"/>
      <c r="AU530"/>
      <c r="AV530" s="26">
        <v>0</v>
      </c>
      <c r="AW530" s="26">
        <v>0</v>
      </c>
      <c r="AX530" s="26">
        <v>0</v>
      </c>
      <c r="AY530" s="26">
        <v>0</v>
      </c>
      <c r="BA530" s="34" t="str">
        <f t="shared" ca="1" si="24"/>
        <v>Scotland</v>
      </c>
      <c r="BB530" s="34" t="str">
        <f t="shared" ref="BB530:BB531" si="86">$A$500</f>
        <v>Variable policy</v>
      </c>
      <c r="BC530" s="34" t="str">
        <f>$B$529</f>
        <v>Forecasting penalties</v>
      </c>
    </row>
    <row r="531" spans="1:56" x14ac:dyDescent="0.35">
      <c r="A531"/>
      <c r="B531"/>
      <c r="E531" t="s">
        <v>516</v>
      </c>
      <c r="G531" s="33" t="s">
        <v>77</v>
      </c>
      <c r="AT531" s="61"/>
      <c r="AU531"/>
      <c r="AV531" s="26">
        <v>0</v>
      </c>
      <c r="AW531" s="26">
        <v>0</v>
      </c>
      <c r="AX531" s="26">
        <v>0</v>
      </c>
      <c r="AY531" s="26">
        <v>0</v>
      </c>
      <c r="BA531" s="34" t="str">
        <f t="shared" ca="1" si="24"/>
        <v>Scotland</v>
      </c>
      <c r="BB531" s="34" t="str">
        <f t="shared" si="86"/>
        <v>Variable policy</v>
      </c>
      <c r="BC531" s="34" t="str">
        <f>$B$529</f>
        <v>Forecasting penalties</v>
      </c>
    </row>
    <row r="532" spans="1:56" customFormat="1" ht="14.5" x14ac:dyDescent="0.35">
      <c r="AT532" s="61"/>
      <c r="BA532" s="34"/>
    </row>
    <row r="533" spans="1:56" customFormat="1" ht="20" thickBot="1" x14ac:dyDescent="0.5">
      <c r="A533" s="13" t="s">
        <v>845</v>
      </c>
      <c r="AT533" s="61"/>
      <c r="BA533" s="34"/>
      <c r="BB533" s="34"/>
      <c r="BC533" s="34"/>
    </row>
    <row r="534" spans="1:56" ht="18" thickTop="1" thickBot="1" x14ac:dyDescent="0.4">
      <c r="B534" s="8" t="s">
        <v>226</v>
      </c>
    </row>
    <row r="535" spans="1:56" ht="17" thickTop="1" thickBot="1" x14ac:dyDescent="0.4">
      <c r="C535" s="9" t="s">
        <v>226</v>
      </c>
    </row>
    <row r="536" spans="1:56" x14ac:dyDescent="0.35">
      <c r="E536" s="33" t="s">
        <v>223</v>
      </c>
      <c r="F536" s="33" t="s">
        <v>185</v>
      </c>
      <c r="G536" s="33" t="s">
        <v>109</v>
      </c>
      <c r="H536" s="33" t="s">
        <v>224</v>
      </c>
      <c r="I536" s="23">
        <v>0.6</v>
      </c>
      <c r="BA536" s="34" t="str">
        <f t="shared" ref="BA536:BA548" ca="1" si="87">$A$1</f>
        <v>Scotland</v>
      </c>
      <c r="BB536" s="34" t="str">
        <f t="shared" ref="BB536:BB548" si="88">$A$533</f>
        <v>Fixed policy</v>
      </c>
      <c r="BC536" s="34" t="str">
        <f t="shared" ref="BC536:BC548" si="89">$B$534</f>
        <v>Finance</v>
      </c>
      <c r="BD536" s="34" t="str">
        <f t="shared" ref="BD536:BD542" si="90">$C$535</f>
        <v>Finance</v>
      </c>
    </row>
    <row r="537" spans="1:56" x14ac:dyDescent="0.35">
      <c r="E537" s="33" t="s">
        <v>227</v>
      </c>
      <c r="G537" s="33" t="s">
        <v>109</v>
      </c>
      <c r="AU537" s="140">
        <v>0</v>
      </c>
      <c r="AV537" s="23">
        <v>0</v>
      </c>
      <c r="AW537" s="23">
        <v>0</v>
      </c>
      <c r="AX537" s="23">
        <v>0</v>
      </c>
      <c r="AY537" s="23">
        <v>0</v>
      </c>
      <c r="BA537" s="34" t="str">
        <f t="shared" ref="BA537:BA542" ca="1" si="91">$A$1</f>
        <v>Scotland</v>
      </c>
      <c r="BB537" s="34" t="str">
        <f t="shared" ref="BB537:BB542" si="92">$A$533</f>
        <v>Fixed policy</v>
      </c>
      <c r="BC537" s="34" t="str">
        <f t="shared" ref="BC537:BC542" si="93">$B$534</f>
        <v>Finance</v>
      </c>
      <c r="BD537" s="34" t="str">
        <f t="shared" si="90"/>
        <v>Finance</v>
      </c>
    </row>
    <row r="538" spans="1:56" x14ac:dyDescent="0.35">
      <c r="E538" s="33" t="s">
        <v>228</v>
      </c>
      <c r="G538" s="33" t="s">
        <v>109</v>
      </c>
      <c r="AU538" s="140">
        <v>0.05</v>
      </c>
      <c r="AV538" s="23">
        <v>0.05</v>
      </c>
      <c r="AW538" s="23">
        <v>0.05</v>
      </c>
      <c r="AX538" s="23">
        <v>0.05</v>
      </c>
      <c r="AY538" s="23">
        <v>0.05</v>
      </c>
      <c r="BA538" s="34" t="str">
        <f t="shared" ca="1" si="91"/>
        <v>Scotland</v>
      </c>
      <c r="BB538" s="34" t="str">
        <f t="shared" si="92"/>
        <v>Fixed policy</v>
      </c>
      <c r="BC538" s="34" t="str">
        <f t="shared" si="93"/>
        <v>Finance</v>
      </c>
      <c r="BD538" s="34" t="str">
        <f t="shared" si="90"/>
        <v>Finance</v>
      </c>
    </row>
    <row r="539" spans="1:56" x14ac:dyDescent="0.35">
      <c r="E539" s="33" t="s">
        <v>816</v>
      </c>
      <c r="G539" s="33" t="s">
        <v>109</v>
      </c>
      <c r="AU539" s="140">
        <v>0.03</v>
      </c>
      <c r="AV539" s="23">
        <v>0.03</v>
      </c>
      <c r="AW539" s="23">
        <v>0.03</v>
      </c>
      <c r="AX539" s="23">
        <v>0.03</v>
      </c>
      <c r="AY539" s="23">
        <v>0.03</v>
      </c>
      <c r="BA539" s="34" t="str">
        <f t="shared" ca="1" si="91"/>
        <v>Scotland</v>
      </c>
      <c r="BB539" s="34" t="str">
        <f t="shared" si="92"/>
        <v>Fixed policy</v>
      </c>
      <c r="BC539" s="34" t="str">
        <f t="shared" si="93"/>
        <v>Finance</v>
      </c>
      <c r="BD539" s="34" t="str">
        <f t="shared" si="90"/>
        <v>Finance</v>
      </c>
    </row>
    <row r="540" spans="1:56" x14ac:dyDescent="0.35">
      <c r="E540" s="33" t="s">
        <v>229</v>
      </c>
      <c r="G540" s="33" t="s">
        <v>109</v>
      </c>
      <c r="AU540" s="140">
        <v>0.3</v>
      </c>
      <c r="AV540" s="23">
        <v>0.3</v>
      </c>
      <c r="AW540" s="23">
        <v>0.3</v>
      </c>
      <c r="AX540" s="23">
        <v>0.3</v>
      </c>
      <c r="AY540" s="23">
        <v>0.3</v>
      </c>
      <c r="BA540" s="34" t="str">
        <f t="shared" ca="1" si="91"/>
        <v>Scotland</v>
      </c>
      <c r="BB540" s="34" t="str">
        <f t="shared" si="92"/>
        <v>Fixed policy</v>
      </c>
      <c r="BC540" s="34" t="str">
        <f t="shared" si="93"/>
        <v>Finance</v>
      </c>
      <c r="BD540" s="34" t="str">
        <f t="shared" si="90"/>
        <v>Finance</v>
      </c>
    </row>
    <row r="541" spans="1:56" x14ac:dyDescent="0.35">
      <c r="E541" s="33" t="s">
        <v>394</v>
      </c>
      <c r="G541" s="33" t="str">
        <f>nominal</f>
        <v>£m nominal</v>
      </c>
      <c r="I541" s="22">
        <v>5</v>
      </c>
      <c r="AU541"/>
      <c r="AV541"/>
      <c r="AW541"/>
      <c r="AX541"/>
      <c r="AY541"/>
      <c r="BA541" s="34" t="str">
        <f t="shared" ca="1" si="91"/>
        <v>Scotland</v>
      </c>
      <c r="BB541" s="34" t="str">
        <f t="shared" si="92"/>
        <v>Fixed policy</v>
      </c>
      <c r="BC541" s="34" t="str">
        <f t="shared" si="93"/>
        <v>Finance</v>
      </c>
      <c r="BD541" s="34" t="str">
        <f t="shared" si="90"/>
        <v>Finance</v>
      </c>
    </row>
    <row r="542" spans="1:56" x14ac:dyDescent="0.35">
      <c r="E542" s="33" t="s">
        <v>393</v>
      </c>
      <c r="G542" s="33" t="s">
        <v>109</v>
      </c>
      <c r="I542" s="23">
        <v>0.5</v>
      </c>
      <c r="AU542"/>
      <c r="AV542"/>
      <c r="AW542"/>
      <c r="AX542"/>
      <c r="AY542"/>
      <c r="BA542" s="34" t="str">
        <f t="shared" ca="1" si="91"/>
        <v>Scotland</v>
      </c>
      <c r="BB542" s="34" t="str">
        <f t="shared" si="92"/>
        <v>Fixed policy</v>
      </c>
      <c r="BC542" s="34" t="str">
        <f t="shared" si="93"/>
        <v>Finance</v>
      </c>
      <c r="BD542" s="34" t="str">
        <f t="shared" si="90"/>
        <v>Finance</v>
      </c>
    </row>
    <row r="543" spans="1:56" x14ac:dyDescent="0.35"/>
    <row r="544" spans="1:56" ht="16.5" thickBot="1" x14ac:dyDescent="0.4">
      <c r="C544" s="9" t="s">
        <v>218</v>
      </c>
    </row>
    <row r="545" spans="2:56" x14ac:dyDescent="0.35">
      <c r="E545" s="33" t="s">
        <v>219</v>
      </c>
      <c r="G545" s="33" t="s">
        <v>186</v>
      </c>
      <c r="H545" s="33" t="s">
        <v>220</v>
      </c>
      <c r="AU545" s="140">
        <v>0</v>
      </c>
      <c r="AV545" s="23">
        <v>0</v>
      </c>
      <c r="AW545" s="23">
        <v>0</v>
      </c>
      <c r="AX545" s="23">
        <v>0</v>
      </c>
      <c r="AY545" s="23">
        <v>0</v>
      </c>
      <c r="BA545" s="34" t="str">
        <f t="shared" ca="1" si="87"/>
        <v>Scotland</v>
      </c>
      <c r="BB545" s="34" t="str">
        <f>$A$533</f>
        <v>Fixed policy</v>
      </c>
      <c r="BC545" s="34" t="str">
        <f>$B$534</f>
        <v>Finance</v>
      </c>
      <c r="BD545" s="34" t="str">
        <f>$C$544</f>
        <v>Allowed return on capital</v>
      </c>
    </row>
    <row r="546" spans="2:56" x14ac:dyDescent="0.35">
      <c r="E546" s="33" t="s">
        <v>221</v>
      </c>
      <c r="G546" s="33" t="s">
        <v>77</v>
      </c>
      <c r="AU546" s="146">
        <v>0.83</v>
      </c>
      <c r="AV546" s="29">
        <v>0.83</v>
      </c>
      <c r="AW546" s="29">
        <v>0.83</v>
      </c>
      <c r="AX546" s="29">
        <v>0.83</v>
      </c>
      <c r="AY546" s="29">
        <v>0.83</v>
      </c>
      <c r="BA546" s="34" t="str">
        <f t="shared" ca="1" si="87"/>
        <v>Scotland</v>
      </c>
      <c r="BB546" s="34" t="str">
        <f t="shared" si="88"/>
        <v>Fixed policy</v>
      </c>
      <c r="BC546" s="34" t="str">
        <f t="shared" si="89"/>
        <v>Finance</v>
      </c>
      <c r="BD546" s="34" t="str">
        <f t="shared" ref="BD546:BD548" si="94">$C$544</f>
        <v>Allowed return on capital</v>
      </c>
    </row>
    <row r="547" spans="2:56" x14ac:dyDescent="0.35">
      <c r="E547" s="33" t="s">
        <v>222</v>
      </c>
      <c r="G547" s="33" t="s">
        <v>109</v>
      </c>
      <c r="AU547" s="140">
        <v>6.9000000000000006E-2</v>
      </c>
      <c r="AV547" s="23">
        <v>6.9000000000000006E-2</v>
      </c>
      <c r="AW547" s="23">
        <v>6.9000000000000006E-2</v>
      </c>
      <c r="AX547" s="23">
        <v>6.9000000000000006E-2</v>
      </c>
      <c r="AY547" s="23">
        <v>6.9000000000000006E-2</v>
      </c>
      <c r="BA547" s="34" t="str">
        <f t="shared" ca="1" si="87"/>
        <v>Scotland</v>
      </c>
      <c r="BB547" s="34" t="str">
        <f t="shared" si="88"/>
        <v>Fixed policy</v>
      </c>
      <c r="BC547" s="34" t="str">
        <f t="shared" si="89"/>
        <v>Finance</v>
      </c>
      <c r="BD547" s="34" t="str">
        <f t="shared" si="94"/>
        <v>Allowed return on capital</v>
      </c>
    </row>
    <row r="548" spans="2:56" x14ac:dyDescent="0.35">
      <c r="E548" s="33" t="s">
        <v>225</v>
      </c>
      <c r="G548" s="33" t="s">
        <v>109</v>
      </c>
      <c r="AU548" s="140">
        <v>0.6</v>
      </c>
      <c r="AV548" s="23">
        <v>0.6</v>
      </c>
      <c r="AW548" s="23">
        <v>0.6</v>
      </c>
      <c r="AX548" s="23">
        <v>0.6</v>
      </c>
      <c r="AY548" s="23">
        <v>0.6</v>
      </c>
      <c r="BA548" s="34" t="str">
        <f t="shared" ca="1" si="87"/>
        <v>Scotland</v>
      </c>
      <c r="BB548" s="34" t="str">
        <f t="shared" si="88"/>
        <v>Fixed policy</v>
      </c>
      <c r="BC548" s="34" t="str">
        <f t="shared" si="89"/>
        <v>Finance</v>
      </c>
      <c r="BD548" s="34" t="str">
        <f t="shared" si="94"/>
        <v>Allowed return on capital</v>
      </c>
    </row>
    <row r="549" spans="2:56" x14ac:dyDescent="0.35"/>
    <row r="550" spans="2:56" ht="17.5" thickBot="1" x14ac:dyDescent="0.4">
      <c r="B550" s="8" t="s">
        <v>475</v>
      </c>
    </row>
    <row r="551" spans="2:56" ht="16.5" thickTop="1" x14ac:dyDescent="0.35">
      <c r="E551" s="33" t="s">
        <v>182</v>
      </c>
      <c r="G551" s="33" t="s">
        <v>109</v>
      </c>
      <c r="AU551" s="140">
        <v>0.6</v>
      </c>
      <c r="AV551" s="23">
        <v>0.6</v>
      </c>
      <c r="AW551" s="23">
        <v>0.6</v>
      </c>
      <c r="AX551" s="23">
        <v>0.6</v>
      </c>
      <c r="AY551" s="23">
        <v>0.6</v>
      </c>
      <c r="BA551" s="34" t="str">
        <f t="shared" ca="1" si="66"/>
        <v>Scotland</v>
      </c>
      <c r="BB551" s="34" t="str">
        <f t="shared" ref="BB551:BB553" si="95">$A$533</f>
        <v>Fixed policy</v>
      </c>
      <c r="BC551" s="34" t="str">
        <f>$B$550</f>
        <v>Tax</v>
      </c>
    </row>
    <row r="552" spans="2:56" x14ac:dyDescent="0.35">
      <c r="E552" s="33" t="s">
        <v>411</v>
      </c>
      <c r="G552" s="33" t="s">
        <v>109</v>
      </c>
      <c r="I552"/>
      <c r="AU552" s="140">
        <v>1</v>
      </c>
      <c r="AV552" s="23">
        <v>1</v>
      </c>
      <c r="AW552" s="23">
        <v>1</v>
      </c>
      <c r="AX552" s="23">
        <v>1</v>
      </c>
      <c r="AY552" s="23">
        <v>1</v>
      </c>
      <c r="BA552" s="34" t="str">
        <f t="shared" ca="1" si="66"/>
        <v>Scotland</v>
      </c>
      <c r="BB552" s="34" t="str">
        <f t="shared" si="95"/>
        <v>Fixed policy</v>
      </c>
      <c r="BC552" s="34" t="str">
        <f t="shared" ref="BC552:BC553" si="96">$B$550</f>
        <v>Tax</v>
      </c>
    </row>
    <row r="553" spans="2:56" x14ac:dyDescent="0.35">
      <c r="E553" s="33" t="s">
        <v>812</v>
      </c>
      <c r="G553" s="33" t="s">
        <v>109</v>
      </c>
      <c r="I553"/>
      <c r="AU553" s="140">
        <v>0.5</v>
      </c>
      <c r="AV553" s="23">
        <v>0.5</v>
      </c>
      <c r="AW553" s="23">
        <v>0.5</v>
      </c>
      <c r="AX553" s="23">
        <v>0.5</v>
      </c>
      <c r="AY553" s="23">
        <v>0.5</v>
      </c>
      <c r="BA553" s="34" t="str">
        <f t="shared" ca="1" si="66"/>
        <v>Scotland</v>
      </c>
      <c r="BB553" s="34" t="str">
        <f t="shared" si="95"/>
        <v>Fixed policy</v>
      </c>
      <c r="BC553" s="34" t="str">
        <f t="shared" si="96"/>
        <v>Tax</v>
      </c>
    </row>
    <row r="554" spans="2:56" customFormat="1" ht="14.5" x14ac:dyDescent="0.35">
      <c r="AT554" s="61"/>
    </row>
    <row r="555" spans="2:56" customFormat="1" ht="17.5" thickBot="1" x14ac:dyDescent="0.45">
      <c r="B555" s="15" t="s">
        <v>230</v>
      </c>
      <c r="AT555" s="61"/>
    </row>
    <row r="556" spans="2:56" ht="16.5" thickTop="1" x14ac:dyDescent="0.35">
      <c r="E556" s="33" t="s">
        <v>417</v>
      </c>
      <c r="G556" s="33" t="s">
        <v>109</v>
      </c>
      <c r="I556" s="23">
        <v>0.5</v>
      </c>
      <c r="BA556" s="34" t="str">
        <f t="shared" ref="BA556:BA565" ca="1" si="97">$A$1</f>
        <v>Scotland</v>
      </c>
      <c r="BB556" s="34" t="str">
        <f t="shared" ref="BB556:BB559" si="98">$A$533</f>
        <v>Fixed policy</v>
      </c>
      <c r="BC556" s="34" t="str">
        <f>$B$555</f>
        <v>TIM and capitalisation</v>
      </c>
      <c r="BD556"/>
    </row>
    <row r="557" spans="2:56" x14ac:dyDescent="0.35">
      <c r="E557" s="33" t="s">
        <v>10</v>
      </c>
      <c r="G557" s="33" t="s">
        <v>109</v>
      </c>
      <c r="AU557" s="140">
        <v>0.31</v>
      </c>
      <c r="AV557" s="23">
        <v>0.31</v>
      </c>
      <c r="AW557" s="23">
        <v>0.31</v>
      </c>
      <c r="AX557" s="23">
        <v>0.31</v>
      </c>
      <c r="AY557" s="23">
        <v>0.31</v>
      </c>
      <c r="BA557" s="34" t="str">
        <f t="shared" ca="1" si="97"/>
        <v>Scotland</v>
      </c>
      <c r="BB557" s="34" t="str">
        <f t="shared" si="98"/>
        <v>Fixed policy</v>
      </c>
      <c r="BC557" s="34" t="str">
        <f>$B$555</f>
        <v>TIM and capitalisation</v>
      </c>
      <c r="BD557"/>
    </row>
    <row r="558" spans="2:56" x14ac:dyDescent="0.35">
      <c r="E558" s="33" t="s">
        <v>21</v>
      </c>
      <c r="G558" s="33" t="s">
        <v>109</v>
      </c>
      <c r="AU558" s="140">
        <v>0.7</v>
      </c>
      <c r="AV558" s="23">
        <v>0.7</v>
      </c>
      <c r="AW558" s="23">
        <v>0.7</v>
      </c>
      <c r="AX558" s="23">
        <v>0.7</v>
      </c>
      <c r="AY558" s="23">
        <v>0.7</v>
      </c>
      <c r="BA558" s="34" t="str">
        <f t="shared" ca="1" si="97"/>
        <v>Scotland</v>
      </c>
      <c r="BB558" s="34" t="str">
        <f t="shared" si="98"/>
        <v>Fixed policy</v>
      </c>
      <c r="BC558" s="34" t="str">
        <f>$B$555</f>
        <v>TIM and capitalisation</v>
      </c>
      <c r="BD558"/>
    </row>
    <row r="559" spans="2:56" x14ac:dyDescent="0.35">
      <c r="E559" s="33" t="s">
        <v>416</v>
      </c>
      <c r="G559" s="33" t="s">
        <v>109</v>
      </c>
      <c r="AU559" s="140">
        <v>1</v>
      </c>
      <c r="AV559" s="23">
        <v>1</v>
      </c>
      <c r="AW559" s="23">
        <v>1</v>
      </c>
      <c r="AX559" s="23">
        <v>1</v>
      </c>
      <c r="AY559" s="23">
        <v>1</v>
      </c>
      <c r="BA559" s="34" t="str">
        <f t="shared" ca="1" si="97"/>
        <v>Scotland</v>
      </c>
      <c r="BB559" s="34" t="str">
        <f t="shared" si="98"/>
        <v>Fixed policy</v>
      </c>
      <c r="BC559" s="34" t="str">
        <f>$B$555</f>
        <v>TIM and capitalisation</v>
      </c>
      <c r="BD559"/>
    </row>
    <row r="560" spans="2:56" x14ac:dyDescent="0.35"/>
    <row r="561" spans="1:56" ht="17.5" thickBot="1" x14ac:dyDescent="0.4">
      <c r="B561" s="8" t="s">
        <v>184</v>
      </c>
    </row>
    <row r="562" spans="1:56" customFormat="1" ht="15" thickTop="1" x14ac:dyDescent="0.35">
      <c r="E562" t="s">
        <v>652</v>
      </c>
      <c r="G562" s="33" t="s">
        <v>109</v>
      </c>
      <c r="I562" s="84">
        <v>0.03</v>
      </c>
      <c r="AT562" s="61"/>
      <c r="BA562" s="34" t="str">
        <f t="shared" ca="1" si="97"/>
        <v>Scotland</v>
      </c>
      <c r="BB562" s="34" t="str">
        <f t="shared" ref="BB562:BB565" si="99">$A$533</f>
        <v>Fixed policy</v>
      </c>
      <c r="BC562" s="34" t="str">
        <f>$B$561</f>
        <v>Operational performance and return adjustment</v>
      </c>
    </row>
    <row r="563" spans="1:56" customFormat="1" ht="14.5" x14ac:dyDescent="0.35">
      <c r="E563" t="s">
        <v>653</v>
      </c>
      <c r="G563" s="33" t="s">
        <v>109</v>
      </c>
      <c r="I563" s="84">
        <v>0.04</v>
      </c>
      <c r="AT563" s="61"/>
      <c r="BA563" s="34" t="str">
        <f t="shared" ca="1" si="97"/>
        <v>Scotland</v>
      </c>
      <c r="BB563" s="34" t="str">
        <f t="shared" si="99"/>
        <v>Fixed policy</v>
      </c>
      <c r="BC563" s="34" t="str">
        <f>$B$561</f>
        <v>Operational performance and return adjustment</v>
      </c>
    </row>
    <row r="564" spans="1:56" customFormat="1" ht="14.5" x14ac:dyDescent="0.35">
      <c r="E564" t="s">
        <v>654</v>
      </c>
      <c r="G564" s="33" t="s">
        <v>109</v>
      </c>
      <c r="I564" s="84">
        <v>0.5</v>
      </c>
      <c r="AT564" s="61"/>
      <c r="BA564" s="34" t="str">
        <f t="shared" ca="1" si="97"/>
        <v>Scotland</v>
      </c>
      <c r="BB564" s="34" t="str">
        <f t="shared" si="99"/>
        <v>Fixed policy</v>
      </c>
      <c r="BC564" s="34" t="str">
        <f>$B$561</f>
        <v>Operational performance and return adjustment</v>
      </c>
    </row>
    <row r="565" spans="1:56" customFormat="1" ht="14.5" x14ac:dyDescent="0.35">
      <c r="E565" t="s">
        <v>655</v>
      </c>
      <c r="G565" s="33" t="s">
        <v>109</v>
      </c>
      <c r="I565" s="84">
        <v>0.9</v>
      </c>
      <c r="AT565" s="61"/>
      <c r="BA565" s="34" t="str">
        <f t="shared" ca="1" si="97"/>
        <v>Scotland</v>
      </c>
      <c r="BB565" s="34" t="str">
        <f t="shared" si="99"/>
        <v>Fixed policy</v>
      </c>
      <c r="BC565" s="34" t="str">
        <f>$B$561</f>
        <v>Operational performance and return adjustment</v>
      </c>
    </row>
    <row r="566" spans="1:56" customFormat="1" ht="14.5" x14ac:dyDescent="0.35">
      <c r="AT566" s="61"/>
    </row>
    <row r="567" spans="1:56" ht="17.5" thickBot="1" x14ac:dyDescent="0.45">
      <c r="B567" s="123" t="s">
        <v>846</v>
      </c>
    </row>
    <row r="568" spans="1:56" ht="16.5" thickTop="1" x14ac:dyDescent="0.35">
      <c r="E568" s="33" t="s">
        <v>403</v>
      </c>
      <c r="G568" s="33" t="s">
        <v>109</v>
      </c>
      <c r="I568" s="23">
        <v>1.1111111111111112</v>
      </c>
      <c r="BA568" s="34" t="str">
        <f t="shared" ref="BA568:BA573" ca="1" si="100">$A$1</f>
        <v>Scotland</v>
      </c>
      <c r="BB568" s="34" t="str">
        <f t="shared" ref="BB568:BB573" si="101">$A$533</f>
        <v>Fixed policy</v>
      </c>
      <c r="BC568" s="34" t="str">
        <f t="shared" ref="BC568:BC573" si="102">$B$567</f>
        <v>Assumed cost multipliers</v>
      </c>
      <c r="BD568"/>
    </row>
    <row r="569" spans="1:56" x14ac:dyDescent="0.35">
      <c r="E569" s="33" t="s">
        <v>67</v>
      </c>
      <c r="G569" s="33" t="s">
        <v>109</v>
      </c>
      <c r="I569" s="23">
        <v>1.1111111111111112</v>
      </c>
      <c r="BA569" s="34" t="str">
        <f t="shared" ca="1" si="100"/>
        <v>Scotland</v>
      </c>
      <c r="BB569" s="34" t="str">
        <f t="shared" si="101"/>
        <v>Fixed policy</v>
      </c>
      <c r="BC569" s="34" t="str">
        <f t="shared" si="102"/>
        <v>Assumed cost multipliers</v>
      </c>
      <c r="BD569"/>
    </row>
    <row r="570" spans="1:56" x14ac:dyDescent="0.35">
      <c r="E570" s="33" t="s">
        <v>70</v>
      </c>
      <c r="G570" s="33" t="s">
        <v>109</v>
      </c>
      <c r="I570" s="23">
        <v>1</v>
      </c>
      <c r="BA570" s="34" t="str">
        <f t="shared" ca="1" si="100"/>
        <v>Scotland</v>
      </c>
      <c r="BB570" s="34" t="str">
        <f t="shared" si="101"/>
        <v>Fixed policy</v>
      </c>
      <c r="BC570" s="34" t="str">
        <f t="shared" si="102"/>
        <v>Assumed cost multipliers</v>
      </c>
      <c r="BD570"/>
    </row>
    <row r="571" spans="1:56" x14ac:dyDescent="0.35">
      <c r="E571" s="33" t="s">
        <v>73</v>
      </c>
      <c r="G571" s="33" t="s">
        <v>109</v>
      </c>
      <c r="I571" s="23">
        <v>0</v>
      </c>
      <c r="BA571" s="34" t="str">
        <f t="shared" ca="1" si="100"/>
        <v>Scotland</v>
      </c>
      <c r="BB571" s="34" t="str">
        <f t="shared" si="101"/>
        <v>Fixed policy</v>
      </c>
      <c r="BC571" s="34" t="str">
        <f t="shared" si="102"/>
        <v>Assumed cost multipliers</v>
      </c>
      <c r="BD571"/>
    </row>
    <row r="572" spans="1:56" x14ac:dyDescent="0.35">
      <c r="E572" s="33" t="s">
        <v>74</v>
      </c>
      <c r="G572" s="33" t="s">
        <v>109</v>
      </c>
      <c r="I572" s="23">
        <v>0</v>
      </c>
      <c r="BA572" s="34" t="str">
        <f t="shared" ca="1" si="100"/>
        <v>Scotland</v>
      </c>
      <c r="BB572" s="34" t="str">
        <f t="shared" si="101"/>
        <v>Fixed policy</v>
      </c>
      <c r="BC572" s="34" t="str">
        <f t="shared" si="102"/>
        <v>Assumed cost multipliers</v>
      </c>
      <c r="BD572"/>
    </row>
    <row r="573" spans="1:56" x14ac:dyDescent="0.35">
      <c r="E573" s="33" t="s">
        <v>75</v>
      </c>
      <c r="G573" s="33" t="s">
        <v>109</v>
      </c>
      <c r="I573" s="23">
        <v>0</v>
      </c>
      <c r="BA573" s="34" t="str">
        <f t="shared" ca="1" si="100"/>
        <v>Scotland</v>
      </c>
      <c r="BB573" s="34" t="str">
        <f t="shared" si="101"/>
        <v>Fixed policy</v>
      </c>
      <c r="BC573" s="34" t="str">
        <f t="shared" si="102"/>
        <v>Assumed cost multipliers</v>
      </c>
      <c r="BD573"/>
    </row>
    <row r="574" spans="1:56" x14ac:dyDescent="0.35"/>
    <row r="575" spans="1:56" customFormat="1" ht="17.5" thickBot="1" x14ac:dyDescent="0.4">
      <c r="A575" s="6"/>
      <c r="B575" s="8" t="s">
        <v>842</v>
      </c>
      <c r="E575" s="33"/>
      <c r="F575" s="33"/>
      <c r="G575" s="33"/>
      <c r="H575" s="33"/>
      <c r="AT575" s="61"/>
      <c r="BA575" s="34"/>
    </row>
    <row r="576" spans="1:56" customFormat="1" ht="16.5" thickTop="1" x14ac:dyDescent="0.35">
      <c r="A576" s="6"/>
      <c r="B576" s="6"/>
      <c r="E576" s="33" t="s">
        <v>521</v>
      </c>
      <c r="F576" s="33"/>
      <c r="G576" s="33" t="s">
        <v>109</v>
      </c>
      <c r="H576" s="33"/>
      <c r="I576" s="84">
        <v>0.08</v>
      </c>
      <c r="AT576" s="61"/>
      <c r="BA576" s="34" t="str">
        <f t="shared" ref="BA576:BA580" ca="1" si="103">$A$1</f>
        <v>Scotland</v>
      </c>
      <c r="BB576" s="34" t="str">
        <f t="shared" ref="BB576:BB580" si="104">$A$533</f>
        <v>Fixed policy</v>
      </c>
      <c r="BC576" s="34" t="str">
        <f>$B$575</f>
        <v>Allowed revenue true-up</v>
      </c>
    </row>
    <row r="577" spans="1:55" customFormat="1" x14ac:dyDescent="0.35">
      <c r="A577" s="6"/>
      <c r="B577" s="6"/>
      <c r="E577" s="33" t="s">
        <v>522</v>
      </c>
      <c r="F577" s="33"/>
      <c r="G577" s="33" t="s">
        <v>109</v>
      </c>
      <c r="H577" s="33"/>
      <c r="I577" s="84">
        <v>1.15E-2</v>
      </c>
      <c r="AT577" s="61"/>
      <c r="BA577" s="34" t="str">
        <f t="shared" ca="1" si="103"/>
        <v>Scotland</v>
      </c>
      <c r="BB577" s="34" t="str">
        <f t="shared" si="104"/>
        <v>Fixed policy</v>
      </c>
      <c r="BC577" s="34" t="str">
        <f>$B$575</f>
        <v>Allowed revenue true-up</v>
      </c>
    </row>
    <row r="578" spans="1:55" customFormat="1" x14ac:dyDescent="0.35">
      <c r="A578" s="6"/>
      <c r="B578" s="6"/>
      <c r="E578" s="33" t="s">
        <v>523</v>
      </c>
      <c r="F578" s="33"/>
      <c r="G578" s="33" t="s">
        <v>109</v>
      </c>
      <c r="H578" s="33"/>
      <c r="I578" s="84">
        <v>1.15E-2</v>
      </c>
      <c r="AT578" s="61"/>
      <c r="BA578" s="34" t="str">
        <f t="shared" ca="1" si="103"/>
        <v>Scotland</v>
      </c>
      <c r="BB578" s="34" t="str">
        <f t="shared" si="104"/>
        <v>Fixed policy</v>
      </c>
      <c r="BC578" s="34" t="str">
        <f>$B$575</f>
        <v>Allowed revenue true-up</v>
      </c>
    </row>
    <row r="579" spans="1:55" customFormat="1" x14ac:dyDescent="0.35">
      <c r="A579" s="6"/>
      <c r="B579" s="6"/>
      <c r="E579" s="33" t="s">
        <v>650</v>
      </c>
      <c r="F579" s="33"/>
      <c r="G579" s="33" t="s">
        <v>190</v>
      </c>
      <c r="H579" s="33"/>
      <c r="I579" s="31">
        <v>5</v>
      </c>
      <c r="AT579" s="61"/>
      <c r="BA579" s="34" t="str">
        <f t="shared" ca="1" si="103"/>
        <v>Scotland</v>
      </c>
      <c r="BB579" s="34" t="str">
        <f t="shared" si="104"/>
        <v>Fixed policy</v>
      </c>
      <c r="BC579" s="34" t="str">
        <f t="shared" ref="BC579:BC580" si="105">$B$575</f>
        <v>Allowed revenue true-up</v>
      </c>
    </row>
    <row r="580" spans="1:55" customFormat="1" x14ac:dyDescent="0.35">
      <c r="A580" s="6"/>
      <c r="B580" s="6"/>
      <c r="E580" s="33" t="s">
        <v>651</v>
      </c>
      <c r="F580" s="33"/>
      <c r="G580" s="33" t="s">
        <v>190</v>
      </c>
      <c r="H580" s="33"/>
      <c r="I580" s="31">
        <v>5</v>
      </c>
      <c r="AT580" s="61"/>
      <c r="BA580" s="34" t="str">
        <f t="shared" ca="1" si="103"/>
        <v>Scotland</v>
      </c>
      <c r="BB580" s="34" t="str">
        <f t="shared" si="104"/>
        <v>Fixed policy</v>
      </c>
      <c r="BC580" s="34" t="str">
        <f t="shared" si="105"/>
        <v>Allowed revenue true-up</v>
      </c>
    </row>
    <row r="581" spans="1:55" customFormat="1" ht="14.5" x14ac:dyDescent="0.35">
      <c r="AT581" s="61"/>
      <c r="BA581" s="34"/>
    </row>
    <row r="582" spans="1:55" customFormat="1" ht="17.5" thickBot="1" x14ac:dyDescent="0.45">
      <c r="B582" s="15" t="s">
        <v>234</v>
      </c>
      <c r="AT582" s="61"/>
      <c r="BA582" s="34"/>
    </row>
    <row r="583" spans="1:55" customFormat="1" ht="15" thickTop="1" x14ac:dyDescent="0.35">
      <c r="E583" t="s">
        <v>249</v>
      </c>
      <c r="I583" s="30">
        <v>45382</v>
      </c>
      <c r="AT583" s="61"/>
      <c r="BA583" s="34" t="str">
        <f t="shared" ref="BA583:BA591" ca="1" si="106">$A$1</f>
        <v>Scotland</v>
      </c>
      <c r="BB583" s="34" t="str">
        <f t="shared" ref="BB583:BB591" si="107">$A$533</f>
        <v>Fixed policy</v>
      </c>
      <c r="BC583" s="34" t="str">
        <f t="shared" ref="BC583:BC591" si="108">$B$582</f>
        <v>Flags</v>
      </c>
    </row>
    <row r="584" spans="1:55" customFormat="1" ht="14.5" x14ac:dyDescent="0.35">
      <c r="E584" t="s">
        <v>451</v>
      </c>
      <c r="G584" t="s">
        <v>239</v>
      </c>
      <c r="I584" s="30">
        <v>46477</v>
      </c>
      <c r="AT584" s="61"/>
      <c r="AU584" s="143">
        <v>1</v>
      </c>
      <c r="BA584" s="34" t="str">
        <f t="shared" ca="1" si="106"/>
        <v>Scotland</v>
      </c>
      <c r="BB584" s="34" t="str">
        <f t="shared" si="107"/>
        <v>Fixed policy</v>
      </c>
      <c r="BC584" s="34" t="str">
        <f t="shared" si="108"/>
        <v>Flags</v>
      </c>
    </row>
    <row r="585" spans="1:55" customFormat="1" ht="14.5" x14ac:dyDescent="0.35">
      <c r="E585" t="s">
        <v>235</v>
      </c>
      <c r="G585" t="s">
        <v>239</v>
      </c>
      <c r="AT585" s="61"/>
      <c r="AU585" s="143">
        <v>1</v>
      </c>
      <c r="AV585" s="31">
        <v>1</v>
      </c>
      <c r="AW585" s="31">
        <v>1</v>
      </c>
      <c r="AX585" s="31">
        <v>1</v>
      </c>
      <c r="AY585" s="31">
        <v>1</v>
      </c>
      <c r="BA585" s="34" t="str">
        <f t="shared" ca="1" si="106"/>
        <v>Scotland</v>
      </c>
      <c r="BB585" s="34" t="str">
        <f t="shared" si="107"/>
        <v>Fixed policy</v>
      </c>
      <c r="BC585" s="34" t="str">
        <f t="shared" si="108"/>
        <v>Flags</v>
      </c>
    </row>
    <row r="586" spans="1:55" customFormat="1" ht="14.5" x14ac:dyDescent="0.35">
      <c r="E586" t="s">
        <v>237</v>
      </c>
      <c r="G586" t="s">
        <v>239</v>
      </c>
      <c r="J586" s="33" t="s">
        <v>13</v>
      </c>
      <c r="AP586" s="31">
        <v>1</v>
      </c>
      <c r="AQ586" s="31">
        <v>1</v>
      </c>
      <c r="AR586" s="31">
        <v>1</v>
      </c>
      <c r="AS586" s="31">
        <v>1</v>
      </c>
      <c r="AT586" s="67">
        <v>1</v>
      </c>
      <c r="BA586" s="34" t="str">
        <f t="shared" ca="1" si="106"/>
        <v>Scotland</v>
      </c>
      <c r="BB586" s="34" t="str">
        <f t="shared" si="107"/>
        <v>Fixed policy</v>
      </c>
      <c r="BC586" s="34" t="str">
        <f t="shared" si="108"/>
        <v>Flags</v>
      </c>
    </row>
    <row r="587" spans="1:55" customFormat="1" ht="14.5" x14ac:dyDescent="0.35">
      <c r="E587" t="s">
        <v>460</v>
      </c>
      <c r="G587" t="s">
        <v>239</v>
      </c>
      <c r="J587" s="33" t="s">
        <v>13</v>
      </c>
      <c r="AH587" s="31">
        <v>1</v>
      </c>
      <c r="AI587" s="31">
        <v>1</v>
      </c>
      <c r="AJ587" s="31">
        <v>1</v>
      </c>
      <c r="AK587" s="31">
        <v>1</v>
      </c>
      <c r="AL587" s="31">
        <v>1</v>
      </c>
      <c r="AM587" s="31">
        <v>1</v>
      </c>
      <c r="AN587" s="31">
        <v>1</v>
      </c>
      <c r="AO587" s="31">
        <v>1</v>
      </c>
      <c r="AT587" s="61"/>
      <c r="BA587" s="34" t="str">
        <f t="shared" ca="1" si="106"/>
        <v>Scotland</v>
      </c>
      <c r="BB587" s="34" t="str">
        <f t="shared" si="107"/>
        <v>Fixed policy</v>
      </c>
      <c r="BC587" s="34" t="str">
        <f t="shared" si="108"/>
        <v>Flags</v>
      </c>
    </row>
    <row r="588" spans="1:55" customFormat="1" ht="14.5" x14ac:dyDescent="0.35">
      <c r="E588" t="s">
        <v>641</v>
      </c>
      <c r="G588" t="s">
        <v>239</v>
      </c>
      <c r="J588" s="33"/>
      <c r="AT588" s="67">
        <v>1</v>
      </c>
      <c r="BA588" s="34" t="str">
        <f t="shared" ca="1" si="106"/>
        <v>Scotland</v>
      </c>
      <c r="BB588" s="34" t="str">
        <f t="shared" si="107"/>
        <v>Fixed policy</v>
      </c>
      <c r="BC588" s="34" t="str">
        <f t="shared" si="108"/>
        <v>Flags</v>
      </c>
    </row>
    <row r="589" spans="1:55" customFormat="1" ht="14.5" x14ac:dyDescent="0.35">
      <c r="AT589" s="61"/>
      <c r="BA589" s="34"/>
      <c r="BB589" s="34"/>
      <c r="BC589" s="34"/>
    </row>
    <row r="590" spans="1:55" customFormat="1" ht="14.5" x14ac:dyDescent="0.35">
      <c r="E590" t="s">
        <v>833</v>
      </c>
      <c r="G590" t="s">
        <v>236</v>
      </c>
      <c r="AT590" s="61"/>
      <c r="AU590" s="143">
        <v>1</v>
      </c>
      <c r="AV590" s="31">
        <v>1</v>
      </c>
      <c r="AW590" s="31">
        <v>1</v>
      </c>
      <c r="AX590" s="31">
        <v>1</v>
      </c>
      <c r="BA590" s="34" t="str">
        <f t="shared" ca="1" si="106"/>
        <v>Scotland</v>
      </c>
      <c r="BB590" s="34" t="str">
        <f t="shared" si="107"/>
        <v>Fixed policy</v>
      </c>
      <c r="BC590" s="34" t="str">
        <f t="shared" si="108"/>
        <v>Flags</v>
      </c>
    </row>
    <row r="591" spans="1:55" customFormat="1" ht="14.5" x14ac:dyDescent="0.35">
      <c r="E591" t="s">
        <v>834</v>
      </c>
      <c r="G591" t="s">
        <v>236</v>
      </c>
      <c r="AT591" s="61"/>
      <c r="AY591" s="31">
        <v>1</v>
      </c>
      <c r="BA591" s="34" t="str">
        <f t="shared" ca="1" si="106"/>
        <v>Scotland</v>
      </c>
      <c r="BB591" s="34" t="str">
        <f t="shared" si="107"/>
        <v>Fixed policy</v>
      </c>
      <c r="BC591" s="34" t="str">
        <f t="shared" si="108"/>
        <v>Flags</v>
      </c>
    </row>
    <row r="592" spans="1:55" customFormat="1" ht="14.5" x14ac:dyDescent="0.35">
      <c r="AT592" s="61"/>
      <c r="BA592" s="34"/>
      <c r="BB592" s="34"/>
      <c r="BC592" s="34"/>
    </row>
    <row r="593" spans="1:55" customFormat="1" ht="14.5" x14ac:dyDescent="0.35">
      <c r="E593" t="s">
        <v>646</v>
      </c>
      <c r="G593" t="s">
        <v>239</v>
      </c>
      <c r="J593" s="33"/>
      <c r="AH593" s="31">
        <v>1</v>
      </c>
      <c r="AT593" s="61"/>
      <c r="BA593" s="34" t="str">
        <f t="shared" ref="BA593" ca="1" si="109">$A$1</f>
        <v>Scotland</v>
      </c>
      <c r="BB593" s="34" t="str">
        <f t="shared" ref="BB593" si="110">$A$533</f>
        <v>Fixed policy</v>
      </c>
      <c r="BC593" s="34" t="str">
        <f t="shared" ref="BC593" si="111">$B$582</f>
        <v>Flags</v>
      </c>
    </row>
    <row r="594" spans="1:55" customFormat="1" ht="14.5" x14ac:dyDescent="0.35">
      <c r="AT594" s="61"/>
      <c r="BA594" s="34"/>
      <c r="BB594" s="34"/>
      <c r="BC594" s="34"/>
    </row>
    <row r="595" spans="1:55" customFormat="1" ht="14.5" x14ac:dyDescent="0.35">
      <c r="E595" t="s">
        <v>238</v>
      </c>
      <c r="G595" t="s">
        <v>239</v>
      </c>
      <c r="I595" s="32" t="s">
        <v>240</v>
      </c>
      <c r="AT595" s="61"/>
      <c r="BA595" s="34" t="str">
        <f t="shared" ref="BA595" ca="1" si="112">$A$1</f>
        <v>Scotland</v>
      </c>
      <c r="BB595" s="34" t="str">
        <f t="shared" ref="BB595" si="113">$A$533</f>
        <v>Fixed policy</v>
      </c>
      <c r="BC595" s="34" t="str">
        <f>$B$582</f>
        <v>Flags</v>
      </c>
    </row>
    <row r="596" spans="1:55" x14ac:dyDescent="0.35"/>
    <row r="597" spans="1:55" ht="20" thickBot="1" x14ac:dyDescent="0.4">
      <c r="A597" s="18" t="s">
        <v>241</v>
      </c>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U597" s="10"/>
      <c r="AV597" s="10"/>
      <c r="AW597" s="10"/>
      <c r="AX597" s="10"/>
      <c r="AY597" s="10"/>
      <c r="AZ597" s="10"/>
      <c r="BA597" s="16"/>
      <c r="BB597" s="10"/>
      <c r="BC597" s="10"/>
    </row>
    <row r="598" spans="1:55" ht="16.5" thickTop="1" x14ac:dyDescent="0.35"/>
    <row r="599" spans="1:55" x14ac:dyDescent="0.35"/>
    <row r="600" spans="1:55" x14ac:dyDescent="0.35"/>
    <row r="601" spans="1:55" x14ac:dyDescent="0.35"/>
    <row r="602" spans="1:55" x14ac:dyDescent="0.35"/>
    <row r="603" spans="1:55" x14ac:dyDescent="0.35"/>
    <row r="604" spans="1:55" x14ac:dyDescent="0.35"/>
    <row r="605" spans="1:55" x14ac:dyDescent="0.35"/>
    <row r="606" spans="1:55" x14ac:dyDescent="0.35"/>
    <row r="607" spans="1:55" x14ac:dyDescent="0.35"/>
    <row r="608" spans="1:55"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sheetData>
  <dataConsolidate/>
  <conditionalFormatting sqref="H1">
    <cfRule type="cellIs" dxfId="1" priority="1" operator="equal">
      <formula>"ERROR"</formula>
    </cfRule>
  </conditionalFormatting>
  <pageMargins left="0.23622047244094491" right="0.23622047244094491" top="0.74803149606299213" bottom="0.74803149606299213" header="0.31496062992125984" footer="0.31496062992125984"/>
  <pageSetup paperSize="8" fitToHeight="0" orientation="portrait" r:id="rId1"/>
  <headerFooter>
    <oddHeader>&amp;L&amp;"Aptos"&amp;10&amp;K000000 Classified as Internal&amp;1#_x000D_</oddHeader>
    <oddFooter>&amp;LDraft at &amp;D&amp;R"&amp;A" sheet&amp;R"&amp;A" sheet&amp;R"&amp;A" sheet&amp;R"&amp;A" sheet&amp;R"&amp;A" sheet&amp;R"&amp;A" sheet&amp;R"&amp;A" sheet&amp;R"&amp;A" sheet</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444DC-8E25-49AD-AE55-67DA461E8832}">
  <sheetPr codeName="Sheet23">
    <tabColor rgb="FFFFFFCC"/>
    <pageSetUpPr autoPageBreaks="0" fitToPage="1"/>
  </sheetPr>
  <dimension ref="A1:BM881"/>
  <sheetViews>
    <sheetView zoomScale="85" zoomScaleNormal="85" workbookViewId="0">
      <pane xSplit="45" ySplit="4" topLeftCell="AT45" activePane="bottomRight" state="frozen"/>
      <selection activeCell="AT5" sqref="AT5"/>
      <selection pane="topRight" activeCell="AT5" sqref="AT5"/>
      <selection pane="bottomLeft" activeCell="AT5" sqref="AT5"/>
      <selection pane="bottomRight" activeCell="AU55" sqref="AU55"/>
    </sheetView>
  </sheetViews>
  <sheetFormatPr defaultColWidth="0" defaultRowHeight="16" zeroHeight="1" outlineLevelCol="1" x14ac:dyDescent="0.35"/>
  <cols>
    <col min="1" max="2" width="1.90625" style="6" customWidth="1"/>
    <col min="3" max="3" width="1.90625" customWidth="1"/>
    <col min="4" max="4" width="15.6328125" customWidth="1"/>
    <col min="5" max="5" width="65.6328125" style="33" customWidth="1"/>
    <col min="6" max="6" width="8.6328125" style="33" customWidth="1"/>
    <col min="7" max="7" width="17.6328125" style="33" customWidth="1"/>
    <col min="8" max="8" width="9.6328125" style="33" customWidth="1"/>
    <col min="9" max="9" width="11.6328125" style="33" customWidth="1"/>
    <col min="10" max="10" width="2.08984375" style="33" customWidth="1"/>
    <col min="11" max="45" width="11.6328125" style="33" hidden="1" customWidth="1" outlineLevel="1"/>
    <col min="46" max="46" width="11.6328125" style="60" customWidth="1" collapsed="1"/>
    <col min="47" max="51" width="11.6328125" style="33" customWidth="1"/>
    <col min="52" max="52" width="18.6328125" style="33" customWidth="1"/>
    <col min="53" max="56" width="10.6328125" style="34" customWidth="1"/>
    <col min="57" max="57" width="10.6328125" style="33" customWidth="1"/>
    <col min="58" max="58" width="1.6328125" style="33" customWidth="1"/>
    <col min="59" max="59" width="1.6328125" style="6" customWidth="1"/>
    <col min="60" max="60" width="12.08984375" style="6" hidden="1" customWidth="1"/>
    <col min="61" max="61" width="16" style="6" hidden="1" customWidth="1"/>
    <col min="62" max="64" width="12.08984375" style="6" hidden="1" customWidth="1"/>
    <col min="65" max="65" width="1.90625" style="6" hidden="1" customWidth="1"/>
    <col min="66" max="16384" width="0" style="6" hidden="1"/>
  </cols>
  <sheetData>
    <row r="1" spans="1:56" s="90" customFormat="1" ht="14.5" x14ac:dyDescent="0.35">
      <c r="A1" s="89" t="str" cm="1">
        <f t="array" aca="1" ref="A1" ca="1">MID(CELL("filename",$A$1),FIND("]",CELL("filename",$A$1))+1,255)</f>
        <v>Southern</v>
      </c>
      <c r="E1" s="106"/>
      <c r="G1" s="90" t="s">
        <v>572</v>
      </c>
      <c r="H1" s="27" t="e">
        <f>Checks!I7</f>
        <v>#REF!</v>
      </c>
      <c r="AT1" s="91"/>
      <c r="BA1" s="92"/>
    </row>
    <row r="2" spans="1:56" s="90" customFormat="1" ht="14.5" x14ac:dyDescent="0.35">
      <c r="AT2" s="91"/>
      <c r="BA2" s="92"/>
    </row>
    <row r="3" spans="1:56" s="90" customFormat="1" ht="14.5" x14ac:dyDescent="0.35">
      <c r="E3" s="90" t="s">
        <v>1</v>
      </c>
      <c r="F3" s="90" t="s">
        <v>2</v>
      </c>
      <c r="G3" s="90" t="s">
        <v>3</v>
      </c>
      <c r="H3" s="90" t="s">
        <v>4</v>
      </c>
      <c r="AT3" s="91"/>
      <c r="AU3" s="90" t="s">
        <v>6</v>
      </c>
      <c r="BA3" s="92"/>
    </row>
    <row r="4" spans="1:56" s="90" customFormat="1" ht="14.5" x14ac:dyDescent="0.35">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109" t="s">
        <v>591</v>
      </c>
      <c r="BB4" s="109" t="s">
        <v>592</v>
      </c>
      <c r="BC4" s="109" t="s">
        <v>593</v>
      </c>
      <c r="BD4" s="109" t="s">
        <v>594</v>
      </c>
    </row>
    <row r="5" spans="1:56" x14ac:dyDescent="0.35"/>
    <row r="6" spans="1:56" ht="20" thickBot="1" x14ac:dyDescent="0.4">
      <c r="A6" s="7" t="s">
        <v>8</v>
      </c>
    </row>
    <row r="7" spans="1:56" ht="18" thickTop="1" thickBot="1" x14ac:dyDescent="0.4">
      <c r="B7" s="8" t="s">
        <v>9</v>
      </c>
    </row>
    <row r="8" spans="1:56" ht="17" thickTop="1" thickBot="1" x14ac:dyDescent="0.4">
      <c r="C8" s="9" t="s">
        <v>10</v>
      </c>
    </row>
    <row r="9" spans="1:56" x14ac:dyDescent="0.35">
      <c r="E9" s="33" t="s">
        <v>11</v>
      </c>
      <c r="G9" s="33" t="str">
        <f>price_label</f>
        <v>£m 23/24 prices</v>
      </c>
      <c r="H9" s="33" t="s">
        <v>12</v>
      </c>
      <c r="AU9" s="137">
        <v>0</v>
      </c>
      <c r="AV9" s="20">
        <v>0</v>
      </c>
      <c r="AW9" s="20">
        <v>0</v>
      </c>
      <c r="AX9" s="20">
        <v>0</v>
      </c>
      <c r="AY9" s="20">
        <v>0</v>
      </c>
      <c r="BA9" s="34" t="str">
        <f ca="1">$A$1</f>
        <v>Southern</v>
      </c>
      <c r="BB9" s="34" t="str">
        <f>$A$6</f>
        <v>Variable inputs</v>
      </c>
      <c r="BC9" s="34" t="str">
        <f>$B$7</f>
        <v>Actual totex</v>
      </c>
      <c r="BD9" s="34" t="str">
        <f>$C$8</f>
        <v>Capitalisation rate 1</v>
      </c>
    </row>
    <row r="10" spans="1:56" x14ac:dyDescent="0.35">
      <c r="E10" s="33" t="s">
        <v>14</v>
      </c>
      <c r="G10" s="33" t="str">
        <f>price_label</f>
        <v>£m 23/24 prices</v>
      </c>
      <c r="H10" s="33" t="s">
        <v>15</v>
      </c>
      <c r="AU10" s="137">
        <v>0</v>
      </c>
      <c r="AV10" s="20">
        <v>0</v>
      </c>
      <c r="AW10" s="20">
        <v>0</v>
      </c>
      <c r="AX10" s="20">
        <v>0</v>
      </c>
      <c r="AY10" s="20">
        <v>0</v>
      </c>
      <c r="BA10" s="34" t="str">
        <f t="shared" ref="BA10:BA13" ca="1" si="0">$A$1</f>
        <v>Southern</v>
      </c>
      <c r="BB10" s="34" t="str">
        <f t="shared" ref="BB10:BB13" si="1">$A$6</f>
        <v>Variable inputs</v>
      </c>
      <c r="BC10" s="34" t="str">
        <f t="shared" ref="BC10:BC13" si="2">$B$7</f>
        <v>Actual totex</v>
      </c>
      <c r="BD10" s="34" t="str">
        <f t="shared" ref="BD10:BD13" si="3">$C$8</f>
        <v>Capitalisation rate 1</v>
      </c>
    </row>
    <row r="11" spans="1:56" x14ac:dyDescent="0.35">
      <c r="E11" s="33" t="s">
        <v>16</v>
      </c>
      <c r="G11" s="33" t="str">
        <f>price_label</f>
        <v>£m 23/24 prices</v>
      </c>
      <c r="H11" s="33" t="s">
        <v>17</v>
      </c>
      <c r="AU11" s="137">
        <v>0</v>
      </c>
      <c r="AV11" s="20">
        <v>0</v>
      </c>
      <c r="AW11" s="20">
        <v>0</v>
      </c>
      <c r="AX11" s="20">
        <v>0</v>
      </c>
      <c r="AY11" s="20">
        <v>0</v>
      </c>
      <c r="BA11" s="34" t="str">
        <f t="shared" ca="1" si="0"/>
        <v>Southern</v>
      </c>
      <c r="BB11" s="34" t="str">
        <f t="shared" si="1"/>
        <v>Variable inputs</v>
      </c>
      <c r="BC11" s="34" t="str">
        <f t="shared" si="2"/>
        <v>Actual totex</v>
      </c>
      <c r="BD11" s="34" t="str">
        <f t="shared" si="3"/>
        <v>Capitalisation rate 1</v>
      </c>
    </row>
    <row r="12" spans="1:56" x14ac:dyDescent="0.35">
      <c r="E12" s="33" t="s">
        <v>18</v>
      </c>
      <c r="G12" s="33" t="str">
        <f>price_label</f>
        <v>£m 23/24 prices</v>
      </c>
      <c r="H12" s="33" t="s">
        <v>19</v>
      </c>
      <c r="AU12" s="137">
        <v>0</v>
      </c>
      <c r="AV12" s="20">
        <v>0</v>
      </c>
      <c r="AW12" s="20">
        <v>0</v>
      </c>
      <c r="AX12" s="20">
        <v>0</v>
      </c>
      <c r="AY12" s="20">
        <v>0</v>
      </c>
      <c r="BA12" s="34" t="str">
        <f t="shared" ca="1" si="0"/>
        <v>Southern</v>
      </c>
      <c r="BB12" s="34" t="str">
        <f t="shared" si="1"/>
        <v>Variable inputs</v>
      </c>
      <c r="BC12" s="34" t="str">
        <f t="shared" si="2"/>
        <v>Actual totex</v>
      </c>
      <c r="BD12" s="34" t="str">
        <f t="shared" si="3"/>
        <v>Capitalisation rate 1</v>
      </c>
    </row>
    <row r="13" spans="1:56" x14ac:dyDescent="0.35">
      <c r="E13" s="33" t="s">
        <v>402</v>
      </c>
      <c r="G13" s="33" t="str">
        <f>price_label</f>
        <v>£m 23/24 prices</v>
      </c>
      <c r="H13" s="33" t="s">
        <v>20</v>
      </c>
      <c r="AU13" s="137">
        <v>0</v>
      </c>
      <c r="AV13" s="20">
        <v>0</v>
      </c>
      <c r="AW13" s="20">
        <v>0</v>
      </c>
      <c r="AX13" s="20">
        <v>0</v>
      </c>
      <c r="AY13" s="20">
        <v>0</v>
      </c>
      <c r="BA13" s="34" t="str">
        <f t="shared" ca="1" si="0"/>
        <v>Southern</v>
      </c>
      <c r="BB13" s="34" t="str">
        <f t="shared" si="1"/>
        <v>Variable inputs</v>
      </c>
      <c r="BC13" s="34" t="str">
        <f t="shared" si="2"/>
        <v>Actual totex</v>
      </c>
      <c r="BD13" s="34" t="str">
        <f t="shared" si="3"/>
        <v>Capitalisation rate 1</v>
      </c>
    </row>
    <row r="14" spans="1:56" x14ac:dyDescent="0.35"/>
    <row r="15" spans="1:56" ht="16.5" thickBot="1" x14ac:dyDescent="0.4">
      <c r="C15" s="9" t="s">
        <v>21</v>
      </c>
    </row>
    <row r="16" spans="1:56" x14ac:dyDescent="0.35">
      <c r="E16" s="33" t="s">
        <v>11</v>
      </c>
      <c r="G16" s="33" t="str">
        <f>price_label</f>
        <v>£m 23/24 prices</v>
      </c>
      <c r="H16" s="33" t="s">
        <v>22</v>
      </c>
      <c r="AU16" s="137">
        <v>0</v>
      </c>
      <c r="AV16" s="20">
        <v>0</v>
      </c>
      <c r="AW16" s="20">
        <v>0</v>
      </c>
      <c r="AX16" s="20">
        <v>0</v>
      </c>
      <c r="AY16" s="20">
        <v>0</v>
      </c>
      <c r="BA16" s="34" t="str">
        <f t="shared" ref="BA16:BA20" ca="1" si="4">$A$1</f>
        <v>Southern</v>
      </c>
      <c r="BB16" s="34" t="str">
        <f t="shared" ref="BB16:BB20" si="5">$A$6</f>
        <v>Variable inputs</v>
      </c>
      <c r="BC16" s="34" t="str">
        <f t="shared" ref="BC16:BC20" si="6">$B$7</f>
        <v>Actual totex</v>
      </c>
      <c r="BD16" s="34" t="str">
        <f>$C$15</f>
        <v>Capitalisation rate 2</v>
      </c>
    </row>
    <row r="17" spans="2:56" x14ac:dyDescent="0.35">
      <c r="E17" s="33" t="s">
        <v>14</v>
      </c>
      <c r="G17" s="33" t="str">
        <f>price_label</f>
        <v>£m 23/24 prices</v>
      </c>
      <c r="H17" s="33" t="s">
        <v>23</v>
      </c>
      <c r="AU17" s="137">
        <v>0</v>
      </c>
      <c r="AV17" s="20">
        <v>0</v>
      </c>
      <c r="AW17" s="20">
        <v>0</v>
      </c>
      <c r="AX17" s="20">
        <v>0</v>
      </c>
      <c r="AY17" s="20">
        <v>0</v>
      </c>
      <c r="BA17" s="34" t="str">
        <f t="shared" ca="1" si="4"/>
        <v>Southern</v>
      </c>
      <c r="BB17" s="34" t="str">
        <f t="shared" si="5"/>
        <v>Variable inputs</v>
      </c>
      <c r="BC17" s="34" t="str">
        <f t="shared" si="6"/>
        <v>Actual totex</v>
      </c>
      <c r="BD17" s="34" t="str">
        <f t="shared" ref="BD17:BD20" si="7">$C$15</f>
        <v>Capitalisation rate 2</v>
      </c>
    </row>
    <row r="18" spans="2:56" x14ac:dyDescent="0.35">
      <c r="E18" s="33" t="s">
        <v>16</v>
      </c>
      <c r="G18" s="33" t="str">
        <f>price_label</f>
        <v>£m 23/24 prices</v>
      </c>
      <c r="H18" s="33" t="s">
        <v>24</v>
      </c>
      <c r="AU18" s="137">
        <v>0</v>
      </c>
      <c r="AV18" s="20">
        <v>0</v>
      </c>
      <c r="AW18" s="20">
        <v>0</v>
      </c>
      <c r="AX18" s="20">
        <v>0</v>
      </c>
      <c r="AY18" s="20">
        <v>0</v>
      </c>
      <c r="BA18" s="34" t="str">
        <f t="shared" ca="1" si="4"/>
        <v>Southern</v>
      </c>
      <c r="BB18" s="34" t="str">
        <f t="shared" si="5"/>
        <v>Variable inputs</v>
      </c>
      <c r="BC18" s="34" t="str">
        <f t="shared" si="6"/>
        <v>Actual totex</v>
      </c>
      <c r="BD18" s="34" t="str">
        <f t="shared" si="7"/>
        <v>Capitalisation rate 2</v>
      </c>
    </row>
    <row r="19" spans="2:56" x14ac:dyDescent="0.35">
      <c r="E19" s="33" t="s">
        <v>18</v>
      </c>
      <c r="G19" s="33" t="str">
        <f>price_label</f>
        <v>£m 23/24 prices</v>
      </c>
      <c r="H19" s="33" t="s">
        <v>25</v>
      </c>
      <c r="AU19" s="137">
        <v>0</v>
      </c>
      <c r="AV19" s="20">
        <v>0</v>
      </c>
      <c r="AW19" s="20">
        <v>0</v>
      </c>
      <c r="AX19" s="20">
        <v>0</v>
      </c>
      <c r="AY19" s="20">
        <v>0</v>
      </c>
      <c r="BA19" s="34" t="str">
        <f t="shared" ca="1" si="4"/>
        <v>Southern</v>
      </c>
      <c r="BB19" s="34" t="str">
        <f t="shared" si="5"/>
        <v>Variable inputs</v>
      </c>
      <c r="BC19" s="34" t="str">
        <f t="shared" si="6"/>
        <v>Actual totex</v>
      </c>
      <c r="BD19" s="34" t="str">
        <f t="shared" si="7"/>
        <v>Capitalisation rate 2</v>
      </c>
    </row>
    <row r="20" spans="2:56" x14ac:dyDescent="0.35">
      <c r="E20" s="33" t="s">
        <v>402</v>
      </c>
      <c r="G20" s="33" t="str">
        <f>price_label</f>
        <v>£m 23/24 prices</v>
      </c>
      <c r="H20" s="33" t="s">
        <v>26</v>
      </c>
      <c r="AU20" s="137">
        <v>0</v>
      </c>
      <c r="AV20" s="20">
        <v>0</v>
      </c>
      <c r="AW20" s="20">
        <v>0</v>
      </c>
      <c r="AX20" s="20">
        <v>0</v>
      </c>
      <c r="AY20" s="20">
        <v>0</v>
      </c>
      <c r="BA20" s="34" t="str">
        <f t="shared" ca="1" si="4"/>
        <v>Southern</v>
      </c>
      <c r="BB20" s="34" t="str">
        <f t="shared" si="5"/>
        <v>Variable inputs</v>
      </c>
      <c r="BC20" s="34" t="str">
        <f t="shared" si="6"/>
        <v>Actual totex</v>
      </c>
      <c r="BD20" s="34" t="str">
        <f t="shared" si="7"/>
        <v>Capitalisation rate 2</v>
      </c>
    </row>
    <row r="21" spans="2:56" x14ac:dyDescent="0.35"/>
    <row r="22" spans="2:56" ht="17.5" thickBot="1" x14ac:dyDescent="0.4">
      <c r="B22" s="8" t="s">
        <v>495</v>
      </c>
    </row>
    <row r="23" spans="2:56" ht="16.5" thickTop="1" x14ac:dyDescent="0.35">
      <c r="E23" s="33" t="s">
        <v>195</v>
      </c>
      <c r="G23" s="33" t="str">
        <f>price_label</f>
        <v>£m 23/24 prices</v>
      </c>
      <c r="I23"/>
      <c r="AU23" s="137">
        <v>0.96476945051496343</v>
      </c>
      <c r="AV23" s="20">
        <v>0.96476945051496343</v>
      </c>
      <c r="AW23" s="20">
        <v>0.96476945051496343</v>
      </c>
      <c r="AX23" s="20">
        <v>0.96476945051496343</v>
      </c>
      <c r="AY23" s="20">
        <v>0.96476945051496343</v>
      </c>
      <c r="BA23" s="34" t="str">
        <f t="shared" ref="BA23" ca="1" si="8">$A$1</f>
        <v>Southern</v>
      </c>
      <c r="BB23" s="34" t="str">
        <f t="shared" ref="BB23" si="9">$A$6</f>
        <v>Variable inputs</v>
      </c>
      <c r="BC23" s="34" t="str">
        <f>$B$22</f>
        <v>Disposals</v>
      </c>
    </row>
    <row r="24" spans="2:56" x14ac:dyDescent="0.35"/>
    <row r="25" spans="2:56" ht="17.5" thickBot="1" x14ac:dyDescent="0.4">
      <c r="B25" s="8" t="s">
        <v>27</v>
      </c>
    </row>
    <row r="26" spans="2:56" ht="16.5" thickTop="1" x14ac:dyDescent="0.35">
      <c r="E26" s="33" t="s">
        <v>28</v>
      </c>
      <c r="F26" s="33" t="s">
        <v>29</v>
      </c>
      <c r="G26" s="33" t="str">
        <f>nominal</f>
        <v>£m nominal</v>
      </c>
      <c r="H26" s="33" t="s">
        <v>30</v>
      </c>
      <c r="AU26" s="137">
        <v>8.5903207896635969</v>
      </c>
      <c r="AV26" s="20">
        <v>8.3068725388472409</v>
      </c>
      <c r="AW26" s="20">
        <v>7.9827467093298203</v>
      </c>
      <c r="AX26" s="20">
        <v>7.9849365725711516</v>
      </c>
      <c r="AY26" s="20">
        <v>8.0088773393563351</v>
      </c>
      <c r="BA26" s="34" t="str">
        <f t="shared" ref="BA26:BA36" ca="1" si="10">$A$1</f>
        <v>Southern</v>
      </c>
      <c r="BB26" s="34" t="str">
        <f t="shared" ref="BB26:BB36" si="11">$A$6</f>
        <v>Variable inputs</v>
      </c>
      <c r="BC26" s="34" t="str">
        <f>$B$25</f>
        <v>Pass-through costs</v>
      </c>
    </row>
    <row r="27" spans="2:56" x14ac:dyDescent="0.35">
      <c r="E27" s="33" t="s">
        <v>889</v>
      </c>
      <c r="F27" s="33" t="s">
        <v>29</v>
      </c>
      <c r="G27" s="33" t="str">
        <f>nominal</f>
        <v>£m nominal</v>
      </c>
      <c r="H27" s="33" t="s">
        <v>32</v>
      </c>
      <c r="AU27" s="137">
        <v>5.904185</v>
      </c>
      <c r="AV27" s="20">
        <v>6.0222686999999997</v>
      </c>
      <c r="AW27" s="20">
        <v>6.1427140739999997</v>
      </c>
      <c r="AX27" s="20">
        <v>6.2655683554799992</v>
      </c>
      <c r="AY27" s="20">
        <v>6.3908797225895988</v>
      </c>
      <c r="BA27" s="34" t="str">
        <f t="shared" ca="1" si="10"/>
        <v>Southern</v>
      </c>
      <c r="BB27" s="34" t="str">
        <f t="shared" si="11"/>
        <v>Variable inputs</v>
      </c>
      <c r="BC27" s="34" t="str">
        <f t="shared" ref="BC27:BC36" si="12">$B$25</f>
        <v>Pass-through costs</v>
      </c>
    </row>
    <row r="28" spans="2:56" x14ac:dyDescent="0.35">
      <c r="E28" s="33" t="s">
        <v>33</v>
      </c>
      <c r="F28" s="33" t="s">
        <v>29</v>
      </c>
      <c r="G28" s="33" t="str">
        <f>nominal</f>
        <v>£m nominal</v>
      </c>
      <c r="H28" s="33" t="s">
        <v>34</v>
      </c>
      <c r="AU28" s="137">
        <v>91.652145000000004</v>
      </c>
      <c r="AV28" s="20">
        <v>105.80853</v>
      </c>
      <c r="AW28" s="20">
        <v>107.84723</v>
      </c>
      <c r="AX28" s="20">
        <v>110.11948277655107</v>
      </c>
      <c r="AY28" s="20">
        <v>112.46685749455509</v>
      </c>
      <c r="BA28" s="34" t="str">
        <f t="shared" ca="1" si="10"/>
        <v>Southern</v>
      </c>
      <c r="BB28" s="34" t="str">
        <f t="shared" si="11"/>
        <v>Variable inputs</v>
      </c>
      <c r="BC28" s="34" t="str">
        <f t="shared" si="12"/>
        <v>Pass-through costs</v>
      </c>
    </row>
    <row r="29" spans="2:56" x14ac:dyDescent="0.35">
      <c r="E29" s="33" t="s">
        <v>35</v>
      </c>
      <c r="F29" s="33" t="s">
        <v>29</v>
      </c>
      <c r="G29" s="33" t="str">
        <f>price_label</f>
        <v>£m 23/24 prices</v>
      </c>
      <c r="H29" s="33" t="s">
        <v>36</v>
      </c>
      <c r="AU29" s="137">
        <v>-0.1</v>
      </c>
      <c r="AV29" s="20">
        <v>0</v>
      </c>
      <c r="AW29" s="20">
        <v>0</v>
      </c>
      <c r="AX29" s="20">
        <v>0</v>
      </c>
      <c r="AY29" s="20">
        <v>0</v>
      </c>
      <c r="BA29" s="34" t="str">
        <f t="shared" ca="1" si="10"/>
        <v>Southern</v>
      </c>
      <c r="BB29" s="34" t="str">
        <f t="shared" si="11"/>
        <v>Variable inputs</v>
      </c>
      <c r="BC29" s="34" t="str">
        <f t="shared" si="12"/>
        <v>Pass-through costs</v>
      </c>
    </row>
    <row r="30" spans="2:56" x14ac:dyDescent="0.35">
      <c r="E30" s="33" t="s">
        <v>37</v>
      </c>
      <c r="F30" s="33" t="s">
        <v>29</v>
      </c>
      <c r="G30" s="33" t="str">
        <f>price_label</f>
        <v>£m 23/24 prices</v>
      </c>
      <c r="H30" s="33" t="s">
        <v>38</v>
      </c>
      <c r="AU30" s="137">
        <v>0</v>
      </c>
      <c r="AV30" s="20">
        <v>0</v>
      </c>
      <c r="AW30" s="20">
        <v>0</v>
      </c>
      <c r="AX30" s="20">
        <v>0</v>
      </c>
      <c r="AY30" s="20">
        <v>0</v>
      </c>
      <c r="BA30" s="34" t="str">
        <f t="shared" ca="1" si="10"/>
        <v>Southern</v>
      </c>
      <c r="BB30" s="34" t="str">
        <f t="shared" si="11"/>
        <v>Variable inputs</v>
      </c>
      <c r="BC30" s="34" t="str">
        <f t="shared" si="12"/>
        <v>Pass-through costs</v>
      </c>
    </row>
    <row r="31" spans="2:56" x14ac:dyDescent="0.35">
      <c r="E31" s="33" t="s">
        <v>890</v>
      </c>
      <c r="F31" s="33" t="s">
        <v>29</v>
      </c>
      <c r="G31" s="33" t="str">
        <f t="shared" ref="G31:G36" si="13">nominal</f>
        <v>£m nominal</v>
      </c>
      <c r="H31" s="33" t="s">
        <v>40</v>
      </c>
      <c r="AU31" s="137">
        <v>0</v>
      </c>
      <c r="AV31" s="20">
        <v>0</v>
      </c>
      <c r="AW31" s="20">
        <v>0</v>
      </c>
      <c r="AX31" s="20">
        <v>0</v>
      </c>
      <c r="AY31" s="20">
        <v>0</v>
      </c>
      <c r="BA31" s="34" t="str">
        <f t="shared" ca="1" si="10"/>
        <v>Southern</v>
      </c>
      <c r="BB31" s="34" t="str">
        <f t="shared" si="11"/>
        <v>Variable inputs</v>
      </c>
      <c r="BC31" s="34" t="str">
        <f t="shared" si="12"/>
        <v>Pass-through costs</v>
      </c>
    </row>
    <row r="32" spans="2:56" x14ac:dyDescent="0.35">
      <c r="E32" s="33" t="s">
        <v>891</v>
      </c>
      <c r="F32" s="33" t="s">
        <v>29</v>
      </c>
      <c r="G32" s="33" t="str">
        <f t="shared" si="13"/>
        <v>£m nominal</v>
      </c>
      <c r="H32" s="33" t="s">
        <v>42</v>
      </c>
      <c r="AU32" s="137">
        <v>98.543850942955643</v>
      </c>
      <c r="AV32" s="20">
        <v>105.8297620491398</v>
      </c>
      <c r="AW32" s="20">
        <v>111.92585113702297</v>
      </c>
      <c r="AX32" s="20">
        <v>116.91520525391903</v>
      </c>
      <c r="AY32" s="20">
        <v>118.86064943235711</v>
      </c>
      <c r="BA32" s="34" t="str">
        <f t="shared" ca="1" si="10"/>
        <v>Southern</v>
      </c>
      <c r="BB32" s="34" t="str">
        <f t="shared" si="11"/>
        <v>Variable inputs</v>
      </c>
      <c r="BC32" s="34" t="str">
        <f t="shared" si="12"/>
        <v>Pass-through costs</v>
      </c>
    </row>
    <row r="33" spans="2:55" x14ac:dyDescent="0.35">
      <c r="E33" s="33" t="s">
        <v>43</v>
      </c>
      <c r="F33" s="33" t="s">
        <v>29</v>
      </c>
      <c r="G33" s="33" t="str">
        <f t="shared" si="13"/>
        <v>£m nominal</v>
      </c>
      <c r="H33" s="33" t="s">
        <v>44</v>
      </c>
      <c r="AU33" s="137">
        <v>7.2</v>
      </c>
      <c r="AV33" s="20">
        <v>7.3</v>
      </c>
      <c r="AW33" s="20">
        <v>7.2</v>
      </c>
      <c r="AX33" s="20">
        <v>7.3440000000000003</v>
      </c>
      <c r="AY33" s="20">
        <v>7.4908800000000006</v>
      </c>
      <c r="BA33" s="34" t="str">
        <f t="shared" ca="1" si="10"/>
        <v>Southern</v>
      </c>
      <c r="BB33" s="34" t="str">
        <f t="shared" si="11"/>
        <v>Variable inputs</v>
      </c>
      <c r="BC33" s="34" t="str">
        <f t="shared" si="12"/>
        <v>Pass-through costs</v>
      </c>
    </row>
    <row r="34" spans="2:55" x14ac:dyDescent="0.35">
      <c r="E34" s="33" t="s">
        <v>45</v>
      </c>
      <c r="F34" s="33" t="s">
        <v>29</v>
      </c>
      <c r="G34" s="33" t="str">
        <f t="shared" si="13"/>
        <v>£m nominal</v>
      </c>
      <c r="H34" s="33" t="s">
        <v>46</v>
      </c>
      <c r="AU34" s="137">
        <v>-7.2992498422762893</v>
      </c>
      <c r="AV34" s="20">
        <v>0</v>
      </c>
      <c r="AW34" s="20">
        <v>0</v>
      </c>
      <c r="AX34" s="20">
        <v>0</v>
      </c>
      <c r="AY34" s="20">
        <v>0</v>
      </c>
      <c r="BA34" s="34" t="str">
        <f t="shared" ca="1" si="10"/>
        <v>Southern</v>
      </c>
      <c r="BB34" s="34" t="str">
        <f t="shared" si="11"/>
        <v>Variable inputs</v>
      </c>
      <c r="BC34" s="34" t="str">
        <f t="shared" si="12"/>
        <v>Pass-through costs</v>
      </c>
    </row>
    <row r="35" spans="2:55" x14ac:dyDescent="0.35">
      <c r="E35" s="33" t="s">
        <v>596</v>
      </c>
      <c r="F35" s="33" t="s">
        <v>29</v>
      </c>
      <c r="G35" s="33" t="str">
        <f t="shared" si="13"/>
        <v>£m nominal</v>
      </c>
      <c r="H35" s="33" t="s">
        <v>573</v>
      </c>
      <c r="AU35" s="137">
        <v>0</v>
      </c>
      <c r="AV35" s="20">
        <v>0</v>
      </c>
      <c r="AW35" s="20">
        <v>0</v>
      </c>
      <c r="AX35" s="20">
        <v>0</v>
      </c>
      <c r="AY35" s="20">
        <v>0</v>
      </c>
      <c r="BA35" s="34" t="str">
        <f t="shared" ca="1" si="10"/>
        <v>Southern</v>
      </c>
      <c r="BB35" s="34" t="str">
        <f t="shared" si="11"/>
        <v>Variable inputs</v>
      </c>
      <c r="BC35" s="34" t="str">
        <f t="shared" si="12"/>
        <v>Pass-through costs</v>
      </c>
    </row>
    <row r="36" spans="2:55" x14ac:dyDescent="0.35">
      <c r="E36" s="33" t="s">
        <v>47</v>
      </c>
      <c r="F36" s="33" t="s">
        <v>29</v>
      </c>
      <c r="G36" s="33" t="str">
        <f t="shared" si="13"/>
        <v>£m nominal</v>
      </c>
      <c r="H36" s="33" t="s">
        <v>48</v>
      </c>
      <c r="AU36" s="137">
        <v>0</v>
      </c>
      <c r="AV36" s="20">
        <v>0</v>
      </c>
      <c r="AW36" s="20">
        <v>0</v>
      </c>
      <c r="AX36" s="20">
        <v>0</v>
      </c>
      <c r="AY36" s="20">
        <v>0</v>
      </c>
      <c r="BA36" s="34" t="str">
        <f t="shared" ca="1" si="10"/>
        <v>Southern</v>
      </c>
      <c r="BB36" s="34" t="str">
        <f t="shared" si="11"/>
        <v>Variable inputs</v>
      </c>
      <c r="BC36" s="34" t="str">
        <f t="shared" si="12"/>
        <v>Pass-through costs</v>
      </c>
    </row>
    <row r="37" spans="2:55" x14ac:dyDescent="0.35">
      <c r="BA37" s="34" t="str" cm="1">
        <f t="array" aca="1" ref="BA37" ca="1">IF(BB37="","",MID(CELL("filename",$A$1),FIND("]",CELL("filename",$A$1))+1,255))</f>
        <v/>
      </c>
    </row>
    <row r="38" spans="2:55" ht="17.5" thickBot="1" x14ac:dyDescent="0.4">
      <c r="B38" s="8" t="s">
        <v>49</v>
      </c>
      <c r="BA38" s="34" t="str" cm="1">
        <f t="array" aca="1" ref="BA38" ca="1">IF(BB38="","",MID(CELL("filename",$A$1),FIND("]",CELL("filename",$A$1))+1,255))</f>
        <v/>
      </c>
    </row>
    <row r="39" spans="2:55" ht="16.5" thickTop="1" x14ac:dyDescent="0.35">
      <c r="E39" s="33" t="s">
        <v>50</v>
      </c>
      <c r="F39" s="33" t="s">
        <v>51</v>
      </c>
      <c r="G39" s="33" t="str">
        <f t="shared" ref="G39:G44" si="14">price_label</f>
        <v>£m 23/24 prices</v>
      </c>
      <c r="H39" s="33" t="s">
        <v>52</v>
      </c>
      <c r="AU39" s="137">
        <v>0</v>
      </c>
      <c r="AV39" s="20">
        <v>0</v>
      </c>
      <c r="AW39" s="20">
        <v>0</v>
      </c>
      <c r="AX39" s="20">
        <v>0</v>
      </c>
      <c r="AY39" s="20">
        <v>0</v>
      </c>
      <c r="BA39" s="34" t="str">
        <f t="shared" ref="BA39:BA44" ca="1" si="15">$A$1</f>
        <v>Southern</v>
      </c>
      <c r="BB39" s="34" t="str">
        <f t="shared" ref="BB39:BB44" si="16">$A$6</f>
        <v>Variable inputs</v>
      </c>
      <c r="BC39" s="34" t="str">
        <f>$B$38</f>
        <v>Incentive revenue</v>
      </c>
    </row>
    <row r="40" spans="2:55" x14ac:dyDescent="0.35">
      <c r="E40" s="33" t="s">
        <v>53</v>
      </c>
      <c r="F40" s="33" t="s">
        <v>54</v>
      </c>
      <c r="G40" s="33" t="str">
        <f t="shared" si="14"/>
        <v>£m 23/24 prices</v>
      </c>
      <c r="H40" s="33" t="s">
        <v>55</v>
      </c>
      <c r="AU40" s="137">
        <v>0</v>
      </c>
      <c r="AV40" s="20">
        <v>0</v>
      </c>
      <c r="AW40" s="20">
        <v>0</v>
      </c>
      <c r="AX40" s="20">
        <v>0</v>
      </c>
      <c r="AY40" s="20">
        <v>0</v>
      </c>
      <c r="BA40" s="34" t="str">
        <f t="shared" ca="1" si="15"/>
        <v>Southern</v>
      </c>
      <c r="BB40" s="34" t="str">
        <f t="shared" si="16"/>
        <v>Variable inputs</v>
      </c>
      <c r="BC40" s="34" t="str">
        <f t="shared" ref="BC40:BC44" si="17">$B$38</f>
        <v>Incentive revenue</v>
      </c>
    </row>
    <row r="41" spans="2:55" x14ac:dyDescent="0.35">
      <c r="E41" s="33" t="s">
        <v>56</v>
      </c>
      <c r="F41" s="33" t="s">
        <v>60</v>
      </c>
      <c r="G41" s="33" t="str">
        <f t="shared" si="14"/>
        <v>£m 23/24 prices</v>
      </c>
      <c r="H41" s="33" t="s">
        <v>58</v>
      </c>
      <c r="AU41" s="137">
        <v>0</v>
      </c>
      <c r="AV41" s="20">
        <v>0</v>
      </c>
      <c r="AW41" s="20">
        <v>0</v>
      </c>
      <c r="AX41" s="20">
        <v>0</v>
      </c>
      <c r="AY41" s="20">
        <v>0</v>
      </c>
      <c r="BA41" s="34" t="str">
        <f t="shared" ca="1" si="15"/>
        <v>Southern</v>
      </c>
      <c r="BB41" s="34" t="str">
        <f t="shared" si="16"/>
        <v>Variable inputs</v>
      </c>
      <c r="BC41" s="34" t="str">
        <f t="shared" si="17"/>
        <v>Incentive revenue</v>
      </c>
    </row>
    <row r="42" spans="2:55" x14ac:dyDescent="0.35">
      <c r="E42" s="33" t="s">
        <v>59</v>
      </c>
      <c r="F42" s="33" t="s">
        <v>60</v>
      </c>
      <c r="G42" s="33" t="str">
        <f t="shared" si="14"/>
        <v>£m 23/24 prices</v>
      </c>
      <c r="H42" s="33" t="s">
        <v>58</v>
      </c>
      <c r="AU42" s="137">
        <v>0</v>
      </c>
      <c r="AV42" s="20">
        <v>0</v>
      </c>
      <c r="AW42" s="20">
        <v>0</v>
      </c>
      <c r="AX42" s="20">
        <v>0</v>
      </c>
      <c r="AY42" s="20">
        <v>0</v>
      </c>
      <c r="BA42" s="34" t="str">
        <f t="shared" ca="1" si="15"/>
        <v>Southern</v>
      </c>
      <c r="BB42" s="34" t="str">
        <f t="shared" si="16"/>
        <v>Variable inputs</v>
      </c>
      <c r="BC42" s="34" t="str">
        <f t="shared" si="17"/>
        <v>Incentive revenue</v>
      </c>
    </row>
    <row r="43" spans="2:55" x14ac:dyDescent="0.35">
      <c r="E43" s="33" t="s">
        <v>61</v>
      </c>
      <c r="F43" s="33" t="s">
        <v>57</v>
      </c>
      <c r="G43" s="33" t="str">
        <f t="shared" si="14"/>
        <v>£m 23/24 prices</v>
      </c>
      <c r="H43" s="33" t="s">
        <v>63</v>
      </c>
      <c r="AU43" s="137">
        <v>0</v>
      </c>
      <c r="AV43" s="20">
        <v>0</v>
      </c>
      <c r="AW43" s="20">
        <v>0</v>
      </c>
      <c r="AX43" s="20">
        <v>0</v>
      </c>
      <c r="AY43" s="20">
        <v>0</v>
      </c>
      <c r="BA43" s="34" t="str">
        <f t="shared" ca="1" si="15"/>
        <v>Southern</v>
      </c>
      <c r="BB43" s="34" t="str">
        <f t="shared" si="16"/>
        <v>Variable inputs</v>
      </c>
      <c r="BC43" s="34" t="str">
        <f t="shared" si="17"/>
        <v>Incentive revenue</v>
      </c>
    </row>
    <row r="44" spans="2:55" x14ac:dyDescent="0.35">
      <c r="E44" s="33" t="s">
        <v>892</v>
      </c>
      <c r="F44" s="33" t="s">
        <v>62</v>
      </c>
      <c r="G44" s="33" t="str">
        <f t="shared" si="14"/>
        <v>£m 23/24 prices</v>
      </c>
      <c r="H44" s="33" t="s">
        <v>893</v>
      </c>
      <c r="AU44" s="137">
        <v>0</v>
      </c>
      <c r="AV44" s="20">
        <v>0</v>
      </c>
      <c r="AW44" s="20">
        <v>0</v>
      </c>
      <c r="AX44" s="20">
        <v>0</v>
      </c>
      <c r="AY44" s="20">
        <v>0</v>
      </c>
      <c r="BA44" s="34" t="str">
        <f t="shared" ca="1" si="15"/>
        <v>Southern</v>
      </c>
      <c r="BB44" s="34" t="str">
        <f t="shared" si="16"/>
        <v>Variable inputs</v>
      </c>
      <c r="BC44" s="34" t="str">
        <f t="shared" si="17"/>
        <v>Incentive revenue</v>
      </c>
    </row>
    <row r="45" spans="2:55" x14ac:dyDescent="0.35"/>
    <row r="46" spans="2:55" ht="17.5" thickBot="1" x14ac:dyDescent="0.4">
      <c r="B46" s="8" t="s">
        <v>64</v>
      </c>
    </row>
    <row r="47" spans="2:55" ht="16.5" thickTop="1" x14ac:dyDescent="0.35">
      <c r="E47" s="33" t="s">
        <v>404</v>
      </c>
      <c r="F47" s="33" t="s">
        <v>65</v>
      </c>
      <c r="G47" s="33" t="str">
        <f t="shared" ref="G47:G52" si="18">price_label</f>
        <v>£m 23/24 prices</v>
      </c>
      <c r="H47" s="33" t="s">
        <v>66</v>
      </c>
      <c r="AU47" s="137">
        <v>2.4300000000000002</v>
      </c>
      <c r="AV47" s="20">
        <v>2.4300000000000002</v>
      </c>
      <c r="AW47" s="20">
        <v>2.4300000000000002</v>
      </c>
      <c r="AX47" s="20">
        <v>2.4300000000000002</v>
      </c>
      <c r="AY47" s="20">
        <v>2.4300000000000002</v>
      </c>
      <c r="BA47" s="34" t="str">
        <f t="shared" ref="BA47:BA52" ca="1" si="19">$A$1</f>
        <v>Southern</v>
      </c>
      <c r="BB47" s="34" t="str">
        <f t="shared" ref="BB47:BB52" si="20">$A$6</f>
        <v>Variable inputs</v>
      </c>
      <c r="BC47" s="34" t="str">
        <f>$B$46</f>
        <v>Other revenue allowances</v>
      </c>
    </row>
    <row r="48" spans="2:55" x14ac:dyDescent="0.35">
      <c r="E48" s="33" t="s">
        <v>67</v>
      </c>
      <c r="F48" s="33" t="s">
        <v>68</v>
      </c>
      <c r="G48" s="33" t="str">
        <f t="shared" si="18"/>
        <v>£m 23/24 prices</v>
      </c>
      <c r="H48" s="33" t="s">
        <v>69</v>
      </c>
      <c r="AU48" s="137">
        <v>0</v>
      </c>
      <c r="AV48" s="20">
        <v>0</v>
      </c>
      <c r="AW48" s="20">
        <v>0</v>
      </c>
      <c r="AX48" s="20">
        <v>0</v>
      </c>
      <c r="AY48" s="20">
        <v>0</v>
      </c>
      <c r="BA48" s="34" t="str">
        <f t="shared" ca="1" si="19"/>
        <v>Southern</v>
      </c>
      <c r="BB48" s="34" t="str">
        <f t="shared" si="20"/>
        <v>Variable inputs</v>
      </c>
      <c r="BC48" s="34" t="str">
        <f t="shared" ref="BC48:BC52" si="21">$B$46</f>
        <v>Other revenue allowances</v>
      </c>
    </row>
    <row r="49" spans="1:55" x14ac:dyDescent="0.35">
      <c r="E49" s="33" t="s">
        <v>70</v>
      </c>
      <c r="F49" s="33" t="s">
        <v>71</v>
      </c>
      <c r="G49" s="33" t="str">
        <f t="shared" si="18"/>
        <v>£m 23/24 prices</v>
      </c>
      <c r="H49" s="33" t="s">
        <v>72</v>
      </c>
      <c r="AU49" s="137">
        <v>4.476</v>
      </c>
      <c r="AV49" s="20">
        <v>4.476</v>
      </c>
      <c r="AW49" s="20">
        <v>4.476</v>
      </c>
      <c r="AX49" s="20">
        <v>4.476</v>
      </c>
      <c r="AY49" s="20">
        <v>4.476</v>
      </c>
      <c r="BA49" s="34" t="str">
        <f t="shared" ca="1" si="19"/>
        <v>Southern</v>
      </c>
      <c r="BB49" s="34" t="str">
        <f t="shared" si="20"/>
        <v>Variable inputs</v>
      </c>
      <c r="BC49" s="34" t="str">
        <f t="shared" si="21"/>
        <v>Other revenue allowances</v>
      </c>
    </row>
    <row r="50" spans="1:55" x14ac:dyDescent="0.35">
      <c r="E50" s="33" t="s">
        <v>73</v>
      </c>
      <c r="F50" s="33">
        <v>0</v>
      </c>
      <c r="G50" s="33" t="str">
        <f t="shared" si="18"/>
        <v>£m 23/24 prices</v>
      </c>
      <c r="AU50" s="137">
        <v>0</v>
      </c>
      <c r="AV50" s="20">
        <v>0</v>
      </c>
      <c r="AW50" s="20">
        <v>0</v>
      </c>
      <c r="AX50" s="20">
        <v>0</v>
      </c>
      <c r="AY50" s="20">
        <v>0</v>
      </c>
      <c r="BA50" s="34" t="str">
        <f t="shared" ca="1" si="19"/>
        <v>Southern</v>
      </c>
      <c r="BB50" s="34" t="str">
        <f t="shared" si="20"/>
        <v>Variable inputs</v>
      </c>
      <c r="BC50" s="34" t="str">
        <f t="shared" si="21"/>
        <v>Other revenue allowances</v>
      </c>
    </row>
    <row r="51" spans="1:55" x14ac:dyDescent="0.35">
      <c r="E51" s="33" t="s">
        <v>74</v>
      </c>
      <c r="F51" s="33">
        <v>0</v>
      </c>
      <c r="G51" s="33" t="str">
        <f t="shared" si="18"/>
        <v>£m 23/24 prices</v>
      </c>
      <c r="AU51" s="137">
        <v>0</v>
      </c>
      <c r="AV51" s="20">
        <v>0</v>
      </c>
      <c r="AW51" s="20">
        <v>0</v>
      </c>
      <c r="AX51" s="20">
        <v>0</v>
      </c>
      <c r="AY51" s="20">
        <v>0</v>
      </c>
      <c r="BA51" s="34" t="str">
        <f t="shared" ca="1" si="19"/>
        <v>Southern</v>
      </c>
      <c r="BB51" s="34" t="str">
        <f t="shared" si="20"/>
        <v>Variable inputs</v>
      </c>
      <c r="BC51" s="34" t="str">
        <f t="shared" si="21"/>
        <v>Other revenue allowances</v>
      </c>
    </row>
    <row r="52" spans="1:55" x14ac:dyDescent="0.35">
      <c r="E52" s="33" t="s">
        <v>75</v>
      </c>
      <c r="F52" s="33">
        <v>0</v>
      </c>
      <c r="G52" s="33" t="str">
        <f t="shared" si="18"/>
        <v>£m 23/24 prices</v>
      </c>
      <c r="AU52" s="137"/>
      <c r="AV52" s="20"/>
      <c r="AW52" s="20"/>
      <c r="AX52" s="20"/>
      <c r="AY52" s="20"/>
      <c r="BA52" s="34" t="str">
        <f t="shared" ca="1" si="19"/>
        <v>Southern</v>
      </c>
      <c r="BB52" s="34" t="str">
        <f t="shared" si="20"/>
        <v>Variable inputs</v>
      </c>
      <c r="BC52" s="34" t="str">
        <f t="shared" si="21"/>
        <v>Other revenue allowances</v>
      </c>
    </row>
    <row r="53" spans="1:55" x14ac:dyDescent="0.35"/>
    <row r="54" spans="1:55" ht="17.5" thickBot="1" x14ac:dyDescent="0.4">
      <c r="B54" s="8" t="s">
        <v>831</v>
      </c>
    </row>
    <row r="55" spans="1:55" ht="16.5" thickTop="1" x14ac:dyDescent="0.35">
      <c r="E55" s="33" t="s">
        <v>832</v>
      </c>
      <c r="G55" s="33" t="str">
        <f>price_label</f>
        <v>£m 23/24 prices</v>
      </c>
      <c r="AU55" s="334">
        <v>-11.93896178776588</v>
      </c>
      <c r="AV55" s="20">
        <v>-13</v>
      </c>
      <c r="AW55" s="337">
        <v>9.1999999999999993</v>
      </c>
      <c r="AX55" s="337">
        <v>9.1999999999999993</v>
      </c>
      <c r="BA55" s="34" t="str">
        <f t="shared" ref="BA55" ca="1" si="22">$A$1</f>
        <v>Southern</v>
      </c>
      <c r="BB55" s="34" t="str">
        <f t="shared" ref="BB55" si="23">$A$6</f>
        <v>Variable inputs</v>
      </c>
      <c r="BC55" s="34" t="str">
        <f>$B$54</f>
        <v>Revenue profiling</v>
      </c>
    </row>
    <row r="56" spans="1:55" x14ac:dyDescent="0.35"/>
    <row r="57" spans="1:55" ht="17.5" thickBot="1" x14ac:dyDescent="0.4">
      <c r="B57" s="8" t="s">
        <v>842</v>
      </c>
    </row>
    <row r="58" spans="1:55" ht="16.5" thickTop="1" x14ac:dyDescent="0.35">
      <c r="A58"/>
      <c r="B58"/>
      <c r="E58" t="s">
        <v>512</v>
      </c>
      <c r="F58" s="33" t="s">
        <v>717</v>
      </c>
      <c r="G58" s="33" t="str">
        <f>nominal</f>
        <v>£m nominal</v>
      </c>
      <c r="H58" s="33" t="s">
        <v>716</v>
      </c>
      <c r="AT58" s="66">
        <v>0</v>
      </c>
      <c r="AU58" s="138">
        <v>0</v>
      </c>
      <c r="AV58" s="26">
        <v>0</v>
      </c>
      <c r="AW58" s="26">
        <v>0</v>
      </c>
      <c r="AX58" s="26">
        <v>0</v>
      </c>
      <c r="AY58" s="26">
        <v>0</v>
      </c>
      <c r="BA58" s="34" t="str">
        <f t="shared" ref="BA58:BA531" ca="1" si="24">$A$1</f>
        <v>Southern</v>
      </c>
      <c r="BB58" s="34" t="str">
        <f t="shared" ref="BB58:BB74" si="25">$A$6</f>
        <v>Variable inputs</v>
      </c>
      <c r="BC58" s="34" t="str">
        <f>$B$57</f>
        <v>Allowed revenue true-up</v>
      </c>
    </row>
    <row r="59" spans="1:55" x14ac:dyDescent="0.35">
      <c r="A59"/>
      <c r="B59"/>
      <c r="E59" t="s">
        <v>628</v>
      </c>
      <c r="G59" s="33" t="str">
        <f>nominal</f>
        <v>£m nominal</v>
      </c>
      <c r="AT59" s="66">
        <v>0</v>
      </c>
      <c r="AU59"/>
      <c r="AV59"/>
      <c r="AW59"/>
      <c r="AX59"/>
      <c r="AY59"/>
      <c r="BA59" s="34" t="str">
        <f t="shared" ca="1" si="24"/>
        <v>Southern</v>
      </c>
      <c r="BB59" s="34" t="str">
        <f t="shared" si="25"/>
        <v>Variable inputs</v>
      </c>
      <c r="BC59" s="34" t="str">
        <f t="shared" ref="BC59:BC61" si="26">$B$57</f>
        <v>Allowed revenue true-up</v>
      </c>
    </row>
    <row r="60" spans="1:55" x14ac:dyDescent="0.35">
      <c r="A60"/>
      <c r="B60"/>
      <c r="E60" t="s">
        <v>513</v>
      </c>
      <c r="F60" s="33" t="s">
        <v>717</v>
      </c>
      <c r="G60" s="33" t="str">
        <f>nominal</f>
        <v>£m nominal</v>
      </c>
      <c r="H60" s="33" t="s">
        <v>718</v>
      </c>
      <c r="AT60" s="61"/>
      <c r="AU60" s="138">
        <v>0</v>
      </c>
      <c r="AV60" s="26">
        <v>0</v>
      </c>
      <c r="AW60" s="26">
        <v>0</v>
      </c>
      <c r="AX60" s="26">
        <v>0</v>
      </c>
      <c r="AY60" s="26">
        <v>0</v>
      </c>
      <c r="BA60" s="34" t="str">
        <f t="shared" ca="1" si="24"/>
        <v>Southern</v>
      </c>
      <c r="BB60" s="34" t="str">
        <f t="shared" si="25"/>
        <v>Variable inputs</v>
      </c>
      <c r="BC60" s="34" t="str">
        <f t="shared" si="26"/>
        <v>Allowed revenue true-up</v>
      </c>
    </row>
    <row r="61" spans="1:55" x14ac:dyDescent="0.35">
      <c r="A61"/>
      <c r="B61"/>
      <c r="E61" t="s">
        <v>514</v>
      </c>
      <c r="G61" s="33" t="str">
        <f>nominal</f>
        <v>£m nominal</v>
      </c>
      <c r="AT61" s="66">
        <v>0</v>
      </c>
      <c r="AU61" s="138">
        <v>0</v>
      </c>
      <c r="AV61" s="26">
        <v>0</v>
      </c>
      <c r="AW61" s="26">
        <v>0</v>
      </c>
      <c r="AX61" s="26">
        <v>0</v>
      </c>
      <c r="AY61" s="26">
        <v>0</v>
      </c>
      <c r="BA61" s="34" t="str">
        <f t="shared" ca="1" si="24"/>
        <v>Southern</v>
      </c>
      <c r="BB61" s="34" t="str">
        <f t="shared" si="25"/>
        <v>Variable inputs</v>
      </c>
      <c r="BC61" s="34" t="str">
        <f t="shared" si="26"/>
        <v>Allowed revenue true-up</v>
      </c>
    </row>
    <row r="62" spans="1:55" x14ac:dyDescent="0.35">
      <c r="A62"/>
      <c r="B62"/>
      <c r="E62" t="s">
        <v>800</v>
      </c>
      <c r="F62" s="33" t="s">
        <v>717</v>
      </c>
      <c r="G62" s="33" t="str">
        <f>price_label</f>
        <v>£m 23/24 prices</v>
      </c>
      <c r="H62" s="33" t="s">
        <v>719</v>
      </c>
      <c r="AT62" s="66">
        <v>810.24652641057241</v>
      </c>
      <c r="AU62"/>
      <c r="AV62"/>
      <c r="AW62"/>
      <c r="AX62"/>
      <c r="AY62"/>
      <c r="BA62" s="34" t="str">
        <f t="shared" ca="1" si="24"/>
        <v>Southern</v>
      </c>
      <c r="BB62" s="34" t="str">
        <f t="shared" si="25"/>
        <v>Variable inputs</v>
      </c>
      <c r="BC62" s="34" t="str">
        <f>$B$57</f>
        <v>Allowed revenue true-up</v>
      </c>
    </row>
    <row r="63" spans="1:55" x14ac:dyDescent="0.35">
      <c r="A63"/>
      <c r="B63"/>
      <c r="E63" s="33" t="s">
        <v>599</v>
      </c>
      <c r="G63" s="33" t="str">
        <f>nominal</f>
        <v>£m nominal</v>
      </c>
      <c r="AT63" s="66"/>
      <c r="AU63"/>
      <c r="AV63"/>
      <c r="AW63"/>
      <c r="AX63"/>
      <c r="AY63"/>
      <c r="BA63" s="34" t="str">
        <f t="shared" ca="1" si="24"/>
        <v>Southern</v>
      </c>
      <c r="BB63" s="34" t="str">
        <f t="shared" si="25"/>
        <v>Variable inputs</v>
      </c>
      <c r="BC63" s="34" t="str">
        <f>$B$57</f>
        <v>Allowed revenue true-up</v>
      </c>
    </row>
    <row r="64" spans="1:55" x14ac:dyDescent="0.35">
      <c r="A64"/>
      <c r="B64"/>
      <c r="E64" s="33" t="s">
        <v>600</v>
      </c>
      <c r="G64" s="33" t="str">
        <f>nominal</f>
        <v>£m nominal</v>
      </c>
      <c r="AT64" s="66"/>
      <c r="AU64"/>
      <c r="AV64"/>
      <c r="AW64"/>
      <c r="AX64"/>
      <c r="AY64"/>
      <c r="BA64" s="34" t="str">
        <f t="shared" ca="1" si="24"/>
        <v>Southern</v>
      </c>
      <c r="BB64" s="34" t="str">
        <f t="shared" si="25"/>
        <v>Variable inputs</v>
      </c>
      <c r="BC64" s="34" t="str">
        <f>$B$57</f>
        <v>Allowed revenue true-up</v>
      </c>
    </row>
    <row r="65" spans="1:56" x14ac:dyDescent="0.35">
      <c r="A65"/>
      <c r="B65"/>
      <c r="E65" t="s">
        <v>597</v>
      </c>
      <c r="G65" s="33" t="str">
        <f>nominal</f>
        <v>£m nominal</v>
      </c>
      <c r="AT65" s="61"/>
      <c r="AU65" s="138"/>
      <c r="AV65" s="26"/>
      <c r="AW65" s="26"/>
      <c r="AX65" s="26"/>
      <c r="AY65" s="26"/>
      <c r="BA65" s="34" t="str">
        <f t="shared" ca="1" si="24"/>
        <v>Southern</v>
      </c>
      <c r="BB65" s="34" t="str">
        <f t="shared" si="25"/>
        <v>Variable inputs</v>
      </c>
      <c r="BC65" s="34" t="str">
        <f>$B$57</f>
        <v>Allowed revenue true-up</v>
      </c>
    </row>
    <row r="66" spans="1:56" x14ac:dyDescent="0.35">
      <c r="A66"/>
      <c r="B66"/>
      <c r="E66" t="s">
        <v>598</v>
      </c>
      <c r="G66" s="33" t="str">
        <f>nominal</f>
        <v>£m nominal</v>
      </c>
      <c r="AT66" s="61"/>
      <c r="AU66" s="138"/>
      <c r="AV66" s="26"/>
      <c r="AW66" s="26"/>
      <c r="AX66" s="26"/>
      <c r="AY66" s="26"/>
      <c r="BA66" s="34" t="str">
        <f t="shared" ca="1" si="24"/>
        <v>Southern</v>
      </c>
      <c r="BB66" s="34" t="str">
        <f t="shared" si="25"/>
        <v>Variable inputs</v>
      </c>
      <c r="BC66" s="34" t="str">
        <f>$B$57</f>
        <v>Allowed revenue true-up</v>
      </c>
    </row>
    <row r="67" spans="1:56" x14ac:dyDescent="0.35">
      <c r="A67"/>
      <c r="B67"/>
      <c r="E67"/>
      <c r="AT67" s="61"/>
      <c r="AU67"/>
      <c r="AV67"/>
      <c r="AW67"/>
      <c r="AX67"/>
      <c r="AY67"/>
    </row>
    <row r="68" spans="1:56" ht="17.5" thickBot="1" x14ac:dyDescent="0.4">
      <c r="B68" s="8" t="s">
        <v>76</v>
      </c>
    </row>
    <row r="69" spans="1:56" ht="16.5" thickTop="1" x14ac:dyDescent="0.35">
      <c r="E69" s="82" t="s">
        <v>517</v>
      </c>
      <c r="F69" s="33" t="s">
        <v>829</v>
      </c>
      <c r="G69" s="33" t="str">
        <f t="shared" ref="G69:G74" si="27">nominal</f>
        <v>£m nominal</v>
      </c>
      <c r="H69" s="83" t="s">
        <v>519</v>
      </c>
      <c r="AT69" s="61"/>
      <c r="AU69" s="327">
        <v>5.8282264081756328</v>
      </c>
      <c r="AV69"/>
      <c r="AW69"/>
      <c r="AX69"/>
      <c r="AY69"/>
      <c r="BA69" s="34" t="str">
        <f t="shared" ca="1" si="24"/>
        <v>Southern</v>
      </c>
      <c r="BB69" s="34" t="str">
        <f t="shared" si="25"/>
        <v>Variable inputs</v>
      </c>
      <c r="BC69" s="34" t="str">
        <f>$B$68</f>
        <v>Legacy adjustments</v>
      </c>
    </row>
    <row r="70" spans="1:56" x14ac:dyDescent="0.35">
      <c r="E70" s="33" t="s">
        <v>518</v>
      </c>
      <c r="F70" s="33" t="s">
        <v>830</v>
      </c>
      <c r="G70" s="33" t="str">
        <f t="shared" si="27"/>
        <v>£m nominal</v>
      </c>
      <c r="H70" s="33" t="s">
        <v>520</v>
      </c>
      <c r="AU70" s="138">
        <v>5.9843731018800375</v>
      </c>
      <c r="BA70" s="34" t="str">
        <f t="shared" ca="1" si="24"/>
        <v>Southern</v>
      </c>
      <c r="BB70" s="34" t="str">
        <f t="shared" si="25"/>
        <v>Variable inputs</v>
      </c>
      <c r="BC70" s="34" t="str">
        <f>$B$68</f>
        <v>Legacy adjustments</v>
      </c>
    </row>
    <row r="71" spans="1:56" x14ac:dyDescent="0.35">
      <c r="E71" s="33" t="s">
        <v>601</v>
      </c>
      <c r="G71" s="33" t="str">
        <f t="shared" si="27"/>
        <v>£m nominal</v>
      </c>
      <c r="J71"/>
      <c r="AU71" s="138"/>
      <c r="BA71" s="34" t="str">
        <f t="shared" ca="1" si="24"/>
        <v>Southern</v>
      </c>
      <c r="BB71" s="34" t="str">
        <f t="shared" si="25"/>
        <v>Variable inputs</v>
      </c>
      <c r="BC71" s="34" t="str">
        <f t="shared" ref="BC71:BC74" si="28">$B$68</f>
        <v>Legacy adjustments</v>
      </c>
      <c r="BD71"/>
    </row>
    <row r="72" spans="1:56" x14ac:dyDescent="0.35">
      <c r="E72" s="33" t="s">
        <v>603</v>
      </c>
      <c r="G72" s="33" t="str">
        <f t="shared" si="27"/>
        <v>£m nominal</v>
      </c>
      <c r="J72"/>
      <c r="AU72" s="138"/>
      <c r="BA72" s="34" t="str">
        <f t="shared" ca="1" si="24"/>
        <v>Southern</v>
      </c>
      <c r="BB72" s="34" t="str">
        <f t="shared" si="25"/>
        <v>Variable inputs</v>
      </c>
      <c r="BC72" s="34" t="str">
        <f t="shared" si="28"/>
        <v>Legacy adjustments</v>
      </c>
      <c r="BD72"/>
    </row>
    <row r="73" spans="1:56" x14ac:dyDescent="0.35">
      <c r="E73" s="33" t="s">
        <v>602</v>
      </c>
      <c r="G73" s="33" t="str">
        <f t="shared" si="27"/>
        <v>£m nominal</v>
      </c>
      <c r="J73"/>
      <c r="AU73" s="138"/>
      <c r="BA73" s="34" t="str">
        <f t="shared" ca="1" si="24"/>
        <v>Southern</v>
      </c>
      <c r="BB73" s="34" t="str">
        <f t="shared" si="25"/>
        <v>Variable inputs</v>
      </c>
      <c r="BC73" s="34" t="str">
        <f t="shared" si="28"/>
        <v>Legacy adjustments</v>
      </c>
      <c r="BD73"/>
    </row>
    <row r="74" spans="1:56" x14ac:dyDescent="0.35">
      <c r="E74" s="33" t="s">
        <v>604</v>
      </c>
      <c r="G74" s="33" t="str">
        <f t="shared" si="27"/>
        <v>£m nominal</v>
      </c>
      <c r="J74"/>
      <c r="AU74" s="138"/>
      <c r="BA74" s="34" t="str">
        <f t="shared" ca="1" si="24"/>
        <v>Southern</v>
      </c>
      <c r="BB74" s="34" t="str">
        <f t="shared" si="25"/>
        <v>Variable inputs</v>
      </c>
      <c r="BC74" s="34" t="str">
        <f t="shared" si="28"/>
        <v>Legacy adjustments</v>
      </c>
      <c r="BD74"/>
    </row>
    <row r="75" spans="1:56" x14ac:dyDescent="0.35"/>
    <row r="76" spans="1:56" ht="17.5" thickBot="1" x14ac:dyDescent="0.4">
      <c r="B76" s="8" t="s">
        <v>78</v>
      </c>
      <c r="AS76"/>
    </row>
    <row r="77" spans="1:56" ht="16.5" thickTop="1" x14ac:dyDescent="0.35">
      <c r="E77" s="33" t="s">
        <v>79</v>
      </c>
      <c r="G77" s="33" t="str">
        <f>price_label</f>
        <v>£m 23/24 prices</v>
      </c>
      <c r="H77" s="33" t="s">
        <v>80</v>
      </c>
      <c r="AU77" s="137">
        <v>0</v>
      </c>
      <c r="AV77" s="20">
        <v>0</v>
      </c>
      <c r="AW77" s="20">
        <v>0</v>
      </c>
      <c r="AX77" s="20">
        <v>0</v>
      </c>
      <c r="AY77" s="20">
        <v>0</v>
      </c>
      <c r="BA77" s="34" t="str">
        <f t="shared" ref="BA77:BA80" ca="1" si="29">$A$1</f>
        <v>Southern</v>
      </c>
      <c r="BB77" s="34" t="str">
        <f t="shared" ref="BB77:BB80" si="30">$A$6</f>
        <v>Variable inputs</v>
      </c>
      <c r="BC77" s="34" t="str">
        <f>$B$76</f>
        <v>Directly remunerated services</v>
      </c>
    </row>
    <row r="78" spans="1:56" x14ac:dyDescent="0.35">
      <c r="E78" s="33" t="s">
        <v>81</v>
      </c>
      <c r="G78" s="33" t="str">
        <f>price_label</f>
        <v>£m 23/24 prices</v>
      </c>
      <c r="H78" s="33" t="s">
        <v>82</v>
      </c>
      <c r="AU78" s="137">
        <v>0</v>
      </c>
      <c r="AV78" s="20">
        <v>0</v>
      </c>
      <c r="AW78" s="20">
        <v>0</v>
      </c>
      <c r="AX78" s="20">
        <v>0</v>
      </c>
      <c r="AY78" s="20">
        <v>0</v>
      </c>
      <c r="BA78" s="34" t="str">
        <f t="shared" ca="1" si="29"/>
        <v>Southern</v>
      </c>
      <c r="BB78" s="34" t="str">
        <f t="shared" si="30"/>
        <v>Variable inputs</v>
      </c>
      <c r="BC78" s="34" t="str">
        <f t="shared" ref="BC78:BC80" si="31">$B$76</f>
        <v>Directly remunerated services</v>
      </c>
    </row>
    <row r="79" spans="1:56" x14ac:dyDescent="0.35">
      <c r="E79" s="33" t="s">
        <v>83</v>
      </c>
      <c r="G79" s="33" t="str">
        <f>price_label</f>
        <v>£m 23/24 prices</v>
      </c>
      <c r="H79" s="33" t="s">
        <v>84</v>
      </c>
      <c r="AU79" s="137">
        <v>0</v>
      </c>
      <c r="AV79" s="20">
        <v>0</v>
      </c>
      <c r="AW79" s="20">
        <v>0</v>
      </c>
      <c r="AX79" s="20">
        <v>0</v>
      </c>
      <c r="AY79" s="20">
        <v>0</v>
      </c>
      <c r="BA79" s="34" t="str">
        <f t="shared" ca="1" si="29"/>
        <v>Southern</v>
      </c>
      <c r="BB79" s="34" t="str">
        <f t="shared" si="30"/>
        <v>Variable inputs</v>
      </c>
      <c r="BC79" s="34" t="str">
        <f t="shared" si="31"/>
        <v>Directly remunerated services</v>
      </c>
    </row>
    <row r="80" spans="1:56" x14ac:dyDescent="0.35">
      <c r="E80" s="33" t="s">
        <v>85</v>
      </c>
      <c r="G80" s="33" t="str">
        <f>price_label</f>
        <v>£m 23/24 prices</v>
      </c>
      <c r="H80" s="33" t="s">
        <v>86</v>
      </c>
      <c r="AU80" s="137">
        <v>0</v>
      </c>
      <c r="AV80" s="20">
        <v>0</v>
      </c>
      <c r="AW80" s="20">
        <v>0</v>
      </c>
      <c r="AX80" s="20">
        <v>0</v>
      </c>
      <c r="AY80" s="20">
        <v>0</v>
      </c>
      <c r="BA80" s="34" t="str">
        <f t="shared" ca="1" si="29"/>
        <v>Southern</v>
      </c>
      <c r="BB80" s="34" t="str">
        <f t="shared" si="30"/>
        <v>Variable inputs</v>
      </c>
      <c r="BC80" s="34" t="str">
        <f t="shared" si="31"/>
        <v>Directly remunerated services</v>
      </c>
    </row>
    <row r="81" spans="2:55" x14ac:dyDescent="0.35"/>
    <row r="82" spans="2:55" ht="17.5" thickBot="1" x14ac:dyDescent="0.4">
      <c r="B82" s="8" t="s">
        <v>475</v>
      </c>
    </row>
    <row r="83" spans="2:55" ht="16.5" thickTop="1" x14ac:dyDescent="0.35">
      <c r="E83" s="33" t="s">
        <v>88</v>
      </c>
      <c r="G83" s="33" t="str">
        <f t="shared" ref="G83:G85" si="32">nominal</f>
        <v>£m nominal</v>
      </c>
      <c r="H83" s="33" t="s">
        <v>89</v>
      </c>
      <c r="AU83" s="137"/>
      <c r="AV83" s="20"/>
      <c r="AW83" s="20"/>
      <c r="AX83" s="20"/>
      <c r="AY83" s="20"/>
      <c r="BA83" s="34" t="str">
        <f t="shared" ref="BA83:BA527" ca="1" si="33">$A$1</f>
        <v>Southern</v>
      </c>
      <c r="BB83" s="34" t="str">
        <f t="shared" ref="BB83:BB95" si="34">$A$6</f>
        <v>Variable inputs</v>
      </c>
      <c r="BC83" s="34" t="str">
        <f>$B$82</f>
        <v>Tax</v>
      </c>
    </row>
    <row r="84" spans="2:55" x14ac:dyDescent="0.35">
      <c r="E84" s="33" t="s">
        <v>90</v>
      </c>
      <c r="G84" s="33" t="str">
        <f t="shared" si="32"/>
        <v>£m nominal</v>
      </c>
      <c r="H84" s="33" t="s">
        <v>91</v>
      </c>
      <c r="AU84" s="137"/>
      <c r="AV84" s="20"/>
      <c r="AW84" s="20"/>
      <c r="AX84" s="20"/>
      <c r="AY84" s="20"/>
      <c r="BA84" s="34" t="str">
        <f t="shared" ca="1" si="33"/>
        <v>Southern</v>
      </c>
      <c r="BB84" s="34" t="str">
        <f t="shared" si="34"/>
        <v>Variable inputs</v>
      </c>
      <c r="BC84" s="34" t="str">
        <f t="shared" ref="BC84:BC95" si="35">$B$82</f>
        <v>Tax</v>
      </c>
    </row>
    <row r="85" spans="2:55" x14ac:dyDescent="0.35">
      <c r="E85" s="33" t="s">
        <v>92</v>
      </c>
      <c r="F85" s="33" t="s">
        <v>93</v>
      </c>
      <c r="G85" s="33" t="str">
        <f t="shared" si="32"/>
        <v>£m nominal</v>
      </c>
      <c r="H85" s="33" t="s">
        <v>94</v>
      </c>
      <c r="AU85" s="137"/>
      <c r="AV85" s="20"/>
      <c r="AW85" s="20"/>
      <c r="AX85" s="20"/>
      <c r="AY85" s="20"/>
      <c r="BA85" s="34" t="str">
        <f t="shared" ca="1" si="33"/>
        <v>Southern</v>
      </c>
      <c r="BB85" s="34" t="str">
        <f t="shared" si="34"/>
        <v>Variable inputs</v>
      </c>
      <c r="BC85" s="34" t="str">
        <f t="shared" si="35"/>
        <v>Tax</v>
      </c>
    </row>
    <row r="86" spans="2:55" x14ac:dyDescent="0.35">
      <c r="E86" s="33" t="s">
        <v>95</v>
      </c>
      <c r="G86" s="33" t="str">
        <f>price_label</f>
        <v>£m 23/24 prices</v>
      </c>
      <c r="H86" s="33" t="s">
        <v>96</v>
      </c>
      <c r="AU86" s="137"/>
      <c r="AV86" s="20"/>
      <c r="AW86" s="20"/>
      <c r="AX86" s="20"/>
      <c r="AY86" s="20"/>
      <c r="BA86" s="34" t="str">
        <f t="shared" ca="1" si="33"/>
        <v>Southern</v>
      </c>
      <c r="BB86" s="34" t="str">
        <f t="shared" si="34"/>
        <v>Variable inputs</v>
      </c>
      <c r="BC86" s="34" t="str">
        <f t="shared" si="35"/>
        <v>Tax</v>
      </c>
    </row>
    <row r="87" spans="2:55" x14ac:dyDescent="0.35">
      <c r="E87" s="33" t="s">
        <v>99</v>
      </c>
      <c r="G87" s="33" t="str">
        <f t="shared" ref="G87:G95" si="36">nominal</f>
        <v>£m nominal</v>
      </c>
      <c r="H87" s="33" t="s">
        <v>100</v>
      </c>
      <c r="AU87" s="137">
        <v>83.174055434674315</v>
      </c>
      <c r="BA87" s="34" t="str">
        <f t="shared" ca="1" si="33"/>
        <v>Southern</v>
      </c>
      <c r="BB87" s="34" t="str">
        <f t="shared" si="34"/>
        <v>Variable inputs</v>
      </c>
      <c r="BC87" s="34" t="str">
        <f t="shared" si="35"/>
        <v>Tax</v>
      </c>
    </row>
    <row r="88" spans="2:55" x14ac:dyDescent="0.35">
      <c r="E88" s="33" t="s">
        <v>101</v>
      </c>
      <c r="G88" s="33" t="str">
        <f t="shared" si="36"/>
        <v>£m nominal</v>
      </c>
      <c r="H88" s="33" t="s">
        <v>102</v>
      </c>
      <c r="AU88" s="137">
        <v>479.72712465763658</v>
      </c>
      <c r="BA88" s="34" t="str">
        <f t="shared" ca="1" si="33"/>
        <v>Southern</v>
      </c>
      <c r="BB88" s="34" t="str">
        <f t="shared" si="34"/>
        <v>Variable inputs</v>
      </c>
      <c r="BC88" s="34" t="str">
        <f t="shared" si="35"/>
        <v>Tax</v>
      </c>
    </row>
    <row r="89" spans="2:55" x14ac:dyDescent="0.35">
      <c r="E89" s="33" t="s">
        <v>407</v>
      </c>
      <c r="G89" s="33" t="str">
        <f t="shared" si="36"/>
        <v>£m nominal</v>
      </c>
      <c r="H89" s="33" t="s">
        <v>103</v>
      </c>
      <c r="AU89" s="137">
        <v>17.945172445338617</v>
      </c>
      <c r="BA89" s="34" t="str">
        <f t="shared" ca="1" si="33"/>
        <v>Southern</v>
      </c>
      <c r="BB89" s="34" t="str">
        <f t="shared" si="34"/>
        <v>Variable inputs</v>
      </c>
      <c r="BC89" s="34" t="str">
        <f t="shared" si="35"/>
        <v>Tax</v>
      </c>
    </row>
    <row r="90" spans="2:55" x14ac:dyDescent="0.35">
      <c r="E90" s="33" t="s">
        <v>408</v>
      </c>
      <c r="G90" s="33" t="str">
        <f t="shared" si="36"/>
        <v>£m nominal</v>
      </c>
      <c r="H90" s="33" t="s">
        <v>104</v>
      </c>
      <c r="AU90" s="137">
        <v>2121.2209547800662</v>
      </c>
      <c r="BA90" s="34" t="str">
        <f t="shared" ca="1" si="33"/>
        <v>Southern</v>
      </c>
      <c r="BB90" s="34" t="str">
        <f t="shared" si="34"/>
        <v>Variable inputs</v>
      </c>
      <c r="BC90" s="34" t="str">
        <f t="shared" si="35"/>
        <v>Tax</v>
      </c>
    </row>
    <row r="91" spans="2:55" x14ac:dyDescent="0.35">
      <c r="E91" s="33" t="s">
        <v>405</v>
      </c>
      <c r="G91" s="33" t="str">
        <f t="shared" si="36"/>
        <v>£m nominal</v>
      </c>
      <c r="H91" s="33" t="s">
        <v>97</v>
      </c>
      <c r="AU91" s="137">
        <v>0</v>
      </c>
      <c r="AV91"/>
      <c r="AW91"/>
      <c r="AX91"/>
      <c r="AY91"/>
      <c r="BA91" s="34" t="str">
        <f t="shared" ca="1" si="33"/>
        <v>Southern</v>
      </c>
      <c r="BB91" s="34" t="str">
        <f t="shared" si="34"/>
        <v>Variable inputs</v>
      </c>
      <c r="BC91" s="34" t="str">
        <f t="shared" si="35"/>
        <v>Tax</v>
      </c>
    </row>
    <row r="92" spans="2:55" x14ac:dyDescent="0.35">
      <c r="E92" s="33" t="s">
        <v>406</v>
      </c>
      <c r="G92" s="33" t="str">
        <f t="shared" si="36"/>
        <v>£m nominal</v>
      </c>
      <c r="H92" s="33" t="s">
        <v>98</v>
      </c>
      <c r="AU92" s="137">
        <v>0</v>
      </c>
      <c r="AV92"/>
      <c r="AW92"/>
      <c r="AX92"/>
      <c r="AY92"/>
      <c r="BA92" s="34" t="str">
        <f t="shared" ca="1" si="33"/>
        <v>Southern</v>
      </c>
      <c r="BB92" s="34" t="str">
        <f t="shared" si="34"/>
        <v>Variable inputs</v>
      </c>
      <c r="BC92" s="34" t="str">
        <f t="shared" si="35"/>
        <v>Tax</v>
      </c>
    </row>
    <row r="93" spans="2:55" x14ac:dyDescent="0.35">
      <c r="E93" s="33" t="s">
        <v>809</v>
      </c>
      <c r="G93" s="33" t="str">
        <f t="shared" si="36"/>
        <v>£m nominal</v>
      </c>
      <c r="H93" s="33" t="s">
        <v>955</v>
      </c>
      <c r="AT93" s="62">
        <v>19.135778572465483</v>
      </c>
      <c r="AU93"/>
      <c r="BA93" s="34" t="str">
        <f t="shared" ca="1" si="33"/>
        <v>Southern</v>
      </c>
      <c r="BB93" s="34" t="str">
        <f t="shared" si="34"/>
        <v>Variable inputs</v>
      </c>
      <c r="BC93" s="34" t="str">
        <f t="shared" si="35"/>
        <v>Tax</v>
      </c>
    </row>
    <row r="94" spans="2:55" x14ac:dyDescent="0.35">
      <c r="E94" s="33" t="s">
        <v>811</v>
      </c>
      <c r="G94" s="33" t="str">
        <f t="shared" si="36"/>
        <v>£m nominal</v>
      </c>
      <c r="H94" s="33" t="s">
        <v>105</v>
      </c>
      <c r="J94" s="33" t="s">
        <v>13</v>
      </c>
      <c r="AT94" s="62">
        <v>2348.5166258068102</v>
      </c>
      <c r="BA94" s="34" t="str">
        <f t="shared" ca="1" si="33"/>
        <v>Southern</v>
      </c>
      <c r="BB94" s="34" t="str">
        <f t="shared" si="34"/>
        <v>Variable inputs</v>
      </c>
      <c r="BC94" s="34" t="str">
        <f t="shared" si="35"/>
        <v>Tax</v>
      </c>
    </row>
    <row r="95" spans="2:55" x14ac:dyDescent="0.35">
      <c r="E95" s="33" t="s">
        <v>106</v>
      </c>
      <c r="G95" s="33" t="str">
        <f t="shared" si="36"/>
        <v>£m nominal</v>
      </c>
      <c r="H95" s="33" t="s">
        <v>107</v>
      </c>
      <c r="AU95" s="137">
        <v>0</v>
      </c>
      <c r="BA95" s="34" t="str">
        <f t="shared" ca="1" si="33"/>
        <v>Southern</v>
      </c>
      <c r="BB95" s="34" t="str">
        <f t="shared" si="34"/>
        <v>Variable inputs</v>
      </c>
      <c r="BC95" s="34" t="str">
        <f t="shared" si="35"/>
        <v>Tax</v>
      </c>
    </row>
    <row r="96" spans="2:55" x14ac:dyDescent="0.35"/>
    <row r="97" spans="2:56" ht="17.5" thickBot="1" x14ac:dyDescent="0.4">
      <c r="B97" s="8" t="s">
        <v>121</v>
      </c>
    </row>
    <row r="98" spans="2:56" ht="17" thickTop="1" thickBot="1" x14ac:dyDescent="0.4">
      <c r="C98" s="9" t="s">
        <v>122</v>
      </c>
    </row>
    <row r="99" spans="2:56" x14ac:dyDescent="0.35">
      <c r="E99" s="33" t="s">
        <v>531</v>
      </c>
      <c r="F99" s="33" t="s">
        <v>124</v>
      </c>
      <c r="G99" s="33" t="str">
        <f t="shared" ref="G99:G148" si="37">price_label</f>
        <v>£m 23/24 prices</v>
      </c>
      <c r="H99" s="33" t="s">
        <v>125</v>
      </c>
      <c r="AU99" s="137">
        <v>97.990409993182453</v>
      </c>
      <c r="AV99" s="20">
        <v>98.947893326468801</v>
      </c>
      <c r="AW99" s="20">
        <v>100.81643463579246</v>
      </c>
      <c r="AX99" s="20">
        <v>95.600627302014303</v>
      </c>
      <c r="AY99" s="20">
        <v>92.397583150251307</v>
      </c>
      <c r="BA99" s="34" t="str">
        <f t="shared" ref="BA99:BA148" ca="1" si="38">$A$1</f>
        <v>Southern</v>
      </c>
      <c r="BB99" s="34" t="str">
        <f t="shared" ref="BB99:BB148" si="39">$A$6</f>
        <v>Variable inputs</v>
      </c>
      <c r="BC99" s="34" t="str">
        <f t="shared" ref="BC99:BC148" si="40">$B$97</f>
        <v>Variant allowances</v>
      </c>
      <c r="BD99" s="34" t="str">
        <f t="shared" ref="BD99:BD148" si="41">$C$98</f>
        <v>Variant allowances (including Real Price Effects)</v>
      </c>
    </row>
    <row r="100" spans="2:56" x14ac:dyDescent="0.35">
      <c r="E100" s="33" t="s">
        <v>532</v>
      </c>
      <c r="F100" s="33" t="s">
        <v>137</v>
      </c>
      <c r="G100" s="33" t="str">
        <f t="shared" si="37"/>
        <v>£m 23/24 prices</v>
      </c>
      <c r="H100" s="33" t="s">
        <v>875</v>
      </c>
      <c r="AU100" s="137">
        <v>26.227460725951254</v>
      </c>
      <c r="AV100" s="20">
        <v>20.555824335663427</v>
      </c>
      <c r="AW100" s="20">
        <v>17.973665719782886</v>
      </c>
      <c r="AX100" s="20">
        <v>15.056165870014111</v>
      </c>
      <c r="AY100" s="20">
        <v>15.063506726541139</v>
      </c>
      <c r="BA100" s="34" t="str">
        <f t="shared" ca="1" si="38"/>
        <v>Southern</v>
      </c>
      <c r="BB100" s="34" t="str">
        <f t="shared" si="39"/>
        <v>Variable inputs</v>
      </c>
      <c r="BC100" s="34" t="str">
        <f t="shared" si="40"/>
        <v>Variant allowances</v>
      </c>
      <c r="BD100" s="34" t="str">
        <f t="shared" si="41"/>
        <v>Variant allowances (including Real Price Effects)</v>
      </c>
    </row>
    <row r="101" spans="2:56" x14ac:dyDescent="0.35">
      <c r="E101" s="33" t="s">
        <v>884</v>
      </c>
      <c r="F101" s="33" t="s">
        <v>153</v>
      </c>
      <c r="G101" s="33" t="str">
        <f t="shared" si="37"/>
        <v>£m 23/24 prices</v>
      </c>
      <c r="H101" s="33" t="s">
        <v>732</v>
      </c>
      <c r="AU101" s="137">
        <v>0</v>
      </c>
      <c r="AV101" s="20">
        <v>0</v>
      </c>
      <c r="AW101" s="20">
        <v>0</v>
      </c>
      <c r="AX101" s="20">
        <v>0</v>
      </c>
      <c r="AY101" s="20">
        <v>0</v>
      </c>
      <c r="BA101" s="34" t="str">
        <f t="shared" ca="1" si="38"/>
        <v>Southern</v>
      </c>
      <c r="BB101" s="34" t="str">
        <f t="shared" si="39"/>
        <v>Variable inputs</v>
      </c>
      <c r="BC101" s="34" t="str">
        <f t="shared" si="40"/>
        <v>Variant allowances</v>
      </c>
      <c r="BD101" s="34" t="str">
        <f t="shared" si="41"/>
        <v>Variant allowances (including Real Price Effects)</v>
      </c>
    </row>
    <row r="102" spans="2:56" x14ac:dyDescent="0.35">
      <c r="E102" s="33" t="s">
        <v>533</v>
      </c>
      <c r="F102" s="33" t="s">
        <v>154</v>
      </c>
      <c r="G102" s="33" t="str">
        <f t="shared" si="37"/>
        <v>£m 23/24 prices</v>
      </c>
      <c r="H102" s="33" t="s">
        <v>734</v>
      </c>
      <c r="AU102" s="137">
        <v>0</v>
      </c>
      <c r="AV102" s="20">
        <v>0</v>
      </c>
      <c r="AW102" s="20">
        <v>0</v>
      </c>
      <c r="AX102" s="20">
        <v>0</v>
      </c>
      <c r="AY102" s="20">
        <v>0</v>
      </c>
      <c r="BA102" s="34" t="str">
        <f t="shared" ca="1" si="38"/>
        <v>Southern</v>
      </c>
      <c r="BB102" s="34" t="str">
        <f t="shared" si="39"/>
        <v>Variable inputs</v>
      </c>
      <c r="BC102" s="34" t="str">
        <f t="shared" si="40"/>
        <v>Variant allowances</v>
      </c>
      <c r="BD102" s="34" t="str">
        <f t="shared" si="41"/>
        <v>Variant allowances (including Real Price Effects)</v>
      </c>
    </row>
    <row r="103" spans="2:56" x14ac:dyDescent="0.35">
      <c r="E103" s="33" t="s">
        <v>916</v>
      </c>
      <c r="F103" s="33" t="s">
        <v>132</v>
      </c>
      <c r="G103" s="33" t="str">
        <f t="shared" si="37"/>
        <v>£m 23/24 prices</v>
      </c>
      <c r="H103" s="33" t="s">
        <v>745</v>
      </c>
      <c r="AU103" s="137">
        <v>0.64121832871017881</v>
      </c>
      <c r="AV103" s="20">
        <v>0.61728803478667715</v>
      </c>
      <c r="AW103" s="20">
        <v>1.2472654062353308</v>
      </c>
      <c r="AX103" s="20">
        <v>2.3654115914609144</v>
      </c>
      <c r="AY103" s="20">
        <v>3.4796819418038658</v>
      </c>
      <c r="BA103" s="34" t="str">
        <f t="shared" ca="1" si="38"/>
        <v>Southern</v>
      </c>
      <c r="BB103" s="34" t="str">
        <f t="shared" si="39"/>
        <v>Variable inputs</v>
      </c>
      <c r="BC103" s="34" t="str">
        <f t="shared" si="40"/>
        <v>Variant allowances</v>
      </c>
      <c r="BD103" s="34" t="str">
        <f t="shared" si="41"/>
        <v>Variant allowances (including Real Price Effects)</v>
      </c>
    </row>
    <row r="104" spans="2:56" x14ac:dyDescent="0.35">
      <c r="E104" s="33" t="s">
        <v>534</v>
      </c>
      <c r="F104" s="33" t="s">
        <v>131</v>
      </c>
      <c r="G104" s="33" t="str">
        <f t="shared" si="37"/>
        <v>£m 23/24 prices</v>
      </c>
      <c r="H104" s="33" t="s">
        <v>885</v>
      </c>
      <c r="AU104" s="137">
        <v>0</v>
      </c>
      <c r="AV104" s="20">
        <v>0</v>
      </c>
      <c r="AW104" s="20">
        <v>0</v>
      </c>
      <c r="AX104" s="20">
        <v>0</v>
      </c>
      <c r="AY104" s="20">
        <v>0</v>
      </c>
      <c r="BA104" s="34" t="str">
        <f t="shared" ca="1" si="38"/>
        <v>Southern</v>
      </c>
      <c r="BB104" s="34" t="str">
        <f t="shared" si="39"/>
        <v>Variable inputs</v>
      </c>
      <c r="BC104" s="34" t="str">
        <f t="shared" si="40"/>
        <v>Variant allowances</v>
      </c>
      <c r="BD104" s="34" t="str">
        <f t="shared" si="41"/>
        <v>Variant allowances (including Real Price Effects)</v>
      </c>
    </row>
    <row r="105" spans="2:56" x14ac:dyDescent="0.35">
      <c r="E105" s="33" t="s">
        <v>535</v>
      </c>
      <c r="F105" s="33" t="s">
        <v>126</v>
      </c>
      <c r="G105" s="33" t="str">
        <f t="shared" si="37"/>
        <v>£m 23/24 prices</v>
      </c>
      <c r="H105" s="33" t="s">
        <v>127</v>
      </c>
      <c r="AU105" s="137">
        <v>148.04242631675405</v>
      </c>
      <c r="AV105" s="20">
        <v>145.24211617395866</v>
      </c>
      <c r="AW105" s="20">
        <v>144.64487475585096</v>
      </c>
      <c r="AX105" s="20">
        <v>140.84403721436857</v>
      </c>
      <c r="AY105" s="20">
        <v>139.45832324730637</v>
      </c>
      <c r="BA105" s="34" t="str">
        <f t="shared" ca="1" si="38"/>
        <v>Southern</v>
      </c>
      <c r="BB105" s="34" t="str">
        <f t="shared" si="39"/>
        <v>Variable inputs</v>
      </c>
      <c r="BC105" s="34" t="str">
        <f t="shared" si="40"/>
        <v>Variant allowances</v>
      </c>
      <c r="BD105" s="34" t="str">
        <f t="shared" si="41"/>
        <v>Variant allowances (including Real Price Effects)</v>
      </c>
    </row>
    <row r="106" spans="2:56" x14ac:dyDescent="0.35">
      <c r="E106" s="33" t="s">
        <v>880</v>
      </c>
      <c r="F106" s="33" t="s">
        <v>128</v>
      </c>
      <c r="G106" s="33" t="str">
        <f t="shared" si="37"/>
        <v>£m 23/24 prices</v>
      </c>
      <c r="H106" s="33" t="s">
        <v>129</v>
      </c>
      <c r="AU106" s="137">
        <v>43.180104194167022</v>
      </c>
      <c r="AV106" s="20">
        <v>42.363326958409125</v>
      </c>
      <c r="AW106" s="20">
        <v>42.189644513712466</v>
      </c>
      <c r="AX106" s="20">
        <v>41.080522343177165</v>
      </c>
      <c r="AY106" s="20">
        <v>40.67634581777331</v>
      </c>
      <c r="BA106" s="34" t="str">
        <f t="shared" ca="1" si="38"/>
        <v>Southern</v>
      </c>
      <c r="BB106" s="34" t="str">
        <f t="shared" si="39"/>
        <v>Variable inputs</v>
      </c>
      <c r="BC106" s="34" t="str">
        <f t="shared" si="40"/>
        <v>Variant allowances</v>
      </c>
      <c r="BD106" s="34" t="str">
        <f t="shared" si="41"/>
        <v>Variant allowances (including Real Price Effects)</v>
      </c>
    </row>
    <row r="107" spans="2:56" x14ac:dyDescent="0.35">
      <c r="E107" s="33" t="s">
        <v>536</v>
      </c>
      <c r="F107" s="33" t="s">
        <v>123</v>
      </c>
      <c r="G107" s="33" t="str">
        <f t="shared" si="37"/>
        <v>£m 23/24 prices</v>
      </c>
      <c r="H107" s="33" t="s">
        <v>738</v>
      </c>
      <c r="AU107" s="137">
        <v>0</v>
      </c>
      <c r="AV107" s="20">
        <v>0</v>
      </c>
      <c r="AW107" s="20">
        <v>0</v>
      </c>
      <c r="AX107" s="20">
        <v>0</v>
      </c>
      <c r="AY107" s="20">
        <v>0</v>
      </c>
      <c r="BA107" s="34" t="str">
        <f t="shared" ca="1" si="38"/>
        <v>Southern</v>
      </c>
      <c r="BB107" s="34" t="str">
        <f t="shared" si="39"/>
        <v>Variable inputs</v>
      </c>
      <c r="BC107" s="34" t="str">
        <f t="shared" si="40"/>
        <v>Variant allowances</v>
      </c>
      <c r="BD107" s="34" t="str">
        <f t="shared" si="41"/>
        <v>Variant allowances (including Real Price Effects)</v>
      </c>
    </row>
    <row r="108" spans="2:56" x14ac:dyDescent="0.35">
      <c r="E108" s="33" t="s">
        <v>887</v>
      </c>
      <c r="F108" s="33" t="s">
        <v>149</v>
      </c>
      <c r="G108" s="33" t="str">
        <f t="shared" si="37"/>
        <v>£m 23/24 prices</v>
      </c>
      <c r="H108" s="33" t="s">
        <v>888</v>
      </c>
      <c r="AU108" s="137">
        <v>1.6904321781091902</v>
      </c>
      <c r="AV108" s="20">
        <v>1.6735278563280984</v>
      </c>
      <c r="AW108" s="20">
        <v>1.6567925777648174</v>
      </c>
      <c r="AX108" s="20">
        <v>1.6402246519871693</v>
      </c>
      <c r="AY108" s="20">
        <v>1.6238224054672976</v>
      </c>
      <c r="BA108" s="34" t="str">
        <f t="shared" ca="1" si="38"/>
        <v>Southern</v>
      </c>
      <c r="BB108" s="34" t="str">
        <f t="shared" si="39"/>
        <v>Variable inputs</v>
      </c>
      <c r="BC108" s="34" t="str">
        <f t="shared" si="40"/>
        <v>Variant allowances</v>
      </c>
      <c r="BD108" s="34" t="str">
        <f t="shared" si="41"/>
        <v>Variant allowances (including Real Price Effects)</v>
      </c>
    </row>
    <row r="109" spans="2:56" x14ac:dyDescent="0.35">
      <c r="E109" s="33" t="s">
        <v>537</v>
      </c>
      <c r="F109" s="33" t="s">
        <v>132</v>
      </c>
      <c r="G109" s="33" t="str">
        <f t="shared" si="37"/>
        <v>£m 23/24 prices</v>
      </c>
      <c r="H109" s="33" t="s">
        <v>745</v>
      </c>
      <c r="AU109" s="137">
        <v>3.9394139399999992</v>
      </c>
      <c r="AV109" s="20">
        <v>5.4273674564999999</v>
      </c>
      <c r="AW109" s="20">
        <v>6.666440249798999</v>
      </c>
      <c r="AX109" s="20">
        <v>7.4282783787738884</v>
      </c>
      <c r="AY109" s="20">
        <v>1.9014133097302595</v>
      </c>
      <c r="BA109" s="34" t="str">
        <f t="shared" ca="1" si="38"/>
        <v>Southern</v>
      </c>
      <c r="BB109" s="34" t="str">
        <f t="shared" si="39"/>
        <v>Variable inputs</v>
      </c>
      <c r="BC109" s="34" t="str">
        <f t="shared" si="40"/>
        <v>Variant allowances</v>
      </c>
      <c r="BD109" s="34" t="str">
        <f t="shared" si="41"/>
        <v>Variant allowances (including Real Price Effects)</v>
      </c>
    </row>
    <row r="110" spans="2:56" x14ac:dyDescent="0.35">
      <c r="E110" s="33" t="s">
        <v>914</v>
      </c>
      <c r="F110" s="33" t="s">
        <v>132</v>
      </c>
      <c r="G110" s="33" t="str">
        <f t="shared" si="37"/>
        <v>£m 23/24 prices</v>
      </c>
      <c r="H110" s="33" t="s">
        <v>745</v>
      </c>
      <c r="AU110" s="137">
        <v>0</v>
      </c>
      <c r="AV110" s="20">
        <v>0</v>
      </c>
      <c r="AW110" s="20">
        <v>0</v>
      </c>
      <c r="AX110" s="20">
        <v>0</v>
      </c>
      <c r="AY110" s="20">
        <v>0</v>
      </c>
      <c r="BA110" s="34" t="str">
        <f t="shared" ca="1" si="38"/>
        <v>Southern</v>
      </c>
      <c r="BB110" s="34" t="str">
        <f t="shared" si="39"/>
        <v>Variable inputs</v>
      </c>
      <c r="BC110" s="34" t="str">
        <f t="shared" si="40"/>
        <v>Variant allowances</v>
      </c>
      <c r="BD110" s="34" t="str">
        <f t="shared" si="41"/>
        <v>Variant allowances (including Real Price Effects)</v>
      </c>
    </row>
    <row r="111" spans="2:56" x14ac:dyDescent="0.35">
      <c r="E111" s="33" t="s">
        <v>915</v>
      </c>
      <c r="F111" s="33" t="s">
        <v>132</v>
      </c>
      <c r="G111" s="33" t="str">
        <f t="shared" si="37"/>
        <v>£m 23/24 prices</v>
      </c>
      <c r="H111" s="33" t="s">
        <v>745</v>
      </c>
      <c r="AU111" s="137">
        <v>0</v>
      </c>
      <c r="AV111" s="20">
        <v>0</v>
      </c>
      <c r="AW111" s="20">
        <v>1.51041324597737</v>
      </c>
      <c r="AX111" s="20">
        <v>3.1164685783508301</v>
      </c>
      <c r="AY111" s="20">
        <v>4.1326383604173555</v>
      </c>
      <c r="BA111" s="34" t="str">
        <f t="shared" ca="1" si="38"/>
        <v>Southern</v>
      </c>
      <c r="BB111" s="34" t="str">
        <f t="shared" si="39"/>
        <v>Variable inputs</v>
      </c>
      <c r="BC111" s="34" t="str">
        <f t="shared" si="40"/>
        <v>Variant allowances</v>
      </c>
      <c r="BD111" s="34" t="str">
        <f t="shared" si="41"/>
        <v>Variant allowances (including Real Price Effects)</v>
      </c>
    </row>
    <row r="112" spans="2:56" x14ac:dyDescent="0.35">
      <c r="E112" s="33" t="s">
        <v>954</v>
      </c>
      <c r="F112" s="33" t="s">
        <v>162</v>
      </c>
      <c r="G112" s="33" t="str">
        <f t="shared" si="37"/>
        <v>£m 23/24 prices</v>
      </c>
      <c r="H112" s="33" t="s">
        <v>135</v>
      </c>
      <c r="AU112" s="137">
        <v>0.85120450073999998</v>
      </c>
      <c r="AV112" s="20">
        <v>0.95796397693259983</v>
      </c>
      <c r="AW112" s="20">
        <v>1.0625031431512741</v>
      </c>
      <c r="AX112" s="20">
        <v>1.1648557296478812</v>
      </c>
      <c r="AY112" s="20">
        <v>1.2650550141002412</v>
      </c>
      <c r="BA112" s="34" t="str">
        <f t="shared" ca="1" si="38"/>
        <v>Southern</v>
      </c>
      <c r="BB112" s="34" t="str">
        <f t="shared" si="39"/>
        <v>Variable inputs</v>
      </c>
      <c r="BC112" s="34" t="str">
        <f t="shared" si="40"/>
        <v>Variant allowances</v>
      </c>
      <c r="BD112" s="34" t="str">
        <f t="shared" si="41"/>
        <v>Variant allowances (including Real Price Effects)</v>
      </c>
    </row>
    <row r="113" spans="5:56" x14ac:dyDescent="0.35">
      <c r="E113" s="33" t="s">
        <v>704</v>
      </c>
      <c r="F113" s="33" t="s">
        <v>140</v>
      </c>
      <c r="G113" s="33" t="str">
        <f t="shared" si="37"/>
        <v>£m 23/24 prices</v>
      </c>
      <c r="H113" s="33" t="s">
        <v>740</v>
      </c>
      <c r="AU113" s="137">
        <v>5.8256751959999988</v>
      </c>
      <c r="AV113" s="20">
        <v>5.7674184440399996</v>
      </c>
      <c r="AW113" s="20">
        <v>5.7097442595995993</v>
      </c>
      <c r="AX113" s="20">
        <v>5.6526468170036033</v>
      </c>
      <c r="AY113" s="20">
        <v>5.5961203488335673</v>
      </c>
      <c r="BA113" s="34" t="str">
        <f t="shared" ca="1" si="38"/>
        <v>Southern</v>
      </c>
      <c r="BB113" s="34" t="str">
        <f t="shared" si="39"/>
        <v>Variable inputs</v>
      </c>
      <c r="BC113" s="34" t="str">
        <f t="shared" si="40"/>
        <v>Variant allowances</v>
      </c>
      <c r="BD113" s="34" t="str">
        <f t="shared" si="41"/>
        <v>Variant allowances (including Real Price Effects)</v>
      </c>
    </row>
    <row r="114" spans="5:56" x14ac:dyDescent="0.35">
      <c r="E114" s="33" t="s">
        <v>911</v>
      </c>
      <c r="F114" s="33" t="s">
        <v>136</v>
      </c>
      <c r="G114" s="33" t="str">
        <f t="shared" si="37"/>
        <v>£m 23/24 prices</v>
      </c>
      <c r="H114" s="33" t="s">
        <v>906</v>
      </c>
      <c r="AU114" s="137">
        <v>0</v>
      </c>
      <c r="AV114" s="20">
        <v>0</v>
      </c>
      <c r="AW114" s="20">
        <v>0</v>
      </c>
      <c r="AX114" s="20">
        <v>0</v>
      </c>
      <c r="AY114" s="20">
        <v>0</v>
      </c>
      <c r="BA114" s="34" t="str">
        <f t="shared" ca="1" si="38"/>
        <v>Southern</v>
      </c>
      <c r="BB114" s="34" t="str">
        <f t="shared" si="39"/>
        <v>Variable inputs</v>
      </c>
      <c r="BC114" s="34" t="str">
        <f t="shared" si="40"/>
        <v>Variant allowances</v>
      </c>
      <c r="BD114" s="34" t="str">
        <f t="shared" si="41"/>
        <v>Variant allowances (including Real Price Effects)</v>
      </c>
    </row>
    <row r="115" spans="5:56" x14ac:dyDescent="0.35">
      <c r="E115" s="33" t="s">
        <v>913</v>
      </c>
      <c r="F115" s="33" t="s">
        <v>136</v>
      </c>
      <c r="G115" s="33" t="str">
        <f t="shared" si="37"/>
        <v>£m 23/24 prices</v>
      </c>
      <c r="H115" s="33" t="s">
        <v>906</v>
      </c>
      <c r="AU115" s="137">
        <v>0</v>
      </c>
      <c r="AV115" s="20">
        <v>0</v>
      </c>
      <c r="AW115" s="20">
        <v>0</v>
      </c>
      <c r="AX115" s="20">
        <v>0</v>
      </c>
      <c r="AY115" s="20">
        <v>0</v>
      </c>
      <c r="BA115" s="34" t="str">
        <f t="shared" ca="1" si="38"/>
        <v>Southern</v>
      </c>
      <c r="BB115" s="34" t="str">
        <f t="shared" si="39"/>
        <v>Variable inputs</v>
      </c>
      <c r="BC115" s="34" t="str">
        <f t="shared" si="40"/>
        <v>Variant allowances</v>
      </c>
      <c r="BD115" s="34" t="str">
        <f t="shared" si="41"/>
        <v>Variant allowances (including Real Price Effects)</v>
      </c>
    </row>
    <row r="116" spans="5:56" x14ac:dyDescent="0.35">
      <c r="E116" s="33" t="s">
        <v>912</v>
      </c>
      <c r="F116" s="33" t="s">
        <v>136</v>
      </c>
      <c r="G116" s="33" t="str">
        <f t="shared" si="37"/>
        <v>£m 23/24 prices</v>
      </c>
      <c r="H116" s="33" t="s">
        <v>906</v>
      </c>
      <c r="AU116" s="137">
        <v>0</v>
      </c>
      <c r="AV116" s="20">
        <v>0</v>
      </c>
      <c r="AW116" s="20">
        <v>0</v>
      </c>
      <c r="AX116" s="20">
        <v>0</v>
      </c>
      <c r="AY116" s="20">
        <v>0</v>
      </c>
      <c r="BA116" s="34" t="str">
        <f t="shared" ca="1" si="38"/>
        <v>Southern</v>
      </c>
      <c r="BB116" s="34" t="str">
        <f t="shared" si="39"/>
        <v>Variable inputs</v>
      </c>
      <c r="BC116" s="34" t="str">
        <f t="shared" si="40"/>
        <v>Variant allowances</v>
      </c>
      <c r="BD116" s="34" t="str">
        <f t="shared" si="41"/>
        <v>Variant allowances (including Real Price Effects)</v>
      </c>
    </row>
    <row r="117" spans="5:56" x14ac:dyDescent="0.35">
      <c r="E117" t="s">
        <v>705</v>
      </c>
      <c r="F117" s="33" t="s">
        <v>130</v>
      </c>
      <c r="G117" s="33" t="str">
        <f t="shared" si="37"/>
        <v>£m 23/24 prices</v>
      </c>
      <c r="H117" s="33" t="s">
        <v>886</v>
      </c>
      <c r="AU117" s="137">
        <v>0</v>
      </c>
      <c r="AV117" s="20">
        <v>0</v>
      </c>
      <c r="AW117" s="20">
        <v>0</v>
      </c>
      <c r="AX117" s="20">
        <v>0</v>
      </c>
      <c r="AY117" s="20">
        <v>0</v>
      </c>
      <c r="BA117" s="34" t="str">
        <f t="shared" ca="1" si="38"/>
        <v>Southern</v>
      </c>
      <c r="BB117" s="34" t="str">
        <f t="shared" si="39"/>
        <v>Variable inputs</v>
      </c>
      <c r="BC117" s="34" t="str">
        <f t="shared" si="40"/>
        <v>Variant allowances</v>
      </c>
      <c r="BD117" s="34" t="str">
        <f t="shared" si="41"/>
        <v>Variant allowances (including Real Price Effects)</v>
      </c>
    </row>
    <row r="118" spans="5:56" x14ac:dyDescent="0.35">
      <c r="E118" s="33" t="s">
        <v>538</v>
      </c>
      <c r="G118" s="33" t="str">
        <f t="shared" si="37"/>
        <v>£m 23/24 prices</v>
      </c>
      <c r="H118" s="33" t="s">
        <v>960</v>
      </c>
      <c r="AU118" s="137">
        <v>0.96576016356161676</v>
      </c>
      <c r="AV118" s="20">
        <v>0.95610256192600063</v>
      </c>
      <c r="AW118" s="20">
        <v>0.94654153630674054</v>
      </c>
      <c r="AX118" s="20">
        <v>0.9370761209436731</v>
      </c>
      <c r="AY118" s="20">
        <v>0.9277053597342364</v>
      </c>
      <c r="BA118" s="34" t="str">
        <f t="shared" ca="1" si="38"/>
        <v>Southern</v>
      </c>
      <c r="BB118" s="34" t="str">
        <f t="shared" si="39"/>
        <v>Variable inputs</v>
      </c>
      <c r="BC118" s="34" t="str">
        <f t="shared" si="40"/>
        <v>Variant allowances</v>
      </c>
      <c r="BD118" s="34" t="str">
        <f t="shared" si="41"/>
        <v>Variant allowances (including Real Price Effects)</v>
      </c>
    </row>
    <row r="119" spans="5:56" x14ac:dyDescent="0.35">
      <c r="E119" s="33" t="s">
        <v>948</v>
      </c>
      <c r="G119" s="33" t="str">
        <f t="shared" si="37"/>
        <v>£m 23/24 prices</v>
      </c>
      <c r="AU119" s="137">
        <v>0</v>
      </c>
      <c r="AV119" s="20">
        <v>0</v>
      </c>
      <c r="AW119" s="20">
        <v>0</v>
      </c>
      <c r="AX119" s="20">
        <v>0</v>
      </c>
      <c r="AY119" s="20">
        <v>0</v>
      </c>
      <c r="BA119" s="34" t="str">
        <f t="shared" ca="1" si="38"/>
        <v>Southern</v>
      </c>
      <c r="BB119" s="34" t="str">
        <f t="shared" si="39"/>
        <v>Variable inputs</v>
      </c>
      <c r="BC119" s="34" t="str">
        <f t="shared" si="40"/>
        <v>Variant allowances</v>
      </c>
      <c r="BD119" s="34" t="str">
        <f t="shared" si="41"/>
        <v>Variant allowances (including Real Price Effects)</v>
      </c>
    </row>
    <row r="120" spans="5:56" x14ac:dyDescent="0.35">
      <c r="E120" s="33" t="s">
        <v>539</v>
      </c>
      <c r="F120" s="33" t="s">
        <v>133</v>
      </c>
      <c r="G120" s="33" t="str">
        <f t="shared" si="37"/>
        <v>£m 23/24 prices</v>
      </c>
      <c r="H120" s="33" t="s">
        <v>144</v>
      </c>
      <c r="AU120" s="137">
        <v>6.4059454572327192</v>
      </c>
      <c r="AV120" s="20">
        <v>6.2766657500685881</v>
      </c>
      <c r="AW120" s="20">
        <v>6.2521559766899193</v>
      </c>
      <c r="AX120" s="20">
        <v>6.0914473758600405</v>
      </c>
      <c r="AY120" s="20">
        <v>6.0317440998156204</v>
      </c>
      <c r="BA120" s="34" t="str">
        <f t="shared" ca="1" si="38"/>
        <v>Southern</v>
      </c>
      <c r="BB120" s="34" t="str">
        <f t="shared" si="39"/>
        <v>Variable inputs</v>
      </c>
      <c r="BC120" s="34" t="str">
        <f t="shared" si="40"/>
        <v>Variant allowances</v>
      </c>
      <c r="BD120" s="34" t="str">
        <f t="shared" si="41"/>
        <v>Variant allowances (including Real Price Effects)</v>
      </c>
    </row>
    <row r="121" spans="5:56" x14ac:dyDescent="0.35">
      <c r="E121" s="33" t="s">
        <v>917</v>
      </c>
      <c r="F121" s="33" t="s">
        <v>142</v>
      </c>
      <c r="G121" s="33" t="str">
        <f t="shared" si="37"/>
        <v>£m 23/24 prices</v>
      </c>
      <c r="H121" s="33" t="s">
        <v>907</v>
      </c>
      <c r="AU121" s="137">
        <v>2.9939158345657404</v>
      </c>
      <c r="AV121" s="20">
        <v>2.8684491085053883</v>
      </c>
      <c r="AW121" s="20">
        <v>2.8709761205130082</v>
      </c>
      <c r="AX121" s="20">
        <v>2.6690104060660116</v>
      </c>
      <c r="AY121" s="20">
        <v>2.5540770156695221</v>
      </c>
      <c r="BA121" s="34" t="str">
        <f t="shared" ca="1" si="38"/>
        <v>Southern</v>
      </c>
      <c r="BB121" s="34" t="str">
        <f t="shared" si="39"/>
        <v>Variable inputs</v>
      </c>
      <c r="BC121" s="34" t="str">
        <f t="shared" si="40"/>
        <v>Variant allowances</v>
      </c>
      <c r="BD121" s="34" t="str">
        <f t="shared" si="41"/>
        <v>Variant allowances (including Real Price Effects)</v>
      </c>
    </row>
    <row r="122" spans="5:56" x14ac:dyDescent="0.35">
      <c r="E122" s="33" t="s">
        <v>706</v>
      </c>
      <c r="F122" s="33" t="s">
        <v>137</v>
      </c>
      <c r="G122" s="33" t="str">
        <f t="shared" si="37"/>
        <v>£m 23/24 prices</v>
      </c>
      <c r="H122" s="33" t="s">
        <v>876</v>
      </c>
      <c r="AU122" s="137">
        <v>0</v>
      </c>
      <c r="AV122" s="20">
        <v>0</v>
      </c>
      <c r="AW122" s="20">
        <v>0</v>
      </c>
      <c r="AX122" s="20">
        <v>0</v>
      </c>
      <c r="AY122" s="20">
        <v>0</v>
      </c>
      <c r="BA122" s="34" t="str">
        <f t="shared" ca="1" si="38"/>
        <v>Southern</v>
      </c>
      <c r="BB122" s="34" t="str">
        <f t="shared" si="39"/>
        <v>Variable inputs</v>
      </c>
      <c r="BC122" s="34" t="str">
        <f t="shared" si="40"/>
        <v>Variant allowances</v>
      </c>
      <c r="BD122" s="34" t="str">
        <f t="shared" si="41"/>
        <v>Variant allowances (including Real Price Effects)</v>
      </c>
    </row>
    <row r="123" spans="5:56" x14ac:dyDescent="0.35">
      <c r="E123" s="33" t="s">
        <v>707</v>
      </c>
      <c r="F123" s="33" t="s">
        <v>137</v>
      </c>
      <c r="G123" s="33" t="str">
        <f t="shared" si="37"/>
        <v>£m 23/24 prices</v>
      </c>
      <c r="H123" s="33" t="s">
        <v>876</v>
      </c>
      <c r="AU123" s="137">
        <v>0.19811882970555561</v>
      </c>
      <c r="AV123" s="20">
        <v>0.2521769675252144</v>
      </c>
      <c r="AW123" s="20">
        <v>0.28294255756329051</v>
      </c>
      <c r="AX123" s="20">
        <v>0.31306761810385259</v>
      </c>
      <c r="AY123" s="20">
        <v>0.34256188317784714</v>
      </c>
      <c r="BA123" s="34" t="str">
        <f t="shared" ca="1" si="38"/>
        <v>Southern</v>
      </c>
      <c r="BB123" s="34" t="str">
        <f t="shared" si="39"/>
        <v>Variable inputs</v>
      </c>
      <c r="BC123" s="34" t="str">
        <f t="shared" si="40"/>
        <v>Variant allowances</v>
      </c>
      <c r="BD123" s="34" t="str">
        <f t="shared" si="41"/>
        <v>Variant allowances (including Real Price Effects)</v>
      </c>
    </row>
    <row r="124" spans="5:56" x14ac:dyDescent="0.35">
      <c r="E124" s="33" t="s">
        <v>881</v>
      </c>
      <c r="F124" s="33" t="s">
        <v>160</v>
      </c>
      <c r="G124" s="33" t="str">
        <f t="shared" si="37"/>
        <v>£m 23/24 prices</v>
      </c>
      <c r="H124" s="33" t="s">
        <v>882</v>
      </c>
      <c r="AU124" s="137">
        <v>4</v>
      </c>
      <c r="AV124" s="20">
        <v>4</v>
      </c>
      <c r="AW124" s="20">
        <v>4</v>
      </c>
      <c r="AX124" s="20">
        <v>4</v>
      </c>
      <c r="AY124" s="20">
        <v>4</v>
      </c>
      <c r="BA124" s="34" t="str">
        <f t="shared" ca="1" si="38"/>
        <v>Southern</v>
      </c>
      <c r="BB124" s="34" t="str">
        <f t="shared" si="39"/>
        <v>Variable inputs</v>
      </c>
      <c r="BC124" s="34" t="str">
        <f t="shared" si="40"/>
        <v>Variant allowances</v>
      </c>
      <c r="BD124" s="34" t="str">
        <f t="shared" si="41"/>
        <v>Variant allowances (including Real Price Effects)</v>
      </c>
    </row>
    <row r="125" spans="5:56" x14ac:dyDescent="0.35">
      <c r="E125" s="33" t="s">
        <v>540</v>
      </c>
      <c r="G125" s="33" t="str">
        <f t="shared" si="37"/>
        <v>£m 23/24 prices</v>
      </c>
      <c r="AU125" s="137">
        <v>0</v>
      </c>
      <c r="AV125" s="20">
        <v>0</v>
      </c>
      <c r="AW125" s="20">
        <v>0</v>
      </c>
      <c r="AX125" s="20">
        <v>0</v>
      </c>
      <c r="AY125" s="20">
        <v>0</v>
      </c>
      <c r="BA125" s="34" t="str">
        <f t="shared" ca="1" si="38"/>
        <v>Southern</v>
      </c>
      <c r="BB125" s="34" t="str">
        <f t="shared" si="39"/>
        <v>Variable inputs</v>
      </c>
      <c r="BC125" s="34" t="str">
        <f t="shared" si="40"/>
        <v>Variant allowances</v>
      </c>
      <c r="BD125" s="34" t="str">
        <f t="shared" si="41"/>
        <v>Variant allowances (including Real Price Effects)</v>
      </c>
    </row>
    <row r="126" spans="5:56" x14ac:dyDescent="0.35">
      <c r="E126" s="33" t="s">
        <v>541</v>
      </c>
      <c r="F126" s="33" t="s">
        <v>147</v>
      </c>
      <c r="G126" s="33" t="str">
        <f t="shared" si="37"/>
        <v>£m 23/24 prices</v>
      </c>
      <c r="H126" s="33" t="s">
        <v>148</v>
      </c>
      <c r="AU126" s="137">
        <v>0</v>
      </c>
      <c r="AV126" s="20">
        <v>0</v>
      </c>
      <c r="AW126" s="20">
        <v>0</v>
      </c>
      <c r="AX126" s="20">
        <v>0</v>
      </c>
      <c r="AY126" s="20">
        <v>0</v>
      </c>
      <c r="BA126" s="34" t="str">
        <f t="shared" ca="1" si="38"/>
        <v>Southern</v>
      </c>
      <c r="BB126" s="34" t="str">
        <f t="shared" si="39"/>
        <v>Variable inputs</v>
      </c>
      <c r="BC126" s="34" t="str">
        <f t="shared" si="40"/>
        <v>Variant allowances</v>
      </c>
      <c r="BD126" s="34" t="str">
        <f t="shared" si="41"/>
        <v>Variant allowances (including Real Price Effects)</v>
      </c>
    </row>
    <row r="127" spans="5:56" x14ac:dyDescent="0.35">
      <c r="E127" s="33" t="s">
        <v>877</v>
      </c>
      <c r="F127" s="33" t="s">
        <v>137</v>
      </c>
      <c r="G127" s="33" t="str">
        <f t="shared" si="37"/>
        <v>£m 23/24 prices</v>
      </c>
      <c r="H127" s="33" t="s">
        <v>876</v>
      </c>
      <c r="AU127" s="137">
        <v>0</v>
      </c>
      <c r="AV127" s="20">
        <v>0</v>
      </c>
      <c r="AW127" s="20">
        <v>0</v>
      </c>
      <c r="AX127" s="20">
        <v>12.033186404253572</v>
      </c>
      <c r="AY127" s="20">
        <v>12.033186404253572</v>
      </c>
      <c r="BA127" s="34" t="str">
        <f t="shared" ca="1" si="38"/>
        <v>Southern</v>
      </c>
      <c r="BB127" s="34" t="str">
        <f t="shared" si="39"/>
        <v>Variable inputs</v>
      </c>
      <c r="BC127" s="34" t="str">
        <f t="shared" si="40"/>
        <v>Variant allowances</v>
      </c>
      <c r="BD127" s="34" t="str">
        <f t="shared" si="41"/>
        <v>Variant allowances (including Real Price Effects)</v>
      </c>
    </row>
    <row r="128" spans="5:56" x14ac:dyDescent="0.35">
      <c r="E128" s="33" t="s">
        <v>542</v>
      </c>
      <c r="G128" s="33" t="str">
        <f t="shared" si="37"/>
        <v>£m 23/24 prices</v>
      </c>
      <c r="AU128" s="137">
        <v>0</v>
      </c>
      <c r="AV128" s="20">
        <v>0</v>
      </c>
      <c r="AW128" s="20">
        <v>0</v>
      </c>
      <c r="AX128" s="20">
        <v>0</v>
      </c>
      <c r="AY128" s="20">
        <v>0</v>
      </c>
      <c r="BA128" s="34" t="str">
        <f t="shared" ca="1" si="38"/>
        <v>Southern</v>
      </c>
      <c r="BB128" s="34" t="str">
        <f t="shared" si="39"/>
        <v>Variable inputs</v>
      </c>
      <c r="BC128" s="34" t="str">
        <f t="shared" si="40"/>
        <v>Variant allowances</v>
      </c>
      <c r="BD128" s="34" t="str">
        <f t="shared" si="41"/>
        <v>Variant allowances (including Real Price Effects)</v>
      </c>
    </row>
    <row r="129" spans="5:56" x14ac:dyDescent="0.35">
      <c r="E129" s="33" t="s">
        <v>543</v>
      </c>
      <c r="F129" s="33" t="s">
        <v>161</v>
      </c>
      <c r="G129" s="33" t="str">
        <f t="shared" si="37"/>
        <v>£m 23/24 prices</v>
      </c>
      <c r="H129" s="33" t="s">
        <v>879</v>
      </c>
      <c r="AU129" s="137">
        <v>0</v>
      </c>
      <c r="AV129" s="20">
        <v>0</v>
      </c>
      <c r="AW129" s="20">
        <v>0</v>
      </c>
      <c r="AX129" s="20">
        <v>0</v>
      </c>
      <c r="AY129" s="20">
        <v>0</v>
      </c>
      <c r="BA129" s="34" t="str">
        <f t="shared" ca="1" si="38"/>
        <v>Southern</v>
      </c>
      <c r="BB129" s="34" t="str">
        <f t="shared" si="39"/>
        <v>Variable inputs</v>
      </c>
      <c r="BC129" s="34" t="str">
        <f t="shared" si="40"/>
        <v>Variant allowances</v>
      </c>
      <c r="BD129" s="34" t="str">
        <f t="shared" si="41"/>
        <v>Variant allowances (including Real Price Effects)</v>
      </c>
    </row>
    <row r="130" spans="5:56" x14ac:dyDescent="0.35">
      <c r="E130" s="33" t="s">
        <v>544</v>
      </c>
      <c r="F130" s="33" t="s">
        <v>158</v>
      </c>
      <c r="G130" s="33" t="str">
        <f t="shared" si="37"/>
        <v>£m 23/24 prices</v>
      </c>
      <c r="H130" s="33" t="s">
        <v>159</v>
      </c>
      <c r="AU130" s="137">
        <v>0</v>
      </c>
      <c r="AV130" s="20">
        <v>0</v>
      </c>
      <c r="AW130" s="20">
        <v>0</v>
      </c>
      <c r="AX130" s="20">
        <v>0</v>
      </c>
      <c r="AY130" s="20">
        <v>0</v>
      </c>
      <c r="BA130" s="34" t="str">
        <f t="shared" ca="1" si="38"/>
        <v>Southern</v>
      </c>
      <c r="BB130" s="34" t="str">
        <f t="shared" si="39"/>
        <v>Variable inputs</v>
      </c>
      <c r="BC130" s="34" t="str">
        <f t="shared" si="40"/>
        <v>Variant allowances</v>
      </c>
      <c r="BD130" s="34" t="str">
        <f t="shared" si="41"/>
        <v>Variant allowances (including Real Price Effects)</v>
      </c>
    </row>
    <row r="131" spans="5:56" x14ac:dyDescent="0.35">
      <c r="E131" s="33" t="s">
        <v>545</v>
      </c>
      <c r="F131" s="33" t="s">
        <v>151</v>
      </c>
      <c r="G131" s="33" t="str">
        <f t="shared" si="37"/>
        <v>£m 23/24 prices</v>
      </c>
      <c r="H131" s="33" t="s">
        <v>150</v>
      </c>
      <c r="AU131" s="137">
        <v>0</v>
      </c>
      <c r="AV131" s="20">
        <v>0</v>
      </c>
      <c r="AW131" s="20">
        <v>0</v>
      </c>
      <c r="AX131" s="20">
        <v>0</v>
      </c>
      <c r="AY131" s="20">
        <v>0</v>
      </c>
      <c r="BA131" s="34" t="str">
        <f t="shared" ca="1" si="38"/>
        <v>Southern</v>
      </c>
      <c r="BB131" s="34" t="str">
        <f t="shared" si="39"/>
        <v>Variable inputs</v>
      </c>
      <c r="BC131" s="34" t="str">
        <f t="shared" si="40"/>
        <v>Variant allowances</v>
      </c>
      <c r="BD131" s="34" t="str">
        <f t="shared" si="41"/>
        <v>Variant allowances (including Real Price Effects)</v>
      </c>
    </row>
    <row r="132" spans="5:56" x14ac:dyDescent="0.35">
      <c r="E132" s="33" t="s">
        <v>546</v>
      </c>
      <c r="F132" s="33" t="s">
        <v>134</v>
      </c>
      <c r="G132" s="33" t="str">
        <f t="shared" si="37"/>
        <v>£m 23/24 prices</v>
      </c>
      <c r="H132" s="33" t="s">
        <v>146</v>
      </c>
      <c r="AU132" s="137">
        <v>0</v>
      </c>
      <c r="AV132" s="20">
        <v>0</v>
      </c>
      <c r="AW132" s="20">
        <v>0</v>
      </c>
      <c r="AX132" s="20">
        <v>0</v>
      </c>
      <c r="AY132" s="20">
        <v>0</v>
      </c>
      <c r="BA132" s="34" t="str">
        <f t="shared" ca="1" si="38"/>
        <v>Southern</v>
      </c>
      <c r="BB132" s="34" t="str">
        <f t="shared" si="39"/>
        <v>Variable inputs</v>
      </c>
      <c r="BC132" s="34" t="str">
        <f t="shared" si="40"/>
        <v>Variant allowances</v>
      </c>
      <c r="BD132" s="34" t="str">
        <f t="shared" si="41"/>
        <v>Variant allowances (including Real Price Effects)</v>
      </c>
    </row>
    <row r="133" spans="5:56" x14ac:dyDescent="0.35">
      <c r="E133" s="33" t="s">
        <v>547</v>
      </c>
      <c r="F133" s="33" t="s">
        <v>141</v>
      </c>
      <c r="G133" s="33" t="str">
        <f t="shared" si="37"/>
        <v>£m 23/24 prices</v>
      </c>
      <c r="H133" s="33" t="s">
        <v>739</v>
      </c>
      <c r="AU133" s="137">
        <v>0</v>
      </c>
      <c r="AV133" s="20">
        <v>0</v>
      </c>
      <c r="AW133" s="20">
        <v>0</v>
      </c>
      <c r="AX133" s="20">
        <v>0</v>
      </c>
      <c r="AY133" s="20">
        <v>0</v>
      </c>
      <c r="BA133" s="34" t="str">
        <f t="shared" ca="1" si="38"/>
        <v>Southern</v>
      </c>
      <c r="BB133" s="34" t="str">
        <f t="shared" si="39"/>
        <v>Variable inputs</v>
      </c>
      <c r="BC133" s="34" t="str">
        <f t="shared" si="40"/>
        <v>Variant allowances</v>
      </c>
      <c r="BD133" s="34" t="str">
        <f t="shared" si="41"/>
        <v>Variant allowances (including Real Price Effects)</v>
      </c>
    </row>
    <row r="134" spans="5:56" x14ac:dyDescent="0.35">
      <c r="E134" s="33" t="s">
        <v>918</v>
      </c>
      <c r="F134" s="33" t="s">
        <v>139</v>
      </c>
      <c r="G134" s="33" t="str">
        <f t="shared" si="37"/>
        <v>£m 23/24 prices</v>
      </c>
      <c r="H134" s="33" t="s">
        <v>908</v>
      </c>
      <c r="AU134" s="137">
        <v>0</v>
      </c>
      <c r="AV134" s="20">
        <v>0</v>
      </c>
      <c r="AW134" s="20">
        <v>0</v>
      </c>
      <c r="AX134" s="20">
        <v>0</v>
      </c>
      <c r="AY134" s="20">
        <v>0</v>
      </c>
      <c r="BA134" s="34" t="str">
        <f t="shared" ca="1" si="38"/>
        <v>Southern</v>
      </c>
      <c r="BB134" s="34" t="str">
        <f t="shared" si="39"/>
        <v>Variable inputs</v>
      </c>
      <c r="BC134" s="34" t="str">
        <f t="shared" si="40"/>
        <v>Variant allowances</v>
      </c>
      <c r="BD134" s="34" t="str">
        <f t="shared" si="41"/>
        <v>Variant allowances (including Real Price Effects)</v>
      </c>
    </row>
    <row r="135" spans="5:56" x14ac:dyDescent="0.35">
      <c r="E135" s="33" t="s">
        <v>919</v>
      </c>
      <c r="F135" s="33" t="s">
        <v>152</v>
      </c>
      <c r="G135" s="33" t="str">
        <f t="shared" si="37"/>
        <v>£m 23/24 prices</v>
      </c>
      <c r="H135" s="33" t="s">
        <v>909</v>
      </c>
      <c r="AU135" s="137">
        <v>0</v>
      </c>
      <c r="AV135" s="20">
        <v>0</v>
      </c>
      <c r="AW135" s="20">
        <v>0</v>
      </c>
      <c r="AX135" s="20">
        <v>0</v>
      </c>
      <c r="AY135" s="20">
        <v>0</v>
      </c>
      <c r="BA135" s="34" t="str">
        <f t="shared" ca="1" si="38"/>
        <v>Southern</v>
      </c>
      <c r="BB135" s="34" t="str">
        <f t="shared" si="39"/>
        <v>Variable inputs</v>
      </c>
      <c r="BC135" s="34" t="str">
        <f t="shared" si="40"/>
        <v>Variant allowances</v>
      </c>
      <c r="BD135" s="34" t="str">
        <f t="shared" si="41"/>
        <v>Variant allowances (including Real Price Effects)</v>
      </c>
    </row>
    <row r="136" spans="5:56" x14ac:dyDescent="0.35">
      <c r="E136" s="33" t="s">
        <v>548</v>
      </c>
      <c r="F136" s="33" t="s">
        <v>143</v>
      </c>
      <c r="G136" s="33" t="str">
        <f t="shared" si="37"/>
        <v>£m 23/24 prices</v>
      </c>
      <c r="H136" s="33" t="s">
        <v>157</v>
      </c>
      <c r="AU136" s="137">
        <v>0</v>
      </c>
      <c r="AV136" s="20">
        <v>0</v>
      </c>
      <c r="AW136" s="20">
        <v>0</v>
      </c>
      <c r="AX136" s="20">
        <v>0</v>
      </c>
      <c r="AY136" s="20">
        <v>0</v>
      </c>
      <c r="BA136" s="34" t="str">
        <f t="shared" ca="1" si="38"/>
        <v>Southern</v>
      </c>
      <c r="BB136" s="34" t="str">
        <f t="shared" si="39"/>
        <v>Variable inputs</v>
      </c>
      <c r="BC136" s="34" t="str">
        <f t="shared" si="40"/>
        <v>Variant allowances</v>
      </c>
      <c r="BD136" s="34" t="str">
        <f t="shared" si="41"/>
        <v>Variant allowances (including Real Price Effects)</v>
      </c>
    </row>
    <row r="137" spans="5:56" x14ac:dyDescent="0.35">
      <c r="E137" s="33" t="s">
        <v>878</v>
      </c>
      <c r="F137" s="33" t="s">
        <v>138</v>
      </c>
      <c r="G137" s="33" t="str">
        <f t="shared" si="37"/>
        <v>£m 23/24 prices</v>
      </c>
      <c r="H137" s="33" t="s">
        <v>720</v>
      </c>
      <c r="AU137" s="137">
        <v>0</v>
      </c>
      <c r="AV137" s="20">
        <v>0</v>
      </c>
      <c r="AW137" s="20">
        <v>0</v>
      </c>
      <c r="AX137" s="20">
        <v>0</v>
      </c>
      <c r="AY137" s="20">
        <v>0</v>
      </c>
      <c r="BA137" s="34" t="str">
        <f t="shared" ca="1" si="38"/>
        <v>Southern</v>
      </c>
      <c r="BB137" s="34" t="str">
        <f t="shared" si="39"/>
        <v>Variable inputs</v>
      </c>
      <c r="BC137" s="34" t="str">
        <f t="shared" si="40"/>
        <v>Variant allowances</v>
      </c>
      <c r="BD137" s="34" t="str">
        <f t="shared" si="41"/>
        <v>Variant allowances (including Real Price Effects)</v>
      </c>
    </row>
    <row r="138" spans="5:56" x14ac:dyDescent="0.35">
      <c r="E138" s="33" t="s">
        <v>549</v>
      </c>
      <c r="F138" s="33" t="s">
        <v>145</v>
      </c>
      <c r="G138" s="33" t="str">
        <f t="shared" si="37"/>
        <v>£m 23/24 prices</v>
      </c>
      <c r="H138" s="33" t="s">
        <v>155</v>
      </c>
      <c r="AU138" s="137">
        <v>0</v>
      </c>
      <c r="AV138" s="20">
        <v>0</v>
      </c>
      <c r="AW138" s="20">
        <v>0</v>
      </c>
      <c r="AX138" s="20">
        <v>0</v>
      </c>
      <c r="AY138" s="20">
        <v>0</v>
      </c>
      <c r="BA138" s="34" t="str">
        <f t="shared" ca="1" si="38"/>
        <v>Southern</v>
      </c>
      <c r="BB138" s="34" t="str">
        <f t="shared" si="39"/>
        <v>Variable inputs</v>
      </c>
      <c r="BC138" s="34" t="str">
        <f t="shared" si="40"/>
        <v>Variant allowances</v>
      </c>
      <c r="BD138" s="34" t="str">
        <f t="shared" si="41"/>
        <v>Variant allowances (including Real Price Effects)</v>
      </c>
    </row>
    <row r="139" spans="5:56" x14ac:dyDescent="0.35">
      <c r="E139" s="33" t="s">
        <v>708</v>
      </c>
      <c r="F139" s="33" t="s">
        <v>138</v>
      </c>
      <c r="G139" s="33" t="str">
        <f t="shared" si="37"/>
        <v>£m 23/24 prices</v>
      </c>
      <c r="H139" s="33" t="s">
        <v>720</v>
      </c>
      <c r="AU139" s="137">
        <v>0</v>
      </c>
      <c r="AV139" s="20">
        <v>0</v>
      </c>
      <c r="AW139" s="20">
        <v>0</v>
      </c>
      <c r="AX139" s="20">
        <v>0</v>
      </c>
      <c r="AY139" s="20">
        <v>0</v>
      </c>
      <c r="BA139" s="34" t="str">
        <f t="shared" ca="1" si="38"/>
        <v>Southern</v>
      </c>
      <c r="BB139" s="34" t="str">
        <f t="shared" si="39"/>
        <v>Variable inputs</v>
      </c>
      <c r="BC139" s="34" t="str">
        <f t="shared" si="40"/>
        <v>Variant allowances</v>
      </c>
      <c r="BD139" s="34" t="str">
        <f t="shared" si="41"/>
        <v>Variant allowances (including Real Price Effects)</v>
      </c>
    </row>
    <row r="140" spans="5:56" x14ac:dyDescent="0.35">
      <c r="E140" s="33" t="s">
        <v>920</v>
      </c>
      <c r="F140" s="33" t="s">
        <v>921</v>
      </c>
      <c r="G140" s="33" t="str">
        <f t="shared" si="37"/>
        <v>£m 23/24 prices</v>
      </c>
      <c r="H140" s="33" t="s">
        <v>910</v>
      </c>
      <c r="AU140" s="137">
        <v>0</v>
      </c>
      <c r="AV140" s="20">
        <v>0</v>
      </c>
      <c r="AW140" s="20">
        <v>0</v>
      </c>
      <c r="AX140" s="20">
        <v>0</v>
      </c>
      <c r="AY140" s="20">
        <v>0</v>
      </c>
      <c r="BA140" s="34" t="str">
        <f t="shared" ca="1" si="38"/>
        <v>Southern</v>
      </c>
      <c r="BB140" s="34" t="str">
        <f t="shared" si="39"/>
        <v>Variable inputs</v>
      </c>
      <c r="BC140" s="34" t="str">
        <f t="shared" si="40"/>
        <v>Variant allowances</v>
      </c>
      <c r="BD140" s="34" t="str">
        <f t="shared" si="41"/>
        <v>Variant allowances (including Real Price Effects)</v>
      </c>
    </row>
    <row r="141" spans="5:56" x14ac:dyDescent="0.35">
      <c r="E141" s="33" t="s">
        <v>709</v>
      </c>
      <c r="F141" s="33" t="s">
        <v>156</v>
      </c>
      <c r="G141" s="33" t="str">
        <f t="shared" si="37"/>
        <v>£m 23/24 prices</v>
      </c>
      <c r="H141" s="33" t="s">
        <v>883</v>
      </c>
      <c r="AU141" s="137">
        <v>0</v>
      </c>
      <c r="AV141" s="20">
        <v>4.5760000000000005</v>
      </c>
      <c r="AW141" s="20">
        <v>4.5760000000000005</v>
      </c>
      <c r="AX141" s="20">
        <v>4.5760000000000005</v>
      </c>
      <c r="AY141" s="20">
        <v>4.5760000000000005</v>
      </c>
      <c r="BA141" s="34" t="str">
        <f t="shared" ca="1" si="38"/>
        <v>Southern</v>
      </c>
      <c r="BB141" s="34" t="str">
        <f t="shared" si="39"/>
        <v>Variable inputs</v>
      </c>
      <c r="BC141" s="34" t="str">
        <f t="shared" si="40"/>
        <v>Variant allowances</v>
      </c>
      <c r="BD141" s="34" t="str">
        <f t="shared" si="41"/>
        <v>Variant allowances (including Real Price Effects)</v>
      </c>
    </row>
    <row r="142" spans="5:56" x14ac:dyDescent="0.35">
      <c r="E142" s="33" t="s">
        <v>710</v>
      </c>
      <c r="G142" s="33" t="str">
        <f t="shared" si="37"/>
        <v>£m 23/24 prices</v>
      </c>
      <c r="AU142" s="137">
        <v>0</v>
      </c>
      <c r="AV142" s="20">
        <v>0</v>
      </c>
      <c r="AW142" s="20">
        <v>0</v>
      </c>
      <c r="AX142" s="20">
        <v>0</v>
      </c>
      <c r="AY142" s="20">
        <v>0</v>
      </c>
      <c r="BA142" s="34" t="str">
        <f t="shared" ca="1" si="38"/>
        <v>Southern</v>
      </c>
      <c r="BB142" s="34" t="str">
        <f t="shared" si="39"/>
        <v>Variable inputs</v>
      </c>
      <c r="BC142" s="34" t="str">
        <f t="shared" si="40"/>
        <v>Variant allowances</v>
      </c>
      <c r="BD142" s="34" t="str">
        <f t="shared" si="41"/>
        <v>Variant allowances (including Real Price Effects)</v>
      </c>
    </row>
    <row r="143" spans="5:56" x14ac:dyDescent="0.35">
      <c r="E143" s="33" t="s">
        <v>949</v>
      </c>
      <c r="G143" s="33" t="str">
        <f t="shared" si="37"/>
        <v>£m 23/24 prices</v>
      </c>
      <c r="AU143" s="137">
        <v>0</v>
      </c>
      <c r="AV143" s="20">
        <v>0</v>
      </c>
      <c r="AW143" s="20">
        <v>0</v>
      </c>
      <c r="AX143" s="20">
        <v>0</v>
      </c>
      <c r="AY143" s="20">
        <v>0</v>
      </c>
      <c r="BA143" s="34" t="str">
        <f t="shared" ca="1" si="38"/>
        <v>Southern</v>
      </c>
      <c r="BB143" s="34" t="str">
        <f t="shared" si="39"/>
        <v>Variable inputs</v>
      </c>
      <c r="BC143" s="34" t="str">
        <f t="shared" si="40"/>
        <v>Variant allowances</v>
      </c>
      <c r="BD143" s="34" t="str">
        <f t="shared" si="41"/>
        <v>Variant allowances (including Real Price Effects)</v>
      </c>
    </row>
    <row r="144" spans="5:56" x14ac:dyDescent="0.35">
      <c r="E144" s="33" t="s">
        <v>711</v>
      </c>
      <c r="G144" s="33" t="str">
        <f t="shared" si="37"/>
        <v>£m 23/24 prices</v>
      </c>
      <c r="AU144" s="137">
        <v>0</v>
      </c>
      <c r="AV144" s="20">
        <v>0</v>
      </c>
      <c r="AW144" s="20">
        <v>0</v>
      </c>
      <c r="AX144" s="20">
        <v>0</v>
      </c>
      <c r="AY144" s="20">
        <v>0</v>
      </c>
      <c r="BA144" s="34" t="str">
        <f t="shared" ca="1" si="38"/>
        <v>Southern</v>
      </c>
      <c r="BB144" s="34" t="str">
        <f t="shared" si="39"/>
        <v>Variable inputs</v>
      </c>
      <c r="BC144" s="34" t="str">
        <f t="shared" si="40"/>
        <v>Variant allowances</v>
      </c>
      <c r="BD144" s="34" t="str">
        <f t="shared" si="41"/>
        <v>Variant allowances (including Real Price Effects)</v>
      </c>
    </row>
    <row r="145" spans="1:56" x14ac:dyDescent="0.35">
      <c r="E145" s="33" t="s">
        <v>712</v>
      </c>
      <c r="G145" s="33" t="str">
        <f t="shared" si="37"/>
        <v>£m 23/24 prices</v>
      </c>
      <c r="AU145" s="137">
        <v>0</v>
      </c>
      <c r="AV145" s="20">
        <v>0</v>
      </c>
      <c r="AW145" s="20">
        <v>0</v>
      </c>
      <c r="AX145" s="20">
        <v>0</v>
      </c>
      <c r="AY145" s="20">
        <v>0</v>
      </c>
      <c r="BA145" s="34" t="str">
        <f t="shared" ca="1" si="38"/>
        <v>Southern</v>
      </c>
      <c r="BB145" s="34" t="str">
        <f t="shared" si="39"/>
        <v>Variable inputs</v>
      </c>
      <c r="BC145" s="34" t="str">
        <f t="shared" si="40"/>
        <v>Variant allowances</v>
      </c>
      <c r="BD145" s="34" t="str">
        <f t="shared" si="41"/>
        <v>Variant allowances (including Real Price Effects)</v>
      </c>
    </row>
    <row r="146" spans="1:56" x14ac:dyDescent="0.35">
      <c r="E146" s="33" t="s">
        <v>713</v>
      </c>
      <c r="G146" s="33" t="str">
        <f t="shared" si="37"/>
        <v>£m 23/24 prices</v>
      </c>
      <c r="AU146" s="137">
        <v>0</v>
      </c>
      <c r="AV146" s="20">
        <v>0</v>
      </c>
      <c r="AW146" s="20">
        <v>0</v>
      </c>
      <c r="AX146" s="20">
        <v>0</v>
      </c>
      <c r="AY146" s="20">
        <v>0</v>
      </c>
      <c r="BA146" s="34" t="str">
        <f t="shared" ca="1" si="38"/>
        <v>Southern</v>
      </c>
      <c r="BB146" s="34" t="str">
        <f t="shared" si="39"/>
        <v>Variable inputs</v>
      </c>
      <c r="BC146" s="34" t="str">
        <f t="shared" si="40"/>
        <v>Variant allowances</v>
      </c>
      <c r="BD146" s="34" t="str">
        <f t="shared" si="41"/>
        <v>Variant allowances (including Real Price Effects)</v>
      </c>
    </row>
    <row r="147" spans="1:56" x14ac:dyDescent="0.35">
      <c r="E147" s="33" t="s">
        <v>714</v>
      </c>
      <c r="G147" s="33" t="str">
        <f t="shared" si="37"/>
        <v>£m 23/24 prices</v>
      </c>
      <c r="AU147" s="137">
        <v>0</v>
      </c>
      <c r="AV147" s="20">
        <v>0</v>
      </c>
      <c r="AW147" s="20">
        <v>0</v>
      </c>
      <c r="AX147" s="20">
        <v>0</v>
      </c>
      <c r="AY147" s="20">
        <v>0</v>
      </c>
      <c r="BA147" s="34" t="str">
        <f t="shared" ca="1" si="38"/>
        <v>Southern</v>
      </c>
      <c r="BB147" s="34" t="str">
        <f t="shared" si="39"/>
        <v>Variable inputs</v>
      </c>
      <c r="BC147" s="34" t="str">
        <f t="shared" si="40"/>
        <v>Variant allowances</v>
      </c>
      <c r="BD147" s="34" t="str">
        <f t="shared" si="41"/>
        <v>Variant allowances (including Real Price Effects)</v>
      </c>
    </row>
    <row r="148" spans="1:56" x14ac:dyDescent="0.35">
      <c r="E148" s="33" t="s">
        <v>715</v>
      </c>
      <c r="G148" s="33" t="str">
        <f t="shared" si="37"/>
        <v>£m 23/24 prices</v>
      </c>
      <c r="AU148" s="137">
        <v>0</v>
      </c>
      <c r="AV148" s="20">
        <v>0</v>
      </c>
      <c r="AW148" s="20">
        <v>0</v>
      </c>
      <c r="AX148" s="20">
        <v>0</v>
      </c>
      <c r="AY148" s="20">
        <v>0</v>
      </c>
      <c r="BA148" s="34" t="str">
        <f t="shared" ca="1" si="38"/>
        <v>Southern</v>
      </c>
      <c r="BB148" s="34" t="str">
        <f t="shared" si="39"/>
        <v>Variable inputs</v>
      </c>
      <c r="BC148" s="34" t="str">
        <f t="shared" si="40"/>
        <v>Variant allowances</v>
      </c>
      <c r="BD148" s="34" t="str">
        <f t="shared" si="41"/>
        <v>Variant allowances (including Real Price Effects)</v>
      </c>
    </row>
    <row r="149" spans="1:56" customFormat="1" ht="14.5" x14ac:dyDescent="0.35">
      <c r="AT149" s="60"/>
      <c r="BA149" s="34"/>
    </row>
    <row r="150" spans="1:56" ht="20" thickBot="1" x14ac:dyDescent="0.4">
      <c r="A150" s="7" t="s">
        <v>173</v>
      </c>
    </row>
    <row r="151" spans="1:56" customFormat="1" ht="18" thickTop="1" thickBot="1" x14ac:dyDescent="0.4">
      <c r="B151" s="8" t="s">
        <v>121</v>
      </c>
      <c r="AT151" s="61"/>
    </row>
    <row r="152" spans="1:56" ht="17" thickTop="1" thickBot="1" x14ac:dyDescent="0.4">
      <c r="C152" s="9" t="s">
        <v>163</v>
      </c>
      <c r="AU152" s="33" t="s">
        <v>563</v>
      </c>
      <c r="AV152" s="33" t="s">
        <v>564</v>
      </c>
      <c r="AW152" s="33" t="s">
        <v>565</v>
      </c>
    </row>
    <row r="153" spans="1:56" x14ac:dyDescent="0.35">
      <c r="E153" s="33" t="str">
        <f t="shared" ref="E153:E177" si="42">E99</f>
        <v>PCD_Baseline Network Risk Output</v>
      </c>
      <c r="F153" s="33" t="str">
        <f t="shared" ref="F153:F156" si="43">F99</f>
        <v>SpC 3.1</v>
      </c>
      <c r="G153" s="33" t="s">
        <v>236</v>
      </c>
      <c r="H153" s="33" t="str">
        <f t="shared" ref="H153:H202" si="44">H99</f>
        <v>NARMt</v>
      </c>
      <c r="AU153" s="139" t="b">
        <v>1</v>
      </c>
      <c r="AV153" s="22" t="b">
        <v>1</v>
      </c>
      <c r="AW153" s="24">
        <v>1</v>
      </c>
      <c r="AX153"/>
      <c r="BA153" s="34" t="str">
        <f t="shared" ref="BA153:BA202" ca="1" si="45">$A$1</f>
        <v>Southern</v>
      </c>
      <c r="BB153" s="34" t="str">
        <f t="shared" ref="BB153:BB202" si="46">$A$150</f>
        <v>Fixed Inputs</v>
      </c>
      <c r="BC153" s="34" t="str">
        <f t="shared" ref="BC153:BC177" si="47">$B$151</f>
        <v>Variant allowances</v>
      </c>
      <c r="BD153" s="34" t="str">
        <f t="shared" ref="BD153:BD202" si="48">$C$152</f>
        <v>Variant attributes</v>
      </c>
    </row>
    <row r="154" spans="1:56" x14ac:dyDescent="0.35">
      <c r="E154" s="33" t="str">
        <f t="shared" si="42"/>
        <v>PCD_Cyber PCDs</v>
      </c>
      <c r="F154" s="33" t="str">
        <f t="shared" si="43"/>
        <v>SpC 3.2</v>
      </c>
      <c r="G154" s="33" t="s">
        <v>236</v>
      </c>
      <c r="H154" s="33" t="str">
        <f t="shared" si="44"/>
        <v>CYt</v>
      </c>
      <c r="AU154" s="139" t="b">
        <v>1</v>
      </c>
      <c r="AV154" s="22" t="b">
        <v>1</v>
      </c>
      <c r="AW154" s="24">
        <v>1</v>
      </c>
      <c r="AX154"/>
      <c r="BA154" s="34" t="str">
        <f t="shared" ca="1" si="45"/>
        <v>Southern</v>
      </c>
      <c r="BB154" s="34" t="str">
        <f t="shared" si="46"/>
        <v>Fixed Inputs</v>
      </c>
      <c r="BC154" s="34" t="str">
        <f t="shared" si="47"/>
        <v>Variant allowances</v>
      </c>
      <c r="BD154" s="34" t="str">
        <f t="shared" si="48"/>
        <v>Variant attributes</v>
      </c>
    </row>
    <row r="155" spans="1:56" x14ac:dyDescent="0.35">
      <c r="E155" s="33" t="str">
        <f t="shared" si="42"/>
        <v>PCD_Flow Weighted Average Calorific Value Compliance (Cadent_all) / FWACV Compliance (Cadent_all)</v>
      </c>
      <c r="F155" s="33" t="str">
        <f t="shared" si="43"/>
        <v>SpC 3.23</v>
      </c>
      <c r="G155" s="33" t="s">
        <v>236</v>
      </c>
      <c r="H155" s="33" t="str">
        <f t="shared" si="44"/>
        <v>FLOt</v>
      </c>
      <c r="AU155" s="139" t="b">
        <v>1</v>
      </c>
      <c r="AV155" s="22" t="b">
        <v>1</v>
      </c>
      <c r="AW155" s="24">
        <v>1</v>
      </c>
      <c r="AX155"/>
      <c r="BA155" s="34" t="str">
        <f t="shared" ca="1" si="45"/>
        <v>Southern</v>
      </c>
      <c r="BB155" s="34" t="str">
        <f t="shared" si="46"/>
        <v>Fixed Inputs</v>
      </c>
      <c r="BC155" s="34" t="str">
        <f t="shared" si="47"/>
        <v>Variant allowances</v>
      </c>
      <c r="BD155" s="34" t="str">
        <f t="shared" si="48"/>
        <v>Variant attributes</v>
      </c>
    </row>
    <row r="156" spans="1:56" x14ac:dyDescent="0.35">
      <c r="E156" s="33" t="str">
        <f t="shared" si="42"/>
        <v>PCD_Grays medium pressure (Cadent_Lon)</v>
      </c>
      <c r="F156" s="33" t="str">
        <f t="shared" si="43"/>
        <v>SpC 3.24</v>
      </c>
      <c r="G156" s="33" t="s">
        <v>236</v>
      </c>
      <c r="H156" s="33" t="str">
        <f t="shared" si="44"/>
        <v>GMPt</v>
      </c>
      <c r="AU156" s="139" t="b">
        <v>1</v>
      </c>
      <c r="AV156" s="22" t="b">
        <v>1</v>
      </c>
      <c r="AW156" s="24">
        <v>1</v>
      </c>
      <c r="AX156"/>
      <c r="BA156" s="34" t="str">
        <f t="shared" ca="1" si="45"/>
        <v>Southern</v>
      </c>
      <c r="BB156" s="34" t="str">
        <f t="shared" si="46"/>
        <v>Fixed Inputs</v>
      </c>
      <c r="BC156" s="34" t="str">
        <f t="shared" si="47"/>
        <v>Variant allowances</v>
      </c>
      <c r="BD156" s="34" t="str">
        <f t="shared" si="48"/>
        <v>Variant attributes</v>
      </c>
    </row>
    <row r="157" spans="1:56" x14ac:dyDescent="0.35">
      <c r="E157" s="33" t="str">
        <f t="shared" si="42"/>
        <v>PCD_Welling PRS - Full Site Rebuild  (SGN_So) / Full site and system rebuilds PCD (SGN)</v>
      </c>
      <c r="F157" s="33" t="str">
        <f t="shared" ref="F157:F172" si="49">F103</f>
        <v>SpC 3.28</v>
      </c>
      <c r="G157" s="33" t="s">
        <v>236</v>
      </c>
      <c r="H157" s="33" t="str">
        <f t="shared" si="44"/>
        <v>FSRt</v>
      </c>
      <c r="AU157" s="139" t="b">
        <v>1</v>
      </c>
      <c r="AV157" s="22" t="b">
        <v>1</v>
      </c>
      <c r="AW157" s="24">
        <v>1</v>
      </c>
      <c r="AX157"/>
      <c r="BA157" s="34" t="str">
        <f t="shared" ca="1" si="45"/>
        <v>Southern</v>
      </c>
      <c r="BB157" s="34" t="str">
        <f t="shared" si="46"/>
        <v>Fixed Inputs</v>
      </c>
      <c r="BC157" s="34" t="str">
        <f t="shared" si="47"/>
        <v>Variant allowances</v>
      </c>
      <c r="BD157" s="34" t="str">
        <f t="shared" si="48"/>
        <v>Variant attributes</v>
      </c>
    </row>
    <row r="158" spans="1:56" x14ac:dyDescent="0.35">
      <c r="E158" s="33" t="str">
        <f t="shared" si="42"/>
        <v>PCD_London Medium Pressure PCD (Cadent_Lon)</v>
      </c>
      <c r="F158" s="33" t="str">
        <f t="shared" si="49"/>
        <v>SpC 3.29</v>
      </c>
      <c r="G158" s="33" t="s">
        <v>236</v>
      </c>
      <c r="H158" s="33" t="str">
        <f t="shared" si="44"/>
        <v>LMPt</v>
      </c>
      <c r="AU158" s="139" t="b">
        <v>1</v>
      </c>
      <c r="AV158" s="22" t="b">
        <v>1</v>
      </c>
      <c r="AW158" s="24">
        <v>1</v>
      </c>
      <c r="AX158"/>
      <c r="BA158" s="34" t="str">
        <f t="shared" ca="1" si="45"/>
        <v>Southern</v>
      </c>
      <c r="BB158" s="34" t="str">
        <f t="shared" si="46"/>
        <v>Fixed Inputs</v>
      </c>
      <c r="BC158" s="34" t="str">
        <f t="shared" si="47"/>
        <v>Variant allowances</v>
      </c>
      <c r="BD158" s="34" t="str">
        <f t="shared" si="48"/>
        <v>Variant attributes</v>
      </c>
    </row>
    <row r="159" spans="1:56" x14ac:dyDescent="0.35">
      <c r="E159" s="33" t="str">
        <f t="shared" si="42"/>
        <v>PCD_Tier 1 Mains Decommissioned PCD</v>
      </c>
      <c r="F159" s="33" t="str">
        <f t="shared" si="49"/>
        <v>SpC 3.10</v>
      </c>
      <c r="G159" s="33" t="s">
        <v>236</v>
      </c>
      <c r="H159" s="33" t="str">
        <f t="shared" si="44"/>
        <v>T1MDt</v>
      </c>
      <c r="AU159" s="139" t="b">
        <v>1</v>
      </c>
      <c r="AV159" s="22" t="b">
        <v>1</v>
      </c>
      <c r="AW159" s="24">
        <v>1</v>
      </c>
      <c r="AX159"/>
      <c r="BA159" s="34" t="str">
        <f t="shared" ca="1" si="45"/>
        <v>Southern</v>
      </c>
      <c r="BB159" s="34" t="str">
        <f t="shared" si="46"/>
        <v>Fixed Inputs</v>
      </c>
      <c r="BC159" s="34" t="str">
        <f t="shared" si="47"/>
        <v>Variant allowances</v>
      </c>
      <c r="BD159" s="34" t="str">
        <f t="shared" si="48"/>
        <v>Variant attributes</v>
      </c>
    </row>
    <row r="160" spans="1:56" x14ac:dyDescent="0.35">
      <c r="E160" s="33" t="str">
        <f t="shared" si="42"/>
        <v>PCD_Tier 1 Services PCD / Tier 1 Services Repex PCD</v>
      </c>
      <c r="F160" s="33" t="str">
        <f t="shared" si="49"/>
        <v>SpC 3.11</v>
      </c>
      <c r="G160" s="33" t="s">
        <v>236</v>
      </c>
      <c r="H160" s="33" t="str">
        <f t="shared" si="44"/>
        <v>T1SRt</v>
      </c>
      <c r="AU160" s="139" t="b">
        <v>1</v>
      </c>
      <c r="AV160" s="22" t="b">
        <v>1</v>
      </c>
      <c r="AW160" s="24">
        <v>1</v>
      </c>
      <c r="AX160"/>
      <c r="BA160" s="34" t="str">
        <f t="shared" ca="1" si="45"/>
        <v>Southern</v>
      </c>
      <c r="BB160" s="34" t="str">
        <f t="shared" si="46"/>
        <v>Fixed Inputs</v>
      </c>
      <c r="BC160" s="34" t="str">
        <f t="shared" si="47"/>
        <v>Variant allowances</v>
      </c>
      <c r="BD160" s="34" t="str">
        <f t="shared" si="48"/>
        <v>Variant attributes</v>
      </c>
    </row>
    <row r="161" spans="5:56" x14ac:dyDescent="0.35">
      <c r="E161" s="33" t="str">
        <f t="shared" si="42"/>
        <v>PCD_Tinsley viaduct diversion (Cadent_EoE)</v>
      </c>
      <c r="F161" s="33" t="str">
        <f t="shared" si="49"/>
        <v>SpC 3.25</v>
      </c>
      <c r="G161" s="33" t="s">
        <v>236</v>
      </c>
      <c r="H161" s="33" t="str">
        <f t="shared" si="44"/>
        <v>TVDt</v>
      </c>
      <c r="AU161" s="139" t="b">
        <v>1</v>
      </c>
      <c r="AV161" s="22" t="b">
        <v>1</v>
      </c>
      <c r="AW161" s="24">
        <v>1</v>
      </c>
      <c r="AX161"/>
      <c r="BA161" s="34" t="str">
        <f t="shared" ca="1" si="45"/>
        <v>Southern</v>
      </c>
      <c r="BB161" s="34" t="str">
        <f t="shared" si="46"/>
        <v>Fixed Inputs</v>
      </c>
      <c r="BC161" s="34" t="str">
        <f t="shared" si="47"/>
        <v>Variant allowances</v>
      </c>
      <c r="BD161" s="34" t="str">
        <f t="shared" si="48"/>
        <v>Variant attributes</v>
      </c>
    </row>
    <row r="162" spans="5:56" x14ac:dyDescent="0.35">
      <c r="E162" s="33" t="str">
        <f t="shared" si="42"/>
        <v>PCD_Iron Stubs / Tier 1 Stubs decommissioning PCD</v>
      </c>
      <c r="F162" s="33" t="str">
        <f t="shared" si="49"/>
        <v>SpC 3.19</v>
      </c>
      <c r="G162" s="33" t="s">
        <v>236</v>
      </c>
      <c r="H162" s="33" t="str">
        <f t="shared" si="44"/>
        <v>STBDt</v>
      </c>
      <c r="AU162" s="139" t="b">
        <v>1</v>
      </c>
      <c r="AV162" s="22" t="b">
        <v>1</v>
      </c>
      <c r="AW162" s="24">
        <v>1</v>
      </c>
      <c r="AX162"/>
      <c r="BA162" s="34" t="str">
        <f t="shared" ca="1" si="45"/>
        <v>Southern</v>
      </c>
      <c r="BB162" s="34" t="str">
        <f t="shared" si="46"/>
        <v>Fixed Inputs</v>
      </c>
      <c r="BC162" s="34" t="str">
        <f t="shared" si="47"/>
        <v>Variant allowances</v>
      </c>
      <c r="BD162" s="34" t="str">
        <f t="shared" si="48"/>
        <v>Variant attributes</v>
      </c>
    </row>
    <row r="163" spans="5:56" x14ac:dyDescent="0.35">
      <c r="E163" s="33" t="str">
        <f t="shared" si="42"/>
        <v>PCD_Full Site and System Rebuilds (SGN_all)</v>
      </c>
      <c r="F163" s="33" t="str">
        <f t="shared" si="49"/>
        <v>SpC 3.28</v>
      </c>
      <c r="G163" s="33" t="s">
        <v>236</v>
      </c>
      <c r="H163" s="33" t="str">
        <f t="shared" si="44"/>
        <v>FSRt</v>
      </c>
      <c r="AU163" s="139" t="b">
        <v>1</v>
      </c>
      <c r="AV163" s="22" t="b">
        <v>1</v>
      </c>
      <c r="AW163" s="24">
        <v>1</v>
      </c>
      <c r="AX163"/>
      <c r="BA163" s="34" t="str">
        <f t="shared" ca="1" si="45"/>
        <v>Southern</v>
      </c>
      <c r="BB163" s="34" t="str">
        <f t="shared" si="46"/>
        <v>Fixed Inputs</v>
      </c>
      <c r="BC163" s="34" t="str">
        <f t="shared" si="47"/>
        <v>Variant allowances</v>
      </c>
      <c r="BD163" s="34" t="str">
        <f t="shared" si="48"/>
        <v>Variant attributes</v>
      </c>
    </row>
    <row r="164" spans="5:56" x14ac:dyDescent="0.35">
      <c r="E164" s="33" t="str">
        <f t="shared" si="42"/>
        <v>PCD_Glenmavis (Offtake) (SGN_Sc) / Full site and system rebuilds PCD (SGN)</v>
      </c>
      <c r="F164" s="33" t="str">
        <f t="shared" si="49"/>
        <v>SpC 3.28</v>
      </c>
      <c r="G164" s="33" t="s">
        <v>236</v>
      </c>
      <c r="H164" s="33" t="str">
        <f t="shared" si="44"/>
        <v>FSRt</v>
      </c>
      <c r="AU164" s="139" t="b">
        <v>1</v>
      </c>
      <c r="AV164" s="22" t="b">
        <v>1</v>
      </c>
      <c r="AW164" s="24">
        <v>1</v>
      </c>
      <c r="AX164"/>
      <c r="BA164" s="34" t="str">
        <f t="shared" ca="1" si="45"/>
        <v>Southern</v>
      </c>
      <c r="BB164" s="34" t="str">
        <f t="shared" si="46"/>
        <v>Fixed Inputs</v>
      </c>
      <c r="BC164" s="34" t="str">
        <f t="shared" si="47"/>
        <v>Variant allowances</v>
      </c>
      <c r="BD164" s="34" t="str">
        <f t="shared" si="48"/>
        <v>Variant attributes</v>
      </c>
    </row>
    <row r="165" spans="5:56" x14ac:dyDescent="0.35">
      <c r="E165" s="33" t="str">
        <f t="shared" si="42"/>
        <v>PCD_Isle of Grain (SGN_So) / Full site and system rebuilds PCD (SGN)</v>
      </c>
      <c r="F165" s="33" t="str">
        <f t="shared" si="49"/>
        <v>SpC 3.28</v>
      </c>
      <c r="G165" s="33" t="s">
        <v>236</v>
      </c>
      <c r="H165" s="33" t="str">
        <f t="shared" si="44"/>
        <v>FSRt</v>
      </c>
      <c r="AU165" s="139" t="b">
        <v>1</v>
      </c>
      <c r="AV165" s="22" t="b">
        <v>1</v>
      </c>
      <c r="AW165" s="24">
        <v>1</v>
      </c>
      <c r="AX165"/>
      <c r="BA165" s="34" t="str">
        <f t="shared" ca="1" si="45"/>
        <v>Southern</v>
      </c>
      <c r="BB165" s="34" t="str">
        <f t="shared" si="46"/>
        <v>Fixed Inputs</v>
      </c>
      <c r="BC165" s="34" t="str">
        <f t="shared" si="47"/>
        <v>Variant allowances</v>
      </c>
      <c r="BD165" s="34" t="str">
        <f t="shared" si="48"/>
        <v>Variant attributes</v>
      </c>
    </row>
    <row r="166" spans="5:56" x14ac:dyDescent="0.35">
      <c r="E166" s="33" t="str">
        <f t="shared" si="42"/>
        <v>PCD_EVs  / Operational Transport Emissions Reduction PCD</v>
      </c>
      <c r="F166" s="33" t="str">
        <f t="shared" si="49"/>
        <v>SpC 3.9</v>
      </c>
      <c r="G166" s="33" t="s">
        <v>236</v>
      </c>
      <c r="H166" s="33" t="str">
        <f t="shared" si="44"/>
        <v>OTCt</v>
      </c>
      <c r="AU166" s="139" t="b">
        <v>1</v>
      </c>
      <c r="AV166" s="22" t="b">
        <v>1</v>
      </c>
      <c r="AW166" s="24">
        <v>1</v>
      </c>
      <c r="AX166"/>
      <c r="BA166" s="34" t="str">
        <f t="shared" ca="1" si="45"/>
        <v>Southern</v>
      </c>
      <c r="BB166" s="34" t="str">
        <f t="shared" si="46"/>
        <v>Fixed Inputs</v>
      </c>
      <c r="BC166" s="34" t="str">
        <f t="shared" si="47"/>
        <v>Variant allowances</v>
      </c>
      <c r="BD166" s="34" t="str">
        <f t="shared" si="48"/>
        <v>Variant attributes</v>
      </c>
    </row>
    <row r="167" spans="5:56" x14ac:dyDescent="0.35">
      <c r="E167" s="33" t="str">
        <f t="shared" si="42"/>
        <v>PCD_South London Mains (SGN_So)</v>
      </c>
      <c r="F167" s="33" t="str">
        <f t="shared" si="49"/>
        <v>SpC 3.27</v>
      </c>
      <c r="G167" s="33" t="s">
        <v>236</v>
      </c>
      <c r="H167" s="33" t="str">
        <f t="shared" si="44"/>
        <v>SLMt</v>
      </c>
      <c r="AU167" s="139" t="b">
        <v>1</v>
      </c>
      <c r="AV167" s="22" t="b">
        <v>1</v>
      </c>
      <c r="AW167" s="24">
        <v>1</v>
      </c>
      <c r="AX167"/>
      <c r="BA167" s="34" t="str">
        <f t="shared" ca="1" si="45"/>
        <v>Southern</v>
      </c>
      <c r="BB167" s="34" t="str">
        <f t="shared" si="46"/>
        <v>Fixed Inputs</v>
      </c>
      <c r="BC167" s="34" t="str">
        <f t="shared" si="47"/>
        <v>Variant allowances</v>
      </c>
      <c r="BD167" s="34" t="str">
        <f t="shared" si="48"/>
        <v>Variant attributes</v>
      </c>
    </row>
    <row r="168" spans="5:56" x14ac:dyDescent="0.35">
      <c r="E168" s="33" t="str">
        <f t="shared" si="42"/>
        <v>PCD_WWU.7 - HS007 (WWU_WWU) / Pipeline Replacements PCD (WWU)</v>
      </c>
      <c r="F168" s="33" t="str">
        <f t="shared" si="49"/>
        <v>SpC 3.31</v>
      </c>
      <c r="G168" s="33" t="s">
        <v>236</v>
      </c>
      <c r="H168" s="33" t="str">
        <f t="shared" si="44"/>
        <v>PREt</v>
      </c>
      <c r="AU168" s="139" t="b">
        <v>1</v>
      </c>
      <c r="AV168" s="22" t="b">
        <v>1</v>
      </c>
      <c r="AW168" s="24">
        <v>1</v>
      </c>
      <c r="AX168"/>
      <c r="BA168" s="34" t="str">
        <f t="shared" ca="1" si="45"/>
        <v>Southern</v>
      </c>
      <c r="BB168" s="34" t="str">
        <f t="shared" si="46"/>
        <v>Fixed Inputs</v>
      </c>
      <c r="BC168" s="34" t="str">
        <f t="shared" si="47"/>
        <v>Variant allowances</v>
      </c>
      <c r="BD168" s="34" t="str">
        <f t="shared" si="48"/>
        <v>Variant attributes</v>
      </c>
    </row>
    <row r="169" spans="5:56" x14ac:dyDescent="0.35">
      <c r="E169" s="33" t="str">
        <f t="shared" si="42"/>
        <v>PCD_WWU.9 - HS009 (WWU_WWU) / Pipeline Replacements PCD (WWU)</v>
      </c>
      <c r="F169" s="33" t="str">
        <f t="shared" si="49"/>
        <v>SpC 3.31</v>
      </c>
      <c r="G169" s="33" t="s">
        <v>236</v>
      </c>
      <c r="H169" s="33" t="str">
        <f t="shared" si="44"/>
        <v>PREt</v>
      </c>
      <c r="AU169" s="139" t="b">
        <v>1</v>
      </c>
      <c r="AV169" s="22" t="b">
        <v>1</v>
      </c>
      <c r="AW169" s="24">
        <v>1</v>
      </c>
      <c r="AX169"/>
      <c r="BA169" s="34" t="str">
        <f t="shared" ca="1" si="45"/>
        <v>Southern</v>
      </c>
      <c r="BB169" s="34" t="str">
        <f t="shared" si="46"/>
        <v>Fixed Inputs</v>
      </c>
      <c r="BC169" s="34" t="str">
        <f t="shared" si="47"/>
        <v>Variant allowances</v>
      </c>
      <c r="BD169" s="34" t="str">
        <f t="shared" si="48"/>
        <v>Variant attributes</v>
      </c>
    </row>
    <row r="170" spans="5:56" x14ac:dyDescent="0.35">
      <c r="E170" s="33" t="str">
        <f t="shared" si="42"/>
        <v>PCD_WWU.9 - HS010 (WWU_WWU) / Pipeline Replacements PCD (WWU)</v>
      </c>
      <c r="F170" s="33" t="str">
        <f t="shared" si="49"/>
        <v>SpC 3.31</v>
      </c>
      <c r="G170" s="33" t="s">
        <v>236</v>
      </c>
      <c r="H170" s="33" t="str">
        <f t="shared" si="44"/>
        <v>PREt</v>
      </c>
      <c r="AU170" s="139" t="b">
        <v>1</v>
      </c>
      <c r="AV170" s="22" t="b">
        <v>1</v>
      </c>
      <c r="AW170" s="24">
        <v>1</v>
      </c>
      <c r="AX170"/>
      <c r="BA170" s="34" t="str">
        <f t="shared" ca="1" si="45"/>
        <v>Southern</v>
      </c>
      <c r="BB170" s="34" t="str">
        <f t="shared" si="46"/>
        <v>Fixed Inputs</v>
      </c>
      <c r="BC170" s="34" t="str">
        <f t="shared" si="47"/>
        <v>Variant allowances</v>
      </c>
      <c r="BD170" s="34" t="str">
        <f t="shared" si="48"/>
        <v>Variant attributes</v>
      </c>
    </row>
    <row r="171" spans="5:56" x14ac:dyDescent="0.35">
      <c r="E171" s="33" t="str">
        <f t="shared" si="42"/>
        <v>PCD_Mandated Category 3 Security (Cadent_all)</v>
      </c>
      <c r="F171" s="33" t="str">
        <f t="shared" si="49"/>
        <v>SpC 3.30</v>
      </c>
      <c r="G171" s="33" t="s">
        <v>236</v>
      </c>
      <c r="H171" s="33" t="str">
        <f t="shared" si="44"/>
        <v>MDSt</v>
      </c>
      <c r="AU171" s="139" t="b">
        <v>1</v>
      </c>
      <c r="AV171" s="22" t="b">
        <v>1</v>
      </c>
      <c r="AW171" s="24">
        <v>1</v>
      </c>
      <c r="AX171"/>
      <c r="BA171" s="34" t="str">
        <f t="shared" ca="1" si="45"/>
        <v>Southern</v>
      </c>
      <c r="BB171" s="34" t="str">
        <f t="shared" si="46"/>
        <v>Fixed Inputs</v>
      </c>
      <c r="BC171" s="34" t="str">
        <f t="shared" si="47"/>
        <v>Variant allowances</v>
      </c>
      <c r="BD171" s="34" t="str">
        <f t="shared" si="48"/>
        <v>Variant attributes</v>
      </c>
    </row>
    <row r="172" spans="5:56" x14ac:dyDescent="0.35">
      <c r="E172" s="33" t="str">
        <f t="shared" si="42"/>
        <v>VD_GSIUR Disconnections Volume Driver</v>
      </c>
      <c r="F172" s="33">
        <f t="shared" si="49"/>
        <v>0</v>
      </c>
      <c r="G172" s="33" t="s">
        <v>236</v>
      </c>
      <c r="H172" s="33" t="str">
        <f t="shared" si="44"/>
        <v>GDVDt</v>
      </c>
      <c r="AU172" s="139" t="b">
        <v>1</v>
      </c>
      <c r="AV172" s="22" t="b">
        <v>0</v>
      </c>
      <c r="AW172" s="24">
        <v>1</v>
      </c>
      <c r="AX172"/>
      <c r="BA172" s="34" t="str">
        <f t="shared" ca="1" si="45"/>
        <v>Southern</v>
      </c>
      <c r="BB172" s="34" t="str">
        <f t="shared" si="46"/>
        <v>Fixed Inputs</v>
      </c>
      <c r="BC172" s="34" t="str">
        <f t="shared" si="47"/>
        <v>Variant allowances</v>
      </c>
      <c r="BD172" s="34" t="str">
        <f t="shared" si="48"/>
        <v>Variant attributes</v>
      </c>
    </row>
    <row r="173" spans="5:56" x14ac:dyDescent="0.35">
      <c r="E173" s="33" t="str">
        <f t="shared" si="42"/>
        <v>VD_[spare slot]</v>
      </c>
      <c r="F173" s="33">
        <f t="shared" ref="F173:F188" si="50">F119</f>
        <v>0</v>
      </c>
      <c r="G173" s="33" t="s">
        <v>236</v>
      </c>
      <c r="H173" s="33">
        <f t="shared" si="44"/>
        <v>0</v>
      </c>
      <c r="AU173" s="139" t="b">
        <v>1</v>
      </c>
      <c r="AV173" s="22" t="b">
        <v>1</v>
      </c>
      <c r="AW173" s="24">
        <v>1</v>
      </c>
      <c r="AX173"/>
      <c r="BA173" s="34" t="str">
        <f t="shared" ca="1" si="45"/>
        <v>Southern</v>
      </c>
      <c r="BB173" s="34" t="str">
        <f t="shared" si="46"/>
        <v>Fixed Inputs</v>
      </c>
      <c r="BC173" s="34" t="str">
        <f t="shared" si="47"/>
        <v>Variant allowances</v>
      </c>
      <c r="BD173" s="34" t="str">
        <f t="shared" si="48"/>
        <v>Variant attributes</v>
      </c>
    </row>
    <row r="174" spans="5:56" x14ac:dyDescent="0.35">
      <c r="E174" s="33" t="str">
        <f t="shared" si="42"/>
        <v>VD_Tier 2A Mains and Services Replacement Volume Driver</v>
      </c>
      <c r="F174" s="33" t="str">
        <f t="shared" si="50"/>
        <v>SpC 3.12</v>
      </c>
      <c r="G174" s="33" t="s">
        <v>236</v>
      </c>
      <c r="H174" s="33" t="str">
        <f t="shared" si="44"/>
        <v>REt</v>
      </c>
      <c r="AU174" s="139" t="b">
        <v>0</v>
      </c>
      <c r="AV174" s="22" t="b">
        <v>0</v>
      </c>
      <c r="AW174" s="24">
        <v>1</v>
      </c>
      <c r="AX174"/>
      <c r="BA174" s="34" t="str">
        <f t="shared" ca="1" si="45"/>
        <v>Southern</v>
      </c>
      <c r="BB174" s="34" t="str">
        <f t="shared" si="46"/>
        <v>Fixed Inputs</v>
      </c>
      <c r="BC174" s="34" t="str">
        <f t="shared" si="47"/>
        <v>Variant allowances</v>
      </c>
      <c r="BD174" s="34" t="str">
        <f t="shared" si="48"/>
        <v>Variant attributes</v>
      </c>
    </row>
    <row r="175" spans="5:56" x14ac:dyDescent="0.35">
      <c r="E175" s="33" t="str">
        <f t="shared" si="42"/>
        <v>UIOLI_Net Zero and Re-opener Development Fund / Decarbonisation Project Development Fund UIOLI</v>
      </c>
      <c r="F175" s="33" t="str">
        <f t="shared" si="50"/>
        <v>SpC 3.5</v>
      </c>
      <c r="G175" s="33" t="s">
        <v>236</v>
      </c>
      <c r="H175" s="33" t="str">
        <f t="shared" si="44"/>
        <v>DPDt</v>
      </c>
      <c r="AU175" s="139" t="b">
        <v>0</v>
      </c>
      <c r="AV175" s="22" t="b">
        <v>0</v>
      </c>
      <c r="AW175" s="24">
        <v>2</v>
      </c>
      <c r="AX175"/>
      <c r="BA175" s="34" t="str">
        <f t="shared" ca="1" si="45"/>
        <v>Southern</v>
      </c>
      <c r="BB175" s="34" t="str">
        <f t="shared" si="46"/>
        <v>Fixed Inputs</v>
      </c>
      <c r="BC175" s="34" t="str">
        <f t="shared" si="47"/>
        <v>Variant allowances</v>
      </c>
      <c r="BD175" s="34" t="str">
        <f t="shared" si="48"/>
        <v>Variant attributes</v>
      </c>
    </row>
    <row r="176" spans="5:56" x14ac:dyDescent="0.35">
      <c r="E176" s="33" t="str">
        <f t="shared" si="42"/>
        <v>UIOLI_Cyber Resilience_NGN</v>
      </c>
      <c r="F176" s="33" t="str">
        <f t="shared" si="50"/>
        <v>SpC 3.2</v>
      </c>
      <c r="G176" s="33" t="s">
        <v>236</v>
      </c>
      <c r="H176" s="33" t="str">
        <f t="shared" si="44"/>
        <v>CYREt</v>
      </c>
      <c r="AU176" s="139" t="b">
        <v>0</v>
      </c>
      <c r="AV176" s="22" t="b">
        <v>0</v>
      </c>
      <c r="AW176" s="24">
        <v>2</v>
      </c>
      <c r="AX176"/>
      <c r="BA176" s="34" t="str">
        <f t="shared" ca="1" si="45"/>
        <v>Southern</v>
      </c>
      <c r="BB176" s="34" t="str">
        <f t="shared" si="46"/>
        <v>Fixed Inputs</v>
      </c>
      <c r="BC176" s="34" t="str">
        <f t="shared" si="47"/>
        <v>Variant allowances</v>
      </c>
      <c r="BD176" s="34" t="str">
        <f t="shared" si="48"/>
        <v>Variant attributes</v>
      </c>
    </row>
    <row r="177" spans="5:56" x14ac:dyDescent="0.35">
      <c r="E177" s="33" t="str">
        <f t="shared" si="42"/>
        <v>UIOLI_Cyber Resilience_All except NGN and WWU</v>
      </c>
      <c r="F177" s="33" t="str">
        <f t="shared" si="50"/>
        <v>SpC 3.2</v>
      </c>
      <c r="G177" s="33" t="s">
        <v>236</v>
      </c>
      <c r="H177" s="33" t="str">
        <f t="shared" si="44"/>
        <v>CYREt</v>
      </c>
      <c r="AU177" s="139" t="b">
        <v>0</v>
      </c>
      <c r="AV177" s="22" t="b">
        <v>0</v>
      </c>
      <c r="AW177" s="24">
        <v>2</v>
      </c>
      <c r="AX177"/>
      <c r="BA177" s="34" t="str">
        <f t="shared" ca="1" si="45"/>
        <v>Southern</v>
      </c>
      <c r="BB177" s="34" t="str">
        <f t="shared" si="46"/>
        <v>Fixed Inputs</v>
      </c>
      <c r="BC177" s="34" t="str">
        <f t="shared" si="47"/>
        <v>Variant allowances</v>
      </c>
      <c r="BD177" s="34" t="str">
        <f t="shared" si="48"/>
        <v>Variant attributes</v>
      </c>
    </row>
    <row r="178" spans="5:56" x14ac:dyDescent="0.35">
      <c r="E178" s="33" t="str">
        <f t="shared" ref="E178:E202" si="51">E124</f>
        <v>UIOLI_Biomethane connections / Biomethane Distributed Entry Reinforcement</v>
      </c>
      <c r="F178" s="33" t="str">
        <f t="shared" si="50"/>
        <v>SpC 3.21</v>
      </c>
      <c r="G178" s="33" t="s">
        <v>236</v>
      </c>
      <c r="H178" s="33" t="str">
        <f t="shared" si="44"/>
        <v>BDERt</v>
      </c>
      <c r="AU178" s="139" t="b">
        <v>0</v>
      </c>
      <c r="AV178" s="22" t="b">
        <v>0</v>
      </c>
      <c r="AW178" s="24">
        <v>2</v>
      </c>
      <c r="AX178"/>
      <c r="BA178" s="34" t="str">
        <f t="shared" ca="1" si="45"/>
        <v>Southern</v>
      </c>
      <c r="BB178" s="34" t="str">
        <f t="shared" si="46"/>
        <v>Fixed Inputs</v>
      </c>
      <c r="BC178" s="34" t="str">
        <f t="shared" ref="BC178:BC202" si="52">$B$151</f>
        <v>Variant allowances</v>
      </c>
      <c r="BD178" s="34" t="str">
        <f t="shared" si="48"/>
        <v>Variant attributes</v>
      </c>
    </row>
    <row r="179" spans="5:56" x14ac:dyDescent="0.35">
      <c r="E179" s="33" t="str">
        <f t="shared" si="51"/>
        <v>Re-opener_Climate change resilience work</v>
      </c>
      <c r="F179" s="33">
        <f t="shared" si="50"/>
        <v>0</v>
      </c>
      <c r="G179" s="33" t="s">
        <v>236</v>
      </c>
      <c r="H179" s="33">
        <f t="shared" si="44"/>
        <v>0</v>
      </c>
      <c r="AU179" s="139" t="b">
        <v>0</v>
      </c>
      <c r="AV179" s="22" t="b">
        <v>0</v>
      </c>
      <c r="AW179" s="24">
        <v>2</v>
      </c>
      <c r="AX179"/>
      <c r="BA179" s="34" t="str">
        <f t="shared" ca="1" si="45"/>
        <v>Southern</v>
      </c>
      <c r="BB179" s="34" t="str">
        <f t="shared" si="46"/>
        <v>Fixed Inputs</v>
      </c>
      <c r="BC179" s="34" t="str">
        <f t="shared" si="52"/>
        <v>Variant allowances</v>
      </c>
      <c r="BD179" s="34" t="str">
        <f t="shared" si="48"/>
        <v>Variant attributes</v>
      </c>
    </row>
    <row r="180" spans="5:56" x14ac:dyDescent="0.35">
      <c r="E180" s="33" t="str">
        <f t="shared" si="51"/>
        <v>Re-opener_Coordinated Adjustment Mechanism Re-opener</v>
      </c>
      <c r="F180" s="33" t="str">
        <f t="shared" si="50"/>
        <v>SpC 3.8</v>
      </c>
      <c r="G180" s="33" t="s">
        <v>236</v>
      </c>
      <c r="H180" s="33" t="str">
        <f t="shared" si="44"/>
        <v>CAMt</v>
      </c>
      <c r="AU180" s="139" t="b">
        <v>0</v>
      </c>
      <c r="AV180" s="22" t="b">
        <v>0</v>
      </c>
      <c r="AW180" s="24">
        <v>2</v>
      </c>
      <c r="AX180"/>
      <c r="BA180" s="34" t="str">
        <f t="shared" ca="1" si="45"/>
        <v>Southern</v>
      </c>
      <c r="BB180" s="34" t="str">
        <f t="shared" si="46"/>
        <v>Fixed Inputs</v>
      </c>
      <c r="BC180" s="34" t="str">
        <f t="shared" si="52"/>
        <v>Variant allowances</v>
      </c>
      <c r="BD180" s="34" t="str">
        <f t="shared" si="48"/>
        <v>Variant attributes</v>
      </c>
    </row>
    <row r="181" spans="5:56" x14ac:dyDescent="0.35">
      <c r="E181" s="33" t="str">
        <f t="shared" si="51"/>
        <v>Re-opener_Cyber re-opener (Cadent_EoE) / Cyber resilience Re-Opener</v>
      </c>
      <c r="F181" s="33" t="str">
        <f t="shared" si="50"/>
        <v>SpC 3.2</v>
      </c>
      <c r="G181" s="33" t="s">
        <v>236</v>
      </c>
      <c r="H181" s="33" t="str">
        <f t="shared" si="44"/>
        <v>CYREt</v>
      </c>
      <c r="AU181" s="139" t="b">
        <v>0</v>
      </c>
      <c r="AV181" s="22" t="b">
        <v>0</v>
      </c>
      <c r="AW181" s="24">
        <v>2</v>
      </c>
      <c r="AX181"/>
      <c r="BA181" s="34" t="str">
        <f t="shared" ca="1" si="45"/>
        <v>Southern</v>
      </c>
      <c r="BB181" s="34" t="str">
        <f t="shared" si="46"/>
        <v>Fixed Inputs</v>
      </c>
      <c r="BC181" s="34" t="str">
        <f t="shared" si="52"/>
        <v>Variant allowances</v>
      </c>
      <c r="BD181" s="34" t="str">
        <f t="shared" si="48"/>
        <v>Variant attributes</v>
      </c>
    </row>
    <row r="182" spans="5:56" x14ac:dyDescent="0.35">
      <c r="E182" s="33" t="str">
        <f t="shared" si="51"/>
        <v>Re-opener_Data and digitalisation</v>
      </c>
      <c r="F182" s="33">
        <f t="shared" si="50"/>
        <v>0</v>
      </c>
      <c r="G182" s="33" t="s">
        <v>236</v>
      </c>
      <c r="H182" s="33">
        <f t="shared" si="44"/>
        <v>0</v>
      </c>
      <c r="AU182" s="139" t="b">
        <v>0</v>
      </c>
      <c r="AV182" s="22" t="b">
        <v>0</v>
      </c>
      <c r="AW182" s="24">
        <v>2</v>
      </c>
      <c r="AX182"/>
      <c r="BA182" s="34" t="str">
        <f t="shared" ca="1" si="45"/>
        <v>Southern</v>
      </c>
      <c r="BB182" s="34" t="str">
        <f t="shared" si="46"/>
        <v>Fixed Inputs</v>
      </c>
      <c r="BC182" s="34" t="str">
        <f t="shared" si="52"/>
        <v>Variant allowances</v>
      </c>
      <c r="BD182" s="34" t="str">
        <f t="shared" si="48"/>
        <v>Variant attributes</v>
      </c>
    </row>
    <row r="183" spans="5:56" x14ac:dyDescent="0.35">
      <c r="E183" s="33" t="str">
        <f t="shared" si="51"/>
        <v>Re-opener_Digitalisation re-opener</v>
      </c>
      <c r="F183" s="33" t="str">
        <f t="shared" si="50"/>
        <v>SpC 3.7</v>
      </c>
      <c r="G183" s="33" t="s">
        <v>236</v>
      </c>
      <c r="H183" s="33" t="str">
        <f t="shared" si="44"/>
        <v>DIGITt</v>
      </c>
      <c r="AU183" s="139" t="b">
        <v>0</v>
      </c>
      <c r="AV183" s="22" t="b">
        <v>0</v>
      </c>
      <c r="AW183" s="24">
        <v>2</v>
      </c>
      <c r="AX183"/>
      <c r="BA183" s="34" t="str">
        <f t="shared" ca="1" si="45"/>
        <v>Southern</v>
      </c>
      <c r="BB183" s="34" t="str">
        <f t="shared" si="46"/>
        <v>Fixed Inputs</v>
      </c>
      <c r="BC183" s="34" t="str">
        <f t="shared" si="52"/>
        <v>Variant allowances</v>
      </c>
      <c r="BD183" s="34" t="str">
        <f t="shared" si="48"/>
        <v>Variant attributes</v>
      </c>
    </row>
    <row r="184" spans="5:56" x14ac:dyDescent="0.35">
      <c r="E184" s="33" t="str">
        <f t="shared" si="51"/>
        <v>Re-opener_Diversions and Loss of Development Claims Re-opener</v>
      </c>
      <c r="F184" s="33" t="str">
        <f t="shared" si="50"/>
        <v>SpC 3.15</v>
      </c>
      <c r="G184" s="33" t="s">
        <v>236</v>
      </c>
      <c r="H184" s="33" t="str">
        <f t="shared" si="44"/>
        <v>DIVt</v>
      </c>
      <c r="AU184" s="139" t="b">
        <v>0</v>
      </c>
      <c r="AV184" s="22" t="b">
        <v>0</v>
      </c>
      <c r="AW184" s="24">
        <v>2</v>
      </c>
      <c r="AX184"/>
      <c r="BA184" s="34" t="str">
        <f t="shared" ca="1" si="45"/>
        <v>Southern</v>
      </c>
      <c r="BB184" s="34" t="str">
        <f t="shared" si="46"/>
        <v>Fixed Inputs</v>
      </c>
      <c r="BC184" s="34" t="str">
        <f t="shared" si="52"/>
        <v>Variant allowances</v>
      </c>
      <c r="BD184" s="34" t="str">
        <f t="shared" si="48"/>
        <v>Variant attributes</v>
      </c>
    </row>
    <row r="185" spans="5:56" x14ac:dyDescent="0.35">
      <c r="E185" s="33" t="str">
        <f t="shared" si="51"/>
        <v>Re-opener_Heat Policy re-opener</v>
      </c>
      <c r="F185" s="33" t="str">
        <f t="shared" si="50"/>
        <v>SpC 3.14</v>
      </c>
      <c r="G185" s="33" t="s">
        <v>236</v>
      </c>
      <c r="H185" s="33" t="str">
        <f t="shared" si="44"/>
        <v>HPRAt</v>
      </c>
      <c r="AU185" s="139" t="b">
        <v>0</v>
      </c>
      <c r="AV185" s="22" t="b">
        <v>0</v>
      </c>
      <c r="AW185" s="24">
        <v>2</v>
      </c>
      <c r="AX185"/>
      <c r="BA185" s="34" t="str">
        <f t="shared" ca="1" si="45"/>
        <v>Southern</v>
      </c>
      <c r="BB185" s="34" t="str">
        <f t="shared" si="46"/>
        <v>Fixed Inputs</v>
      </c>
      <c r="BC185" s="34" t="str">
        <f t="shared" si="52"/>
        <v>Variant allowances</v>
      </c>
      <c r="BD185" s="34" t="str">
        <f t="shared" si="48"/>
        <v>Variant attributes</v>
      </c>
    </row>
    <row r="186" spans="5:56" x14ac:dyDescent="0.35">
      <c r="E186" s="33" t="str">
        <f t="shared" si="51"/>
        <v>Re-opener_HSE Policy Re-opener</v>
      </c>
      <c r="F186" s="33" t="str">
        <f t="shared" si="50"/>
        <v>SpC 3.13</v>
      </c>
      <c r="G186" s="33" t="s">
        <v>236</v>
      </c>
      <c r="H186" s="33" t="str">
        <f t="shared" si="44"/>
        <v>REPt</v>
      </c>
      <c r="AU186" s="139" t="b">
        <v>0</v>
      </c>
      <c r="AV186" s="22" t="b">
        <v>0</v>
      </c>
      <c r="AW186" s="24">
        <v>2</v>
      </c>
      <c r="AX186"/>
      <c r="BA186" s="34" t="str">
        <f t="shared" ca="1" si="45"/>
        <v>Southern</v>
      </c>
      <c r="BB186" s="34" t="str">
        <f t="shared" si="46"/>
        <v>Fixed Inputs</v>
      </c>
      <c r="BC186" s="34" t="str">
        <f t="shared" si="52"/>
        <v>Variant allowances</v>
      </c>
      <c r="BD186" s="34" t="str">
        <f t="shared" si="48"/>
        <v>Variant attributes</v>
      </c>
    </row>
    <row r="187" spans="5:56" x14ac:dyDescent="0.35">
      <c r="E187" s="33" t="str">
        <f t="shared" si="51"/>
        <v>Re-opener_London Subways and Tunnels</v>
      </c>
      <c r="F187" s="33" t="str">
        <f t="shared" si="50"/>
        <v>SpC 3.26</v>
      </c>
      <c r="G187" s="33" t="s">
        <v>236</v>
      </c>
      <c r="H187" s="33" t="str">
        <f t="shared" si="44"/>
        <v>LSTt</v>
      </c>
      <c r="AU187" s="139" t="b">
        <v>0</v>
      </c>
      <c r="AV187" s="22" t="b">
        <v>0</v>
      </c>
      <c r="AW187" s="24">
        <v>2</v>
      </c>
      <c r="AX187"/>
      <c r="BA187" s="34" t="str">
        <f t="shared" ca="1" si="45"/>
        <v>Southern</v>
      </c>
      <c r="BB187" s="34" t="str">
        <f t="shared" si="46"/>
        <v>Fixed Inputs</v>
      </c>
      <c r="BC187" s="34" t="str">
        <f t="shared" si="52"/>
        <v>Variant allowances</v>
      </c>
      <c r="BD187" s="34" t="str">
        <f t="shared" si="48"/>
        <v>Variant attributes</v>
      </c>
    </row>
    <row r="188" spans="5:56" x14ac:dyDescent="0.35">
      <c r="E188" s="33" t="str">
        <f t="shared" si="51"/>
        <v>Re-opener_Net Zero Pre-construction Works and Small Net Zero Projects Re-opener / Small Decarbonisation Projects Re-opener</v>
      </c>
      <c r="F188" s="33" t="str">
        <f t="shared" si="50"/>
        <v>SpC 3.4</v>
      </c>
      <c r="G188" s="33" t="s">
        <v>236</v>
      </c>
      <c r="H188" s="33" t="str">
        <f t="shared" si="44"/>
        <v>SDPt</v>
      </c>
      <c r="AU188" s="139" t="b">
        <v>0</v>
      </c>
      <c r="AV188" s="22" t="b">
        <v>0</v>
      </c>
      <c r="AW188" s="24">
        <v>2</v>
      </c>
      <c r="AX188"/>
      <c r="BA188" s="34" t="str">
        <f t="shared" ca="1" si="45"/>
        <v>Southern</v>
      </c>
      <c r="BB188" s="34" t="str">
        <f t="shared" si="46"/>
        <v>Fixed Inputs</v>
      </c>
      <c r="BC188" s="34" t="str">
        <f t="shared" si="52"/>
        <v>Variant allowances</v>
      </c>
      <c r="BD188" s="34" t="str">
        <f t="shared" si="48"/>
        <v>Variant attributes</v>
      </c>
    </row>
    <row r="189" spans="5:56" x14ac:dyDescent="0.35">
      <c r="E189" s="33" t="str">
        <f t="shared" si="51"/>
        <v>Re-opener_Net zero re-opener / Decarbonisation and Environmental Policy Re-opener</v>
      </c>
      <c r="F189" s="33" t="str">
        <f t="shared" ref="F189:F202" si="53">F135</f>
        <v>SpC 3.6</v>
      </c>
      <c r="G189" s="33" t="s">
        <v>236</v>
      </c>
      <c r="H189" s="33" t="str">
        <f t="shared" si="44"/>
        <v>DEPt</v>
      </c>
      <c r="AU189" s="139" t="b">
        <v>0</v>
      </c>
      <c r="AV189" s="22" t="b">
        <v>0</v>
      </c>
      <c r="AW189" s="24">
        <v>2</v>
      </c>
      <c r="AX189"/>
      <c r="BA189" s="34" t="str">
        <f t="shared" ca="1" si="45"/>
        <v>Southern</v>
      </c>
      <c r="BB189" s="34" t="str">
        <f t="shared" si="46"/>
        <v>Fixed Inputs</v>
      </c>
      <c r="BC189" s="34" t="str">
        <f t="shared" si="52"/>
        <v>Variant allowances</v>
      </c>
      <c r="BD189" s="34" t="str">
        <f t="shared" si="48"/>
        <v>Variant attributes</v>
      </c>
    </row>
    <row r="190" spans="5:56" x14ac:dyDescent="0.35">
      <c r="E190" s="33" t="str">
        <f t="shared" si="51"/>
        <v>Re-opener_New Large Load Connections Re-opener</v>
      </c>
      <c r="F190" s="33" t="str">
        <f t="shared" si="53"/>
        <v>SpC 3.16</v>
      </c>
      <c r="G190" s="33" t="s">
        <v>236</v>
      </c>
      <c r="H190" s="33" t="str">
        <f t="shared" si="44"/>
        <v>NLLRt</v>
      </c>
      <c r="AU190" s="139" t="b">
        <v>0</v>
      </c>
      <c r="AV190" s="22" t="b">
        <v>0</v>
      </c>
      <c r="AW190" s="24">
        <v>2</v>
      </c>
      <c r="AX190"/>
      <c r="BA190" s="34" t="str">
        <f t="shared" ca="1" si="45"/>
        <v>Southern</v>
      </c>
      <c r="BB190" s="34" t="str">
        <f t="shared" si="46"/>
        <v>Fixed Inputs</v>
      </c>
      <c r="BC190" s="34" t="str">
        <f t="shared" si="52"/>
        <v>Variant allowances</v>
      </c>
      <c r="BD190" s="34" t="str">
        <f t="shared" si="48"/>
        <v>Variant attributes</v>
      </c>
    </row>
    <row r="191" spans="5:56" x14ac:dyDescent="0.35">
      <c r="E191" s="33" t="str">
        <f t="shared" si="51"/>
        <v>Re-opener_Resilience re-opener / Resilience Activity Re-opener</v>
      </c>
      <c r="F191" s="33" t="str">
        <f t="shared" si="53"/>
        <v>SpC 3.3</v>
      </c>
      <c r="G191" s="33" t="s">
        <v>236</v>
      </c>
      <c r="H191" s="33" t="str">
        <f t="shared" si="44"/>
        <v>RESREt</v>
      </c>
      <c r="AU191" s="139" t="b">
        <v>0</v>
      </c>
      <c r="AV191" s="22" t="b">
        <v>0</v>
      </c>
      <c r="AW191" s="24">
        <v>2</v>
      </c>
      <c r="AX191"/>
      <c r="BA191" s="34" t="str">
        <f t="shared" ca="1" si="45"/>
        <v>Southern</v>
      </c>
      <c r="BB191" s="34" t="str">
        <f t="shared" si="46"/>
        <v>Fixed Inputs</v>
      </c>
      <c r="BC191" s="34" t="str">
        <f t="shared" si="52"/>
        <v>Variant allowances</v>
      </c>
      <c r="BD191" s="34" t="str">
        <f t="shared" si="48"/>
        <v>Variant attributes</v>
      </c>
    </row>
    <row r="192" spans="5:56" x14ac:dyDescent="0.35">
      <c r="E192" s="33" t="str">
        <f t="shared" si="51"/>
        <v>Re-opener_Specified Streetworks Costs Re-opener</v>
      </c>
      <c r="F192" s="33" t="str">
        <f t="shared" si="53"/>
        <v>SpC 3.17</v>
      </c>
      <c r="G192" s="33" t="s">
        <v>236</v>
      </c>
      <c r="H192" s="33" t="str">
        <f t="shared" si="44"/>
        <v>STWt</v>
      </c>
      <c r="AU192" s="139" t="b">
        <v>0</v>
      </c>
      <c r="AV192" s="22" t="b">
        <v>0</v>
      </c>
      <c r="AW192" s="24">
        <v>2</v>
      </c>
      <c r="AX192"/>
      <c r="BA192" s="34" t="str">
        <f t="shared" ca="1" si="45"/>
        <v>Southern</v>
      </c>
      <c r="BB192" s="34" t="str">
        <f t="shared" si="46"/>
        <v>Fixed Inputs</v>
      </c>
      <c r="BC192" s="34" t="str">
        <f t="shared" si="52"/>
        <v>Variant allowances</v>
      </c>
      <c r="BD192" s="34" t="str">
        <f t="shared" si="48"/>
        <v>Variant attributes</v>
      </c>
    </row>
    <row r="193" spans="3:56" x14ac:dyDescent="0.35">
      <c r="E193" s="33" t="str">
        <f t="shared" si="51"/>
        <v>Re-opener_Physical Security Re-opener</v>
      </c>
      <c r="F193" s="33" t="str">
        <f t="shared" si="53"/>
        <v>SpC 3.3</v>
      </c>
      <c r="G193" s="33" t="s">
        <v>236</v>
      </c>
      <c r="H193" s="33" t="str">
        <f t="shared" si="44"/>
        <v>RESREt</v>
      </c>
      <c r="AU193" s="139" t="b">
        <v>0</v>
      </c>
      <c r="AV193" s="22" t="b">
        <v>0</v>
      </c>
      <c r="AW193" s="24">
        <v>2</v>
      </c>
      <c r="AX193"/>
      <c r="BA193" s="34" t="str">
        <f t="shared" ca="1" si="45"/>
        <v>Southern</v>
      </c>
      <c r="BB193" s="34" t="str">
        <f t="shared" si="46"/>
        <v>Fixed Inputs</v>
      </c>
      <c r="BC193" s="34" t="str">
        <f t="shared" si="52"/>
        <v>Variant allowances</v>
      </c>
      <c r="BD193" s="34" t="str">
        <f t="shared" si="48"/>
        <v>Variant attributes</v>
      </c>
    </row>
    <row r="194" spans="3:56" x14ac:dyDescent="0.35">
      <c r="E194" s="33" t="str">
        <f t="shared" si="51"/>
        <v>Re-opener_East Coast Hydrogen NZASP Re-Opener (EoE and NGN) / GD2/GD3 Crossover Adjustment</v>
      </c>
      <c r="F194" s="33" t="str">
        <f t="shared" si="53"/>
        <v>SpC 3.32</v>
      </c>
      <c r="G194" s="33" t="s">
        <v>236</v>
      </c>
      <c r="H194" s="33" t="str">
        <f t="shared" si="44"/>
        <v xml:space="preserve">GD2ACAt </v>
      </c>
      <c r="AU194" s="139" t="b">
        <v>0</v>
      </c>
      <c r="AV194" s="22" t="b">
        <v>0</v>
      </c>
      <c r="AW194" s="24">
        <v>2</v>
      </c>
      <c r="AX194"/>
      <c r="BA194" s="34" t="str">
        <f t="shared" ca="1" si="45"/>
        <v>Southern</v>
      </c>
      <c r="BB194" s="34" t="str">
        <f t="shared" si="46"/>
        <v>Fixed Inputs</v>
      </c>
      <c r="BC194" s="34" t="str">
        <f t="shared" si="52"/>
        <v>Variant allowances</v>
      </c>
      <c r="BD194" s="34" t="str">
        <f t="shared" si="48"/>
        <v>Variant attributes</v>
      </c>
    </row>
    <row r="195" spans="3:56" x14ac:dyDescent="0.35">
      <c r="E195" s="33" t="str">
        <f t="shared" si="51"/>
        <v>Re-opener_Complex Distributions Systems Re-opener</v>
      </c>
      <c r="F195" s="33" t="str">
        <f t="shared" si="53"/>
        <v>SpC 3.22</v>
      </c>
      <c r="G195" s="33" t="s">
        <v>236</v>
      </c>
      <c r="H195" s="33" t="str">
        <f t="shared" si="44"/>
        <v>CDSt</v>
      </c>
      <c r="AU195" s="139" t="b">
        <v>0</v>
      </c>
      <c r="AV195" s="22" t="b">
        <v>0</v>
      </c>
      <c r="AW195" s="24">
        <v>2</v>
      </c>
      <c r="AX195"/>
      <c r="BA195" s="34" t="str">
        <f t="shared" ca="1" si="45"/>
        <v>Southern</v>
      </c>
      <c r="BB195" s="34" t="str">
        <f t="shared" si="46"/>
        <v>Fixed Inputs</v>
      </c>
      <c r="BC195" s="34" t="str">
        <f t="shared" si="52"/>
        <v>Variant allowances</v>
      </c>
      <c r="BD195" s="34" t="str">
        <f t="shared" si="48"/>
        <v>Variant attributes</v>
      </c>
    </row>
    <row r="196" spans="3:56" x14ac:dyDescent="0.35">
      <c r="E196" s="33" t="str">
        <f t="shared" si="51"/>
        <v>Re-opener_Mandated Category 3 Security Re-opener</v>
      </c>
      <c r="F196" s="33">
        <f t="shared" si="53"/>
        <v>0</v>
      </c>
      <c r="G196" s="33" t="s">
        <v>236</v>
      </c>
      <c r="H196" s="33">
        <f t="shared" si="44"/>
        <v>0</v>
      </c>
      <c r="AU196" s="139" t="b">
        <v>0</v>
      </c>
      <c r="AV196" s="22" t="b">
        <v>0</v>
      </c>
      <c r="AW196" s="24">
        <v>2</v>
      </c>
      <c r="AX196"/>
      <c r="BA196" s="34" t="str">
        <f t="shared" ca="1" si="45"/>
        <v>Southern</v>
      </c>
      <c r="BB196" s="34" t="str">
        <f t="shared" si="46"/>
        <v>Fixed Inputs</v>
      </c>
      <c r="BC196" s="34" t="str">
        <f t="shared" si="52"/>
        <v>Variant allowances</v>
      </c>
      <c r="BD196" s="34" t="str">
        <f t="shared" si="48"/>
        <v>Variant attributes</v>
      </c>
    </row>
    <row r="197" spans="3:56" x14ac:dyDescent="0.35">
      <c r="E197" s="33" t="str">
        <f t="shared" si="51"/>
        <v>Re-opener_General Reinforcement</v>
      </c>
      <c r="F197" s="33">
        <f t="shared" si="53"/>
        <v>0</v>
      </c>
      <c r="G197" s="33" t="s">
        <v>236</v>
      </c>
      <c r="H197" s="33">
        <f t="shared" si="44"/>
        <v>0</v>
      </c>
      <c r="AU197" s="139" t="b">
        <v>0</v>
      </c>
      <c r="AV197" s="22" t="b">
        <v>0</v>
      </c>
      <c r="AW197" s="24">
        <v>2</v>
      </c>
      <c r="AX197"/>
      <c r="BA197" s="34" t="str">
        <f t="shared" ca="1" si="45"/>
        <v>Southern</v>
      </c>
      <c r="BB197" s="34" t="str">
        <f t="shared" si="46"/>
        <v>Fixed Inputs</v>
      </c>
      <c r="BC197" s="34" t="str">
        <f t="shared" si="52"/>
        <v>Variant allowances</v>
      </c>
      <c r="BD197" s="34" t="str">
        <f t="shared" si="48"/>
        <v>Variant attributes</v>
      </c>
    </row>
    <row r="198" spans="3:56" x14ac:dyDescent="0.35">
      <c r="E198" s="33" t="str">
        <f t="shared" si="51"/>
        <v>Spare 2</v>
      </c>
      <c r="F198" s="33">
        <f t="shared" si="53"/>
        <v>0</v>
      </c>
      <c r="G198" s="33" t="s">
        <v>236</v>
      </c>
      <c r="H198" s="33">
        <f t="shared" si="44"/>
        <v>0</v>
      </c>
      <c r="AU198" s="139" t="b">
        <v>0</v>
      </c>
      <c r="AV198" s="22" t="b">
        <v>0</v>
      </c>
      <c r="AW198" s="24">
        <v>2</v>
      </c>
      <c r="AX198"/>
      <c r="BA198" s="34" t="str">
        <f t="shared" ca="1" si="45"/>
        <v>Southern</v>
      </c>
      <c r="BB198" s="34" t="str">
        <f t="shared" si="46"/>
        <v>Fixed Inputs</v>
      </c>
      <c r="BC198" s="34" t="str">
        <f t="shared" si="52"/>
        <v>Variant allowances</v>
      </c>
      <c r="BD198" s="34" t="str">
        <f t="shared" si="48"/>
        <v>Variant attributes</v>
      </c>
    </row>
    <row r="199" spans="3:56" x14ac:dyDescent="0.35">
      <c r="E199" s="33" t="str">
        <f t="shared" si="51"/>
        <v>Spare 3</v>
      </c>
      <c r="F199" s="33">
        <f t="shared" si="53"/>
        <v>0</v>
      </c>
      <c r="G199" s="33" t="s">
        <v>236</v>
      </c>
      <c r="H199" s="33">
        <f t="shared" si="44"/>
        <v>0</v>
      </c>
      <c r="AU199" s="139" t="b">
        <v>0</v>
      </c>
      <c r="AV199" s="22" t="b">
        <v>0</v>
      </c>
      <c r="AW199" s="24">
        <v>2</v>
      </c>
      <c r="AX199"/>
      <c r="BA199" s="34" t="str">
        <f t="shared" ca="1" si="45"/>
        <v>Southern</v>
      </c>
      <c r="BB199" s="34" t="str">
        <f t="shared" si="46"/>
        <v>Fixed Inputs</v>
      </c>
      <c r="BC199" s="34" t="str">
        <f t="shared" si="52"/>
        <v>Variant allowances</v>
      </c>
      <c r="BD199" s="34" t="str">
        <f t="shared" si="48"/>
        <v>Variant attributes</v>
      </c>
    </row>
    <row r="200" spans="3:56" x14ac:dyDescent="0.35">
      <c r="E200" s="33" t="str">
        <f t="shared" si="51"/>
        <v>Spare 4</v>
      </c>
      <c r="F200" s="33">
        <f t="shared" si="53"/>
        <v>0</v>
      </c>
      <c r="G200" s="33" t="s">
        <v>236</v>
      </c>
      <c r="H200" s="33">
        <f t="shared" si="44"/>
        <v>0</v>
      </c>
      <c r="AU200" s="139" t="b">
        <v>0</v>
      </c>
      <c r="AV200" s="22" t="b">
        <v>0</v>
      </c>
      <c r="AW200" s="24">
        <v>2</v>
      </c>
      <c r="AX200"/>
      <c r="BA200" s="34" t="str">
        <f t="shared" ca="1" si="45"/>
        <v>Southern</v>
      </c>
      <c r="BB200" s="34" t="str">
        <f t="shared" si="46"/>
        <v>Fixed Inputs</v>
      </c>
      <c r="BC200" s="34" t="str">
        <f t="shared" si="52"/>
        <v>Variant allowances</v>
      </c>
      <c r="BD200" s="34" t="str">
        <f t="shared" si="48"/>
        <v>Variant attributes</v>
      </c>
    </row>
    <row r="201" spans="3:56" x14ac:dyDescent="0.35">
      <c r="E201" s="33" t="str">
        <f t="shared" si="51"/>
        <v>Spare 5</v>
      </c>
      <c r="F201" s="33">
        <f t="shared" si="53"/>
        <v>0</v>
      </c>
      <c r="G201" s="33" t="s">
        <v>236</v>
      </c>
      <c r="H201" s="33">
        <f t="shared" si="44"/>
        <v>0</v>
      </c>
      <c r="AU201" s="139" t="b">
        <v>0</v>
      </c>
      <c r="AV201" s="22" t="b">
        <v>0</v>
      </c>
      <c r="AW201" s="24">
        <v>2</v>
      </c>
      <c r="AX201"/>
      <c r="BA201" s="34" t="str">
        <f t="shared" ca="1" si="45"/>
        <v>Southern</v>
      </c>
      <c r="BB201" s="34" t="str">
        <f t="shared" si="46"/>
        <v>Fixed Inputs</v>
      </c>
      <c r="BC201" s="34" t="str">
        <f t="shared" si="52"/>
        <v>Variant allowances</v>
      </c>
      <c r="BD201" s="34" t="str">
        <f t="shared" si="48"/>
        <v>Variant attributes</v>
      </c>
    </row>
    <row r="202" spans="3:56" x14ac:dyDescent="0.35">
      <c r="E202" s="33" t="str">
        <f t="shared" si="51"/>
        <v>Spare 6</v>
      </c>
      <c r="F202" s="33">
        <f t="shared" si="53"/>
        <v>0</v>
      </c>
      <c r="G202" s="33" t="s">
        <v>236</v>
      </c>
      <c r="H202" s="33">
        <f t="shared" si="44"/>
        <v>0</v>
      </c>
      <c r="AU202" s="139" t="b">
        <v>0</v>
      </c>
      <c r="AV202" s="22" t="b">
        <v>0</v>
      </c>
      <c r="AW202" s="24">
        <v>2</v>
      </c>
      <c r="AX202"/>
      <c r="BA202" s="34" t="str">
        <f t="shared" ca="1" si="45"/>
        <v>Southern</v>
      </c>
      <c r="BB202" s="34" t="str">
        <f t="shared" si="46"/>
        <v>Fixed Inputs</v>
      </c>
      <c r="BC202" s="34" t="str">
        <f t="shared" si="52"/>
        <v>Variant allowances</v>
      </c>
      <c r="BD202" s="34" t="str">
        <f t="shared" si="48"/>
        <v>Variant attributes</v>
      </c>
    </row>
    <row r="203" spans="3:56" x14ac:dyDescent="0.35"/>
    <row r="204" spans="3:56" ht="16.5" thickBot="1" x14ac:dyDescent="0.4">
      <c r="C204" s="9" t="s">
        <v>167</v>
      </c>
    </row>
    <row r="205" spans="3:56" x14ac:dyDescent="0.35">
      <c r="E205" s="187" t="str" cm="1">
        <f t="array" ref="E205">INDEX($E$99:$E$202,INT((ROW()-ROW($E$205))/5)+1)</f>
        <v>PCD_Baseline Network Risk Output</v>
      </c>
      <c r="F205" s="188"/>
      <c r="G205" s="188" t="s">
        <v>109</v>
      </c>
      <c r="H205" s="188" t="s">
        <v>168</v>
      </c>
      <c r="I205" s="188"/>
      <c r="J205" s="188"/>
      <c r="K205" s="188"/>
      <c r="L205" s="188"/>
      <c r="M205" s="188"/>
      <c r="N205" s="188"/>
      <c r="O205" s="188"/>
      <c r="P205" s="188"/>
      <c r="Q205" s="188"/>
      <c r="R205" s="188"/>
      <c r="S205" s="188"/>
      <c r="T205" s="188"/>
      <c r="U205" s="188"/>
      <c r="V205" s="188"/>
      <c r="W205" s="188"/>
      <c r="X205" s="188"/>
      <c r="Y205" s="188"/>
      <c r="Z205" s="188"/>
      <c r="AA205" s="188"/>
      <c r="AB205" s="188"/>
      <c r="AC205" s="188"/>
      <c r="AD205" s="188"/>
      <c r="AE205" s="188"/>
      <c r="AF205" s="188"/>
      <c r="AG205" s="188"/>
      <c r="AH205" s="188"/>
      <c r="AI205" s="188"/>
      <c r="AJ205" s="188"/>
      <c r="AK205" s="188"/>
      <c r="AL205" s="188"/>
      <c r="AM205" s="188"/>
      <c r="AN205" s="188"/>
      <c r="AO205" s="188"/>
      <c r="AP205" s="188"/>
      <c r="AQ205" s="188"/>
      <c r="AR205" s="188"/>
      <c r="AS205" s="188"/>
      <c r="AT205" s="202"/>
      <c r="AU205" s="190"/>
      <c r="AV205" s="191">
        <v>0</v>
      </c>
      <c r="AW205" s="191">
        <v>0</v>
      </c>
      <c r="AX205" s="191">
        <v>0</v>
      </c>
      <c r="AY205" s="192">
        <v>0</v>
      </c>
      <c r="BA205" s="34" t="str">
        <f t="shared" ref="BA205:BA454" ca="1" si="54">$A$1</f>
        <v>Southern</v>
      </c>
      <c r="BB205" s="34" t="str">
        <f t="shared" ref="BB205:BB454" si="55">$A$150</f>
        <v>Fixed Inputs</v>
      </c>
      <c r="BC205" s="34" t="str">
        <f t="shared" ref="BC205:BC268" si="56">$B$151</f>
        <v>Variant allowances</v>
      </c>
      <c r="BD205" s="34" t="str">
        <f t="shared" ref="BD205:BD454" si="57">$C$204</f>
        <v>Totex variant allowances allocation percentages</v>
      </c>
    </row>
    <row r="206" spans="3:56" x14ac:dyDescent="0.35">
      <c r="E206" s="193" t="str" cm="1">
        <f t="array" ref="E206">INDEX($E$99:$E$202,INT((ROW()-ROW($E$205))/5)+1)</f>
        <v>PCD_Baseline Network Risk Output</v>
      </c>
      <c r="G206" s="33" t="s">
        <v>109</v>
      </c>
      <c r="H206" s="33" t="s">
        <v>169</v>
      </c>
      <c r="AU206" s="140">
        <v>0.14840275274012768</v>
      </c>
      <c r="AV206" s="23">
        <v>0.14840275274012768</v>
      </c>
      <c r="AW206" s="23">
        <v>0.14840275274012768</v>
      </c>
      <c r="AX206" s="23">
        <v>0.14840275274012768</v>
      </c>
      <c r="AY206" s="194">
        <v>0.14840275274012768</v>
      </c>
      <c r="BA206" s="34" t="str">
        <f t="shared" ca="1" si="54"/>
        <v>Southern</v>
      </c>
      <c r="BB206" s="34" t="str">
        <f t="shared" si="55"/>
        <v>Fixed Inputs</v>
      </c>
      <c r="BC206" s="34" t="str">
        <f t="shared" si="56"/>
        <v>Variant allowances</v>
      </c>
      <c r="BD206" s="34" t="str">
        <f t="shared" si="57"/>
        <v>Totex variant allowances allocation percentages</v>
      </c>
    </row>
    <row r="207" spans="3:56" x14ac:dyDescent="0.35">
      <c r="E207" s="193" t="str" cm="1">
        <f t="array" ref="E207">INDEX($E$99:$E$202,INT((ROW()-ROW($E$205))/5)+1)</f>
        <v>PCD_Baseline Network Risk Output</v>
      </c>
      <c r="G207" s="33" t="s">
        <v>109</v>
      </c>
      <c r="H207" s="33" t="s">
        <v>170</v>
      </c>
      <c r="AU207" s="140"/>
      <c r="AV207" s="23">
        <v>0</v>
      </c>
      <c r="AW207" s="23">
        <v>0</v>
      </c>
      <c r="AX207" s="23">
        <v>0</v>
      </c>
      <c r="AY207" s="194">
        <v>0</v>
      </c>
      <c r="BA207" s="34" t="str">
        <f t="shared" ca="1" si="54"/>
        <v>Southern</v>
      </c>
      <c r="BB207" s="34" t="str">
        <f t="shared" si="55"/>
        <v>Fixed Inputs</v>
      </c>
      <c r="BC207" s="34" t="str">
        <f t="shared" si="56"/>
        <v>Variant allowances</v>
      </c>
      <c r="BD207" s="34" t="str">
        <f t="shared" si="57"/>
        <v>Totex variant allowances allocation percentages</v>
      </c>
    </row>
    <row r="208" spans="3:56" x14ac:dyDescent="0.35">
      <c r="E208" s="193" t="str" cm="1">
        <f t="array" ref="E208">INDEX($E$99:$E$202,INT((ROW()-ROW($E$205))/5)+1)</f>
        <v>PCD_Baseline Network Risk Output</v>
      </c>
      <c r="G208" s="33" t="s">
        <v>109</v>
      </c>
      <c r="H208" s="33" t="s">
        <v>171</v>
      </c>
      <c r="AU208" s="140"/>
      <c r="AV208" s="23">
        <v>0</v>
      </c>
      <c r="AW208" s="23">
        <v>0</v>
      </c>
      <c r="AX208" s="23">
        <v>0</v>
      </c>
      <c r="AY208" s="194">
        <v>0</v>
      </c>
      <c r="BA208" s="34" t="str">
        <f t="shared" ca="1" si="54"/>
        <v>Southern</v>
      </c>
      <c r="BB208" s="34" t="str">
        <f t="shared" si="55"/>
        <v>Fixed Inputs</v>
      </c>
      <c r="BC208" s="34" t="str">
        <f t="shared" si="56"/>
        <v>Variant allowances</v>
      </c>
      <c r="BD208" s="34" t="str">
        <f t="shared" si="57"/>
        <v>Totex variant allowances allocation percentages</v>
      </c>
    </row>
    <row r="209" spans="5:56" x14ac:dyDescent="0.35">
      <c r="E209" s="195" t="str" cm="1">
        <f t="array" ref="E209">INDEX($E$99:$E$202,INT((ROW()-ROW($E$205))/5)+1)</f>
        <v>PCD_Baseline Network Risk Output</v>
      </c>
      <c r="F209" s="196"/>
      <c r="G209" s="196" t="s">
        <v>109</v>
      </c>
      <c r="H209" s="196" t="s">
        <v>172</v>
      </c>
      <c r="I209" s="196"/>
      <c r="J209" s="196"/>
      <c r="K209" s="196"/>
      <c r="L209" s="196"/>
      <c r="M209" s="196"/>
      <c r="N209" s="196"/>
      <c r="O209" s="196"/>
      <c r="P209" s="196"/>
      <c r="Q209" s="196"/>
      <c r="R209" s="196"/>
      <c r="S209" s="196"/>
      <c r="T209" s="196"/>
      <c r="U209" s="196"/>
      <c r="V209" s="196"/>
      <c r="W209" s="196"/>
      <c r="X209" s="196"/>
      <c r="Y209" s="196"/>
      <c r="Z209" s="196"/>
      <c r="AA209" s="196"/>
      <c r="AB209" s="196"/>
      <c r="AC209" s="196"/>
      <c r="AD209" s="196"/>
      <c r="AE209" s="196"/>
      <c r="AF209" s="196"/>
      <c r="AG209" s="196"/>
      <c r="AH209" s="196"/>
      <c r="AI209" s="196"/>
      <c r="AJ209" s="196"/>
      <c r="AK209" s="196"/>
      <c r="AL209" s="196"/>
      <c r="AM209" s="196"/>
      <c r="AN209" s="196"/>
      <c r="AO209" s="196"/>
      <c r="AP209" s="196"/>
      <c r="AQ209" s="196"/>
      <c r="AR209" s="196"/>
      <c r="AS209" s="196"/>
      <c r="AT209" s="208"/>
      <c r="AU209" s="198">
        <v>0.8515972472598724</v>
      </c>
      <c r="AV209" s="199">
        <v>0.8515972472598724</v>
      </c>
      <c r="AW209" s="199">
        <v>0.8515972472598724</v>
      </c>
      <c r="AX209" s="199">
        <v>0.8515972472598724</v>
      </c>
      <c r="AY209" s="200">
        <v>0.8515972472598724</v>
      </c>
      <c r="BA209" s="34" t="str">
        <f t="shared" ca="1" si="54"/>
        <v>Southern</v>
      </c>
      <c r="BB209" s="34" t="str">
        <f t="shared" si="55"/>
        <v>Fixed Inputs</v>
      </c>
      <c r="BC209" s="34" t="str">
        <f t="shared" si="56"/>
        <v>Variant allowances</v>
      </c>
      <c r="BD209" s="34" t="str">
        <f t="shared" si="57"/>
        <v>Totex variant allowances allocation percentages</v>
      </c>
    </row>
    <row r="210" spans="5:56" x14ac:dyDescent="0.35">
      <c r="E210" s="187" t="str" cm="1">
        <f t="array" ref="E210">INDEX($E$99:$E$202,INT((ROW()-ROW($E$205))/5)+1)</f>
        <v>PCD_Cyber PCDs</v>
      </c>
      <c r="F210" s="188"/>
      <c r="G210" s="188" t="s">
        <v>109</v>
      </c>
      <c r="H210" s="188" t="s">
        <v>168</v>
      </c>
      <c r="I210" s="188"/>
      <c r="J210" s="188"/>
      <c r="K210" s="188"/>
      <c r="L210" s="188"/>
      <c r="M210" s="188"/>
      <c r="N210" s="188"/>
      <c r="O210" s="188"/>
      <c r="P210" s="188"/>
      <c r="Q210" s="188"/>
      <c r="R210" s="188"/>
      <c r="S210" s="188"/>
      <c r="T210" s="188"/>
      <c r="U210" s="188"/>
      <c r="V210" s="188"/>
      <c r="W210" s="188"/>
      <c r="X210" s="188"/>
      <c r="Y210" s="188"/>
      <c r="Z210" s="188"/>
      <c r="AA210" s="188"/>
      <c r="AB210" s="188"/>
      <c r="AC210" s="188"/>
      <c r="AD210" s="188"/>
      <c r="AE210" s="188"/>
      <c r="AF210" s="188"/>
      <c r="AG210" s="188"/>
      <c r="AH210" s="188"/>
      <c r="AI210" s="188"/>
      <c r="AJ210" s="188"/>
      <c r="AK210" s="188"/>
      <c r="AL210" s="188"/>
      <c r="AM210" s="188"/>
      <c r="AN210" s="188"/>
      <c r="AO210" s="188"/>
      <c r="AP210" s="188"/>
      <c r="AQ210" s="188"/>
      <c r="AR210" s="188"/>
      <c r="AS210" s="188"/>
      <c r="AT210" s="202"/>
      <c r="AU210" s="190"/>
      <c r="AV210" s="191">
        <v>0</v>
      </c>
      <c r="AW210" s="191">
        <v>0</v>
      </c>
      <c r="AX210" s="191">
        <v>0</v>
      </c>
      <c r="AY210" s="192">
        <v>0</v>
      </c>
      <c r="BA210" s="34" t="str">
        <f t="shared" ca="1" si="54"/>
        <v>Southern</v>
      </c>
      <c r="BB210" s="34" t="str">
        <f t="shared" si="55"/>
        <v>Fixed Inputs</v>
      </c>
      <c r="BC210" s="34" t="str">
        <f t="shared" si="56"/>
        <v>Variant allowances</v>
      </c>
      <c r="BD210" s="34" t="str">
        <f t="shared" si="57"/>
        <v>Totex variant allowances allocation percentages</v>
      </c>
    </row>
    <row r="211" spans="5:56" x14ac:dyDescent="0.35">
      <c r="E211" s="193" t="str" cm="1">
        <f t="array" ref="E211">INDEX($E$99:$E$202,INT((ROW()-ROW($E$205))/5)+1)</f>
        <v>PCD_Cyber PCDs</v>
      </c>
      <c r="G211" s="33" t="s">
        <v>109</v>
      </c>
      <c r="H211" s="33" t="s">
        <v>169</v>
      </c>
      <c r="AU211" s="140">
        <v>0.282008718503301</v>
      </c>
      <c r="AV211" s="23">
        <v>0.282008718503301</v>
      </c>
      <c r="AW211" s="23">
        <v>0.282008718503301</v>
      </c>
      <c r="AX211" s="23">
        <v>0.282008718503301</v>
      </c>
      <c r="AY211" s="194">
        <v>0.282008718503301</v>
      </c>
      <c r="BA211" s="34" t="str">
        <f t="shared" ca="1" si="54"/>
        <v>Southern</v>
      </c>
      <c r="BB211" s="34" t="str">
        <f t="shared" si="55"/>
        <v>Fixed Inputs</v>
      </c>
      <c r="BC211" s="34" t="str">
        <f t="shared" si="56"/>
        <v>Variant allowances</v>
      </c>
      <c r="BD211" s="34" t="str">
        <f t="shared" si="57"/>
        <v>Totex variant allowances allocation percentages</v>
      </c>
    </row>
    <row r="212" spans="5:56" x14ac:dyDescent="0.35">
      <c r="E212" s="193" t="str" cm="1">
        <f t="array" ref="E212">INDEX($E$99:$E$202,INT((ROW()-ROW($E$205))/5)+1)</f>
        <v>PCD_Cyber PCDs</v>
      </c>
      <c r="G212" s="33" t="s">
        <v>109</v>
      </c>
      <c r="H212" s="33" t="s">
        <v>170</v>
      </c>
      <c r="AU212" s="140">
        <v>0.717991281496699</v>
      </c>
      <c r="AV212" s="23">
        <v>0.717991281496699</v>
      </c>
      <c r="AW212" s="23">
        <v>0.717991281496699</v>
      </c>
      <c r="AX212" s="23">
        <v>0.717991281496699</v>
      </c>
      <c r="AY212" s="194">
        <v>0.717991281496699</v>
      </c>
      <c r="BA212" s="34" t="str">
        <f t="shared" ca="1" si="54"/>
        <v>Southern</v>
      </c>
      <c r="BB212" s="34" t="str">
        <f t="shared" si="55"/>
        <v>Fixed Inputs</v>
      </c>
      <c r="BC212" s="34" t="str">
        <f t="shared" si="56"/>
        <v>Variant allowances</v>
      </c>
      <c r="BD212" s="34" t="str">
        <f t="shared" si="57"/>
        <v>Totex variant allowances allocation percentages</v>
      </c>
    </row>
    <row r="213" spans="5:56" x14ac:dyDescent="0.35">
      <c r="E213" s="193" t="str" cm="1">
        <f t="array" ref="E213">INDEX($E$99:$E$202,INT((ROW()-ROW($E$205))/5)+1)</f>
        <v>PCD_Cyber PCDs</v>
      </c>
      <c r="G213" s="33" t="s">
        <v>109</v>
      </c>
      <c r="H213" s="33" t="s">
        <v>171</v>
      </c>
      <c r="AU213" s="140"/>
      <c r="AV213" s="23">
        <v>0</v>
      </c>
      <c r="AW213" s="23">
        <v>0</v>
      </c>
      <c r="AX213" s="23">
        <v>0</v>
      </c>
      <c r="AY213" s="194">
        <v>0</v>
      </c>
      <c r="BA213" s="34" t="str">
        <f t="shared" ca="1" si="54"/>
        <v>Southern</v>
      </c>
      <c r="BB213" s="34" t="str">
        <f t="shared" si="55"/>
        <v>Fixed Inputs</v>
      </c>
      <c r="BC213" s="34" t="str">
        <f t="shared" si="56"/>
        <v>Variant allowances</v>
      </c>
      <c r="BD213" s="34" t="str">
        <f t="shared" si="57"/>
        <v>Totex variant allowances allocation percentages</v>
      </c>
    </row>
    <row r="214" spans="5:56" x14ac:dyDescent="0.35">
      <c r="E214" s="195" t="str" cm="1">
        <f t="array" ref="E214">INDEX($E$99:$E$202,INT((ROW()-ROW($E$205))/5)+1)</f>
        <v>PCD_Cyber PCDs</v>
      </c>
      <c r="F214" s="196"/>
      <c r="G214" s="196" t="s">
        <v>109</v>
      </c>
      <c r="H214" s="196" t="s">
        <v>172</v>
      </c>
      <c r="I214" s="196"/>
      <c r="J214" s="196"/>
      <c r="K214" s="196"/>
      <c r="L214" s="196"/>
      <c r="M214" s="196"/>
      <c r="N214" s="196"/>
      <c r="O214" s="196"/>
      <c r="P214" s="196"/>
      <c r="Q214" s="196"/>
      <c r="R214" s="196"/>
      <c r="S214" s="196"/>
      <c r="T214" s="196"/>
      <c r="U214" s="196"/>
      <c r="V214" s="196"/>
      <c r="W214" s="196"/>
      <c r="X214" s="196"/>
      <c r="Y214" s="196"/>
      <c r="Z214" s="196"/>
      <c r="AA214" s="196"/>
      <c r="AB214" s="196"/>
      <c r="AC214" s="196"/>
      <c r="AD214" s="196"/>
      <c r="AE214" s="196"/>
      <c r="AF214" s="196"/>
      <c r="AG214" s="196"/>
      <c r="AH214" s="196"/>
      <c r="AI214" s="196"/>
      <c r="AJ214" s="196"/>
      <c r="AK214" s="196"/>
      <c r="AL214" s="196"/>
      <c r="AM214" s="196"/>
      <c r="AN214" s="196"/>
      <c r="AO214" s="196"/>
      <c r="AP214" s="196"/>
      <c r="AQ214" s="196"/>
      <c r="AR214" s="196"/>
      <c r="AS214" s="196"/>
      <c r="AT214" s="208"/>
      <c r="AU214" s="198"/>
      <c r="AV214" s="199">
        <v>0</v>
      </c>
      <c r="AW214" s="199">
        <v>0</v>
      </c>
      <c r="AX214" s="199">
        <v>0</v>
      </c>
      <c r="AY214" s="200">
        <v>0</v>
      </c>
      <c r="BA214" s="34" t="str">
        <f t="shared" ca="1" si="54"/>
        <v>Southern</v>
      </c>
      <c r="BB214" s="34" t="str">
        <f t="shared" si="55"/>
        <v>Fixed Inputs</v>
      </c>
      <c r="BC214" s="34" t="str">
        <f t="shared" si="56"/>
        <v>Variant allowances</v>
      </c>
      <c r="BD214" s="34" t="str">
        <f t="shared" si="57"/>
        <v>Totex variant allowances allocation percentages</v>
      </c>
    </row>
    <row r="215" spans="5:56" x14ac:dyDescent="0.35">
      <c r="E215" s="187" t="str" cm="1">
        <f t="array" ref="E215">INDEX($E$99:$E$202,INT((ROW()-ROW($E$205))/5)+1)</f>
        <v>PCD_Flow Weighted Average Calorific Value Compliance (Cadent_all) / FWACV Compliance (Cadent_all)</v>
      </c>
      <c r="F215" s="188"/>
      <c r="G215" s="188" t="s">
        <v>109</v>
      </c>
      <c r="H215" s="188" t="s">
        <v>168</v>
      </c>
      <c r="I215" s="188"/>
      <c r="J215" s="188"/>
      <c r="K215" s="188"/>
      <c r="L215" s="188"/>
      <c r="M215" s="188"/>
      <c r="N215" s="188"/>
      <c r="O215" s="188"/>
      <c r="P215" s="188"/>
      <c r="Q215" s="188"/>
      <c r="R215" s="188"/>
      <c r="S215" s="188"/>
      <c r="T215" s="188"/>
      <c r="U215" s="188"/>
      <c r="V215" s="188"/>
      <c r="W215" s="188"/>
      <c r="X215" s="188"/>
      <c r="Y215" s="188"/>
      <c r="Z215" s="188"/>
      <c r="AA215" s="188"/>
      <c r="AB215" s="188"/>
      <c r="AC215" s="188"/>
      <c r="AD215" s="188"/>
      <c r="AE215" s="188"/>
      <c r="AF215" s="188"/>
      <c r="AG215" s="188"/>
      <c r="AH215" s="188"/>
      <c r="AI215" s="188"/>
      <c r="AJ215" s="188"/>
      <c r="AK215" s="188"/>
      <c r="AL215" s="188"/>
      <c r="AM215" s="188"/>
      <c r="AN215" s="188"/>
      <c r="AO215" s="188"/>
      <c r="AP215" s="188"/>
      <c r="AQ215" s="188"/>
      <c r="AR215" s="188"/>
      <c r="AS215" s="188"/>
      <c r="AT215" s="202"/>
      <c r="AU215" s="190">
        <v>0</v>
      </c>
      <c r="AV215" s="191">
        <v>0</v>
      </c>
      <c r="AW215" s="191">
        <v>0</v>
      </c>
      <c r="AX215" s="191">
        <v>0</v>
      </c>
      <c r="AY215" s="192">
        <v>0</v>
      </c>
      <c r="BA215" s="34" t="str">
        <f t="shared" ca="1" si="54"/>
        <v>Southern</v>
      </c>
      <c r="BB215" s="34" t="str">
        <f t="shared" si="55"/>
        <v>Fixed Inputs</v>
      </c>
      <c r="BC215" s="34" t="str">
        <f t="shared" si="56"/>
        <v>Variant allowances</v>
      </c>
      <c r="BD215" s="34" t="str">
        <f t="shared" si="57"/>
        <v>Totex variant allowances allocation percentages</v>
      </c>
    </row>
    <row r="216" spans="5:56" x14ac:dyDescent="0.35">
      <c r="E216" s="193" t="str" cm="1">
        <f t="array" ref="E216">INDEX($E$99:$E$202,INT((ROW()-ROW($E$205))/5)+1)</f>
        <v>PCD_Flow Weighted Average Calorific Value Compliance (Cadent_all) / FWACV Compliance (Cadent_all)</v>
      </c>
      <c r="G216" s="33" t="s">
        <v>109</v>
      </c>
      <c r="H216" s="33" t="s">
        <v>169</v>
      </c>
      <c r="AU216" s="140">
        <v>1</v>
      </c>
      <c r="AV216" s="23">
        <v>1</v>
      </c>
      <c r="AW216" s="23">
        <v>1</v>
      </c>
      <c r="AX216" s="23">
        <v>1</v>
      </c>
      <c r="AY216" s="194">
        <v>1</v>
      </c>
      <c r="BA216" s="34" t="str">
        <f t="shared" ca="1" si="54"/>
        <v>Southern</v>
      </c>
      <c r="BB216" s="34" t="str">
        <f t="shared" si="55"/>
        <v>Fixed Inputs</v>
      </c>
      <c r="BC216" s="34" t="str">
        <f t="shared" si="56"/>
        <v>Variant allowances</v>
      </c>
      <c r="BD216" s="34" t="str">
        <f t="shared" si="57"/>
        <v>Totex variant allowances allocation percentages</v>
      </c>
    </row>
    <row r="217" spans="5:56" x14ac:dyDescent="0.35">
      <c r="E217" s="193" t="str" cm="1">
        <f t="array" ref="E217">INDEX($E$99:$E$202,INT((ROW()-ROW($E$205))/5)+1)</f>
        <v>PCD_Flow Weighted Average Calorific Value Compliance (Cadent_all) / FWACV Compliance (Cadent_all)</v>
      </c>
      <c r="G217" s="33" t="s">
        <v>109</v>
      </c>
      <c r="H217" s="33" t="s">
        <v>170</v>
      </c>
      <c r="AU217" s="140">
        <v>0</v>
      </c>
      <c r="AV217" s="23">
        <v>0</v>
      </c>
      <c r="AW217" s="23">
        <v>0</v>
      </c>
      <c r="AX217" s="23">
        <v>0</v>
      </c>
      <c r="AY217" s="194">
        <v>0</v>
      </c>
      <c r="BA217" s="34" t="str">
        <f t="shared" ca="1" si="54"/>
        <v>Southern</v>
      </c>
      <c r="BB217" s="34" t="str">
        <f t="shared" si="55"/>
        <v>Fixed Inputs</v>
      </c>
      <c r="BC217" s="34" t="str">
        <f t="shared" si="56"/>
        <v>Variant allowances</v>
      </c>
      <c r="BD217" s="34" t="str">
        <f t="shared" si="57"/>
        <v>Totex variant allowances allocation percentages</v>
      </c>
    </row>
    <row r="218" spans="5:56" x14ac:dyDescent="0.35">
      <c r="E218" s="193" t="str" cm="1">
        <f t="array" ref="E218">INDEX($E$99:$E$202,INT((ROW()-ROW($E$205))/5)+1)</f>
        <v>PCD_Flow Weighted Average Calorific Value Compliance (Cadent_all) / FWACV Compliance (Cadent_all)</v>
      </c>
      <c r="G218" s="33" t="s">
        <v>109</v>
      </c>
      <c r="H218" s="33" t="s">
        <v>171</v>
      </c>
      <c r="AU218" s="140">
        <v>0</v>
      </c>
      <c r="AV218" s="23">
        <v>0</v>
      </c>
      <c r="AW218" s="23">
        <v>0</v>
      </c>
      <c r="AX218" s="23">
        <v>0</v>
      </c>
      <c r="AY218" s="194">
        <v>0</v>
      </c>
      <c r="BA218" s="34" t="str">
        <f t="shared" ca="1" si="54"/>
        <v>Southern</v>
      </c>
      <c r="BB218" s="34" t="str">
        <f t="shared" si="55"/>
        <v>Fixed Inputs</v>
      </c>
      <c r="BC218" s="34" t="str">
        <f t="shared" si="56"/>
        <v>Variant allowances</v>
      </c>
      <c r="BD218" s="34" t="str">
        <f t="shared" si="57"/>
        <v>Totex variant allowances allocation percentages</v>
      </c>
    </row>
    <row r="219" spans="5:56" x14ac:dyDescent="0.35">
      <c r="E219" s="195" t="str" cm="1">
        <f t="array" ref="E219">INDEX($E$99:$E$202,INT((ROW()-ROW($E$205))/5)+1)</f>
        <v>PCD_Flow Weighted Average Calorific Value Compliance (Cadent_all) / FWACV Compliance (Cadent_all)</v>
      </c>
      <c r="F219" s="196"/>
      <c r="G219" s="196" t="s">
        <v>109</v>
      </c>
      <c r="H219" s="196" t="s">
        <v>172</v>
      </c>
      <c r="I219" s="196"/>
      <c r="J219" s="196"/>
      <c r="K219" s="196"/>
      <c r="L219" s="196"/>
      <c r="M219" s="196"/>
      <c r="N219" s="196"/>
      <c r="O219" s="196"/>
      <c r="P219" s="196"/>
      <c r="Q219" s="196"/>
      <c r="R219" s="196"/>
      <c r="S219" s="196"/>
      <c r="T219" s="196"/>
      <c r="U219" s="196"/>
      <c r="V219" s="196"/>
      <c r="W219" s="196"/>
      <c r="X219" s="196"/>
      <c r="Y219" s="196"/>
      <c r="Z219" s="196"/>
      <c r="AA219" s="196"/>
      <c r="AB219" s="196"/>
      <c r="AC219" s="196"/>
      <c r="AD219" s="196"/>
      <c r="AE219" s="196"/>
      <c r="AF219" s="196"/>
      <c r="AG219" s="196"/>
      <c r="AH219" s="196"/>
      <c r="AI219" s="196"/>
      <c r="AJ219" s="196"/>
      <c r="AK219" s="196"/>
      <c r="AL219" s="196"/>
      <c r="AM219" s="196"/>
      <c r="AN219" s="196"/>
      <c r="AO219" s="196"/>
      <c r="AP219" s="196"/>
      <c r="AQ219" s="196"/>
      <c r="AR219" s="196"/>
      <c r="AS219" s="196"/>
      <c r="AT219" s="208"/>
      <c r="AU219" s="198">
        <v>0</v>
      </c>
      <c r="AV219" s="199">
        <v>0</v>
      </c>
      <c r="AW219" s="199">
        <v>0</v>
      </c>
      <c r="AX219" s="199">
        <v>0</v>
      </c>
      <c r="AY219" s="200">
        <v>0</v>
      </c>
      <c r="BA219" s="34" t="str">
        <f t="shared" ca="1" si="54"/>
        <v>Southern</v>
      </c>
      <c r="BB219" s="34" t="str">
        <f t="shared" si="55"/>
        <v>Fixed Inputs</v>
      </c>
      <c r="BC219" s="34" t="str">
        <f t="shared" si="56"/>
        <v>Variant allowances</v>
      </c>
      <c r="BD219" s="34" t="str">
        <f t="shared" si="57"/>
        <v>Totex variant allowances allocation percentages</v>
      </c>
    </row>
    <row r="220" spans="5:56" x14ac:dyDescent="0.35">
      <c r="E220" s="187" t="str" cm="1">
        <f t="array" ref="E220">INDEX($E$99:$E$202,INT((ROW()-ROW($E$205))/5)+1)</f>
        <v>PCD_Grays medium pressure (Cadent_Lon)</v>
      </c>
      <c r="F220" s="188"/>
      <c r="G220" s="188" t="s">
        <v>109</v>
      </c>
      <c r="H220" s="188" t="s">
        <v>168</v>
      </c>
      <c r="I220" s="188"/>
      <c r="J220" s="188"/>
      <c r="K220" s="188"/>
      <c r="L220" s="188"/>
      <c r="M220" s="188"/>
      <c r="N220" s="188"/>
      <c r="O220" s="188"/>
      <c r="P220" s="188"/>
      <c r="Q220" s="188"/>
      <c r="R220" s="188"/>
      <c r="S220" s="188"/>
      <c r="T220" s="188"/>
      <c r="U220" s="188"/>
      <c r="V220" s="188"/>
      <c r="W220" s="188"/>
      <c r="X220" s="188"/>
      <c r="Y220" s="188"/>
      <c r="Z220" s="188"/>
      <c r="AA220" s="188"/>
      <c r="AB220" s="188"/>
      <c r="AC220" s="188"/>
      <c r="AD220" s="188"/>
      <c r="AE220" s="188"/>
      <c r="AF220" s="188"/>
      <c r="AG220" s="188"/>
      <c r="AH220" s="188"/>
      <c r="AI220" s="188"/>
      <c r="AJ220" s="188"/>
      <c r="AK220" s="188"/>
      <c r="AL220" s="188"/>
      <c r="AM220" s="188"/>
      <c r="AN220" s="188"/>
      <c r="AO220" s="188"/>
      <c r="AP220" s="188"/>
      <c r="AQ220" s="188"/>
      <c r="AR220" s="188"/>
      <c r="AS220" s="188"/>
      <c r="AT220" s="202"/>
      <c r="AU220" s="190">
        <v>0</v>
      </c>
      <c r="AV220" s="191">
        <v>0</v>
      </c>
      <c r="AW220" s="191">
        <v>0</v>
      </c>
      <c r="AX220" s="191">
        <v>0</v>
      </c>
      <c r="AY220" s="192">
        <v>0</v>
      </c>
      <c r="BA220" s="34" t="str">
        <f t="shared" ca="1" si="54"/>
        <v>Southern</v>
      </c>
      <c r="BB220" s="34" t="str">
        <f t="shared" si="55"/>
        <v>Fixed Inputs</v>
      </c>
      <c r="BC220" s="34" t="str">
        <f t="shared" si="56"/>
        <v>Variant allowances</v>
      </c>
      <c r="BD220" s="34" t="str">
        <f t="shared" si="57"/>
        <v>Totex variant allowances allocation percentages</v>
      </c>
    </row>
    <row r="221" spans="5:56" x14ac:dyDescent="0.35">
      <c r="E221" s="193" t="str" cm="1">
        <f t="array" ref="E221">INDEX($E$99:$E$202,INT((ROW()-ROW($E$205))/5)+1)</f>
        <v>PCD_Grays medium pressure (Cadent_Lon)</v>
      </c>
      <c r="G221" s="33" t="s">
        <v>109</v>
      </c>
      <c r="H221" s="33" t="s">
        <v>169</v>
      </c>
      <c r="AU221" s="140">
        <v>6.3919869632148518E-2</v>
      </c>
      <c r="AV221" s="23">
        <v>6.3919869632148518E-2</v>
      </c>
      <c r="AW221" s="23">
        <v>6.3919869632148518E-2</v>
      </c>
      <c r="AX221" s="23">
        <v>6.3919869632148518E-2</v>
      </c>
      <c r="AY221" s="194">
        <v>6.3919869632148518E-2</v>
      </c>
      <c r="BA221" s="34" t="str">
        <f t="shared" ca="1" si="54"/>
        <v>Southern</v>
      </c>
      <c r="BB221" s="34" t="str">
        <f t="shared" si="55"/>
        <v>Fixed Inputs</v>
      </c>
      <c r="BC221" s="34" t="str">
        <f t="shared" si="56"/>
        <v>Variant allowances</v>
      </c>
      <c r="BD221" s="34" t="str">
        <f t="shared" si="57"/>
        <v>Totex variant allowances allocation percentages</v>
      </c>
    </row>
    <row r="222" spans="5:56" x14ac:dyDescent="0.35">
      <c r="E222" s="193" t="str" cm="1">
        <f t="array" ref="E222">INDEX($E$99:$E$202,INT((ROW()-ROW($E$205))/5)+1)</f>
        <v>PCD_Grays medium pressure (Cadent_Lon)</v>
      </c>
      <c r="G222" s="33" t="s">
        <v>109</v>
      </c>
      <c r="H222" s="33" t="s">
        <v>170</v>
      </c>
      <c r="AU222" s="140">
        <v>0</v>
      </c>
      <c r="AV222" s="23">
        <v>0</v>
      </c>
      <c r="AW222" s="23">
        <v>0</v>
      </c>
      <c r="AX222" s="23">
        <v>0</v>
      </c>
      <c r="AY222" s="194">
        <v>0</v>
      </c>
      <c r="BA222" s="34" t="str">
        <f t="shared" ca="1" si="54"/>
        <v>Southern</v>
      </c>
      <c r="BB222" s="34" t="str">
        <f t="shared" si="55"/>
        <v>Fixed Inputs</v>
      </c>
      <c r="BC222" s="34" t="str">
        <f t="shared" si="56"/>
        <v>Variant allowances</v>
      </c>
      <c r="BD222" s="34" t="str">
        <f t="shared" si="57"/>
        <v>Totex variant allowances allocation percentages</v>
      </c>
    </row>
    <row r="223" spans="5:56" x14ac:dyDescent="0.35">
      <c r="E223" s="193" t="str" cm="1">
        <f t="array" ref="E223">INDEX($E$99:$E$202,INT((ROW()-ROW($E$205))/5)+1)</f>
        <v>PCD_Grays medium pressure (Cadent_Lon)</v>
      </c>
      <c r="G223" s="33" t="s">
        <v>109</v>
      </c>
      <c r="H223" s="33" t="s">
        <v>171</v>
      </c>
      <c r="AU223" s="140">
        <v>0</v>
      </c>
      <c r="AV223" s="23">
        <v>0</v>
      </c>
      <c r="AW223" s="23">
        <v>0</v>
      </c>
      <c r="AX223" s="23">
        <v>0</v>
      </c>
      <c r="AY223" s="194">
        <v>0</v>
      </c>
      <c r="BA223" s="34" t="str">
        <f t="shared" ca="1" si="54"/>
        <v>Southern</v>
      </c>
      <c r="BB223" s="34" t="str">
        <f t="shared" si="55"/>
        <v>Fixed Inputs</v>
      </c>
      <c r="BC223" s="34" t="str">
        <f t="shared" si="56"/>
        <v>Variant allowances</v>
      </c>
      <c r="BD223" s="34" t="str">
        <f t="shared" si="57"/>
        <v>Totex variant allowances allocation percentages</v>
      </c>
    </row>
    <row r="224" spans="5:56" x14ac:dyDescent="0.35">
      <c r="E224" s="195" t="str" cm="1">
        <f t="array" ref="E224">INDEX($E$99:$E$202,INT((ROW()-ROW($E$205))/5)+1)</f>
        <v>PCD_Grays medium pressure (Cadent_Lon)</v>
      </c>
      <c r="F224" s="196"/>
      <c r="G224" s="196" t="s">
        <v>109</v>
      </c>
      <c r="H224" s="196" t="s">
        <v>172</v>
      </c>
      <c r="I224" s="196"/>
      <c r="J224" s="196"/>
      <c r="K224" s="196"/>
      <c r="L224" s="196"/>
      <c r="M224" s="196"/>
      <c r="N224" s="196"/>
      <c r="O224" s="196"/>
      <c r="P224" s="196"/>
      <c r="Q224" s="196"/>
      <c r="R224" s="196"/>
      <c r="S224" s="196"/>
      <c r="T224" s="196"/>
      <c r="U224" s="196"/>
      <c r="V224" s="196"/>
      <c r="W224" s="196"/>
      <c r="X224" s="196"/>
      <c r="Y224" s="196"/>
      <c r="Z224" s="196"/>
      <c r="AA224" s="196"/>
      <c r="AB224" s="196"/>
      <c r="AC224" s="196"/>
      <c r="AD224" s="196"/>
      <c r="AE224" s="196"/>
      <c r="AF224" s="196"/>
      <c r="AG224" s="196"/>
      <c r="AH224" s="196"/>
      <c r="AI224" s="196"/>
      <c r="AJ224" s="196"/>
      <c r="AK224" s="196"/>
      <c r="AL224" s="196"/>
      <c r="AM224" s="196"/>
      <c r="AN224" s="196"/>
      <c r="AO224" s="196"/>
      <c r="AP224" s="196"/>
      <c r="AQ224" s="196"/>
      <c r="AR224" s="196"/>
      <c r="AS224" s="196"/>
      <c r="AT224" s="208"/>
      <c r="AU224" s="198">
        <v>0.93608013036785143</v>
      </c>
      <c r="AV224" s="199">
        <v>0.93608013036785143</v>
      </c>
      <c r="AW224" s="199">
        <v>0.93608013036785143</v>
      </c>
      <c r="AX224" s="199">
        <v>0.93608013036785143</v>
      </c>
      <c r="AY224" s="200">
        <v>0.93608013036785143</v>
      </c>
      <c r="BA224" s="34" t="str">
        <f t="shared" ca="1" si="54"/>
        <v>Southern</v>
      </c>
      <c r="BB224" s="34" t="str">
        <f t="shared" si="55"/>
        <v>Fixed Inputs</v>
      </c>
      <c r="BC224" s="34" t="str">
        <f t="shared" si="56"/>
        <v>Variant allowances</v>
      </c>
      <c r="BD224" s="34" t="str">
        <f t="shared" si="57"/>
        <v>Totex variant allowances allocation percentages</v>
      </c>
    </row>
    <row r="225" spans="5:56" x14ac:dyDescent="0.35">
      <c r="E225" s="187" t="str" cm="1">
        <f t="array" ref="E225">INDEX($E$99:$E$202,INT((ROW()-ROW($E$205))/5)+1)</f>
        <v>PCD_Welling PRS - Full Site Rebuild  (SGN_So) / Full site and system rebuilds PCD (SGN)</v>
      </c>
      <c r="F225" s="188"/>
      <c r="G225" s="188" t="s">
        <v>109</v>
      </c>
      <c r="H225" s="188" t="s">
        <v>168</v>
      </c>
      <c r="I225" s="188"/>
      <c r="J225" s="188"/>
      <c r="K225" s="188"/>
      <c r="L225" s="188"/>
      <c r="M225" s="188"/>
      <c r="N225" s="188"/>
      <c r="O225" s="188"/>
      <c r="P225" s="188"/>
      <c r="Q225" s="188"/>
      <c r="R225" s="188"/>
      <c r="S225" s="188"/>
      <c r="T225" s="188"/>
      <c r="U225" s="188"/>
      <c r="V225" s="188"/>
      <c r="W225" s="188"/>
      <c r="X225" s="188"/>
      <c r="Y225" s="188"/>
      <c r="Z225" s="188"/>
      <c r="AA225" s="188"/>
      <c r="AB225" s="188"/>
      <c r="AC225" s="188"/>
      <c r="AD225" s="188"/>
      <c r="AE225" s="188"/>
      <c r="AF225" s="188"/>
      <c r="AG225" s="188"/>
      <c r="AH225" s="188"/>
      <c r="AI225" s="188"/>
      <c r="AJ225" s="188"/>
      <c r="AK225" s="188"/>
      <c r="AL225" s="188"/>
      <c r="AM225" s="188"/>
      <c r="AN225" s="188"/>
      <c r="AO225" s="188"/>
      <c r="AP225" s="188"/>
      <c r="AQ225" s="188"/>
      <c r="AR225" s="188"/>
      <c r="AS225" s="188"/>
      <c r="AT225" s="202"/>
      <c r="AU225" s="190">
        <v>0</v>
      </c>
      <c r="AV225" s="191">
        <v>0</v>
      </c>
      <c r="AW225" s="191">
        <v>0</v>
      </c>
      <c r="AX225" s="191">
        <v>0</v>
      </c>
      <c r="AY225" s="192">
        <v>0</v>
      </c>
      <c r="BA225" s="34" t="str">
        <f t="shared" ca="1" si="54"/>
        <v>Southern</v>
      </c>
      <c r="BB225" s="34" t="str">
        <f t="shared" si="55"/>
        <v>Fixed Inputs</v>
      </c>
      <c r="BC225" s="34" t="str">
        <f t="shared" si="56"/>
        <v>Variant allowances</v>
      </c>
      <c r="BD225" s="34" t="str">
        <f t="shared" si="57"/>
        <v>Totex variant allowances allocation percentages</v>
      </c>
    </row>
    <row r="226" spans="5:56" x14ac:dyDescent="0.35">
      <c r="E226" s="193" t="str" cm="1">
        <f t="array" ref="E226">INDEX($E$99:$E$202,INT((ROW()-ROW($E$205))/5)+1)</f>
        <v>PCD_Welling PRS - Full Site Rebuild  (SGN_So) / Full site and system rebuilds PCD (SGN)</v>
      </c>
      <c r="G226" s="33" t="s">
        <v>109</v>
      </c>
      <c r="H226" s="33" t="s">
        <v>169</v>
      </c>
      <c r="AU226" s="140">
        <v>1</v>
      </c>
      <c r="AV226" s="23">
        <v>1</v>
      </c>
      <c r="AW226" s="23">
        <v>1</v>
      </c>
      <c r="AX226" s="23">
        <v>1</v>
      </c>
      <c r="AY226" s="194">
        <v>1</v>
      </c>
      <c r="BA226" s="34" t="str">
        <f t="shared" ca="1" si="54"/>
        <v>Southern</v>
      </c>
      <c r="BB226" s="34" t="str">
        <f t="shared" si="55"/>
        <v>Fixed Inputs</v>
      </c>
      <c r="BC226" s="34" t="str">
        <f t="shared" si="56"/>
        <v>Variant allowances</v>
      </c>
      <c r="BD226" s="34" t="str">
        <f t="shared" si="57"/>
        <v>Totex variant allowances allocation percentages</v>
      </c>
    </row>
    <row r="227" spans="5:56" x14ac:dyDescent="0.35">
      <c r="E227" s="193" t="str" cm="1">
        <f t="array" ref="E227">INDEX($E$99:$E$202,INT((ROW()-ROW($E$205))/5)+1)</f>
        <v>PCD_Welling PRS - Full Site Rebuild  (SGN_So) / Full site and system rebuilds PCD (SGN)</v>
      </c>
      <c r="G227" s="33" t="s">
        <v>109</v>
      </c>
      <c r="H227" s="33" t="s">
        <v>170</v>
      </c>
      <c r="AU227" s="140">
        <v>0</v>
      </c>
      <c r="AV227" s="23">
        <v>0</v>
      </c>
      <c r="AW227" s="23">
        <v>0</v>
      </c>
      <c r="AX227" s="23">
        <v>0</v>
      </c>
      <c r="AY227" s="194">
        <v>0</v>
      </c>
      <c r="BA227" s="34" t="str">
        <f t="shared" ca="1" si="54"/>
        <v>Southern</v>
      </c>
      <c r="BB227" s="34" t="str">
        <f t="shared" si="55"/>
        <v>Fixed Inputs</v>
      </c>
      <c r="BC227" s="34" t="str">
        <f t="shared" si="56"/>
        <v>Variant allowances</v>
      </c>
      <c r="BD227" s="34" t="str">
        <f t="shared" si="57"/>
        <v>Totex variant allowances allocation percentages</v>
      </c>
    </row>
    <row r="228" spans="5:56" x14ac:dyDescent="0.35">
      <c r="E228" s="193" t="str" cm="1">
        <f t="array" ref="E228">INDEX($E$99:$E$202,INT((ROW()-ROW($E$205))/5)+1)</f>
        <v>PCD_Welling PRS - Full Site Rebuild  (SGN_So) / Full site and system rebuilds PCD (SGN)</v>
      </c>
      <c r="G228" s="33" t="s">
        <v>109</v>
      </c>
      <c r="H228" s="33" t="s">
        <v>171</v>
      </c>
      <c r="AU228" s="140">
        <v>0</v>
      </c>
      <c r="AV228" s="23">
        <v>0</v>
      </c>
      <c r="AW228" s="23">
        <v>0</v>
      </c>
      <c r="AX228" s="23">
        <v>0</v>
      </c>
      <c r="AY228" s="194">
        <v>0</v>
      </c>
      <c r="BA228" s="34" t="str">
        <f t="shared" ca="1" si="54"/>
        <v>Southern</v>
      </c>
      <c r="BB228" s="34" t="str">
        <f t="shared" si="55"/>
        <v>Fixed Inputs</v>
      </c>
      <c r="BC228" s="34" t="str">
        <f t="shared" si="56"/>
        <v>Variant allowances</v>
      </c>
      <c r="BD228" s="34" t="str">
        <f t="shared" si="57"/>
        <v>Totex variant allowances allocation percentages</v>
      </c>
    </row>
    <row r="229" spans="5:56" x14ac:dyDescent="0.35">
      <c r="E229" s="195" t="str" cm="1">
        <f t="array" ref="E229">INDEX($E$99:$E$202,INT((ROW()-ROW($E$205))/5)+1)</f>
        <v>PCD_Welling PRS - Full Site Rebuild  (SGN_So) / Full site and system rebuilds PCD (SGN)</v>
      </c>
      <c r="F229" s="196"/>
      <c r="G229" s="196" t="s">
        <v>109</v>
      </c>
      <c r="H229" s="196" t="s">
        <v>172</v>
      </c>
      <c r="I229" s="196"/>
      <c r="J229" s="196"/>
      <c r="K229" s="196"/>
      <c r="L229" s="196"/>
      <c r="M229" s="196"/>
      <c r="N229" s="196"/>
      <c r="O229" s="196"/>
      <c r="P229" s="196"/>
      <c r="Q229" s="196"/>
      <c r="R229" s="196"/>
      <c r="S229" s="196"/>
      <c r="T229" s="196"/>
      <c r="U229" s="196"/>
      <c r="V229" s="196"/>
      <c r="W229" s="196"/>
      <c r="X229" s="196"/>
      <c r="Y229" s="196"/>
      <c r="Z229" s="196"/>
      <c r="AA229" s="196"/>
      <c r="AB229" s="196"/>
      <c r="AC229" s="196"/>
      <c r="AD229" s="196"/>
      <c r="AE229" s="196"/>
      <c r="AF229" s="196"/>
      <c r="AG229" s="196"/>
      <c r="AH229" s="196"/>
      <c r="AI229" s="196"/>
      <c r="AJ229" s="196"/>
      <c r="AK229" s="196"/>
      <c r="AL229" s="196"/>
      <c r="AM229" s="196"/>
      <c r="AN229" s="196"/>
      <c r="AO229" s="196"/>
      <c r="AP229" s="196"/>
      <c r="AQ229" s="196"/>
      <c r="AR229" s="196"/>
      <c r="AS229" s="196"/>
      <c r="AT229" s="208"/>
      <c r="AU229" s="198">
        <v>0</v>
      </c>
      <c r="AV229" s="199">
        <v>0</v>
      </c>
      <c r="AW229" s="199">
        <v>0</v>
      </c>
      <c r="AX229" s="199">
        <v>0</v>
      </c>
      <c r="AY229" s="200">
        <v>0</v>
      </c>
      <c r="BA229" s="34" t="str">
        <f t="shared" ca="1" si="54"/>
        <v>Southern</v>
      </c>
      <c r="BB229" s="34" t="str">
        <f t="shared" si="55"/>
        <v>Fixed Inputs</v>
      </c>
      <c r="BC229" s="34" t="str">
        <f t="shared" si="56"/>
        <v>Variant allowances</v>
      </c>
      <c r="BD229" s="34" t="str">
        <f t="shared" si="57"/>
        <v>Totex variant allowances allocation percentages</v>
      </c>
    </row>
    <row r="230" spans="5:56" x14ac:dyDescent="0.35">
      <c r="E230" s="187" t="str" cm="1">
        <f t="array" ref="E230">INDEX($E$99:$E$202,INT((ROW()-ROW($E$205))/5)+1)</f>
        <v>PCD_London Medium Pressure PCD (Cadent_Lon)</v>
      </c>
      <c r="F230" s="188"/>
      <c r="G230" s="188" t="s">
        <v>109</v>
      </c>
      <c r="H230" s="188" t="s">
        <v>168</v>
      </c>
      <c r="I230" s="188"/>
      <c r="J230" s="188"/>
      <c r="K230" s="188"/>
      <c r="L230" s="188"/>
      <c r="M230" s="188"/>
      <c r="N230" s="188"/>
      <c r="O230" s="188"/>
      <c r="P230" s="188"/>
      <c r="Q230" s="188"/>
      <c r="R230" s="188"/>
      <c r="S230" s="188"/>
      <c r="T230" s="188"/>
      <c r="U230" s="188"/>
      <c r="V230" s="188"/>
      <c r="W230" s="188"/>
      <c r="X230" s="188"/>
      <c r="Y230" s="188"/>
      <c r="Z230" s="188"/>
      <c r="AA230" s="188"/>
      <c r="AB230" s="188"/>
      <c r="AC230" s="188"/>
      <c r="AD230" s="188"/>
      <c r="AE230" s="188"/>
      <c r="AF230" s="188"/>
      <c r="AG230" s="188"/>
      <c r="AH230" s="188"/>
      <c r="AI230" s="188"/>
      <c r="AJ230" s="188"/>
      <c r="AK230" s="188"/>
      <c r="AL230" s="188"/>
      <c r="AM230" s="188"/>
      <c r="AN230" s="188"/>
      <c r="AO230" s="188"/>
      <c r="AP230" s="188"/>
      <c r="AQ230" s="188"/>
      <c r="AR230" s="188"/>
      <c r="AS230" s="188"/>
      <c r="AT230" s="202"/>
      <c r="AU230" s="190">
        <v>0</v>
      </c>
      <c r="AV230" s="191">
        <v>0</v>
      </c>
      <c r="AW230" s="191">
        <v>0</v>
      </c>
      <c r="AX230" s="191">
        <v>0</v>
      </c>
      <c r="AY230" s="192">
        <v>0</v>
      </c>
      <c r="BA230" s="34" t="str">
        <f t="shared" ca="1" si="54"/>
        <v>Southern</v>
      </c>
      <c r="BB230" s="34" t="str">
        <f t="shared" si="55"/>
        <v>Fixed Inputs</v>
      </c>
      <c r="BC230" s="34" t="str">
        <f t="shared" si="56"/>
        <v>Variant allowances</v>
      </c>
      <c r="BD230" s="34" t="str">
        <f t="shared" si="57"/>
        <v>Totex variant allowances allocation percentages</v>
      </c>
    </row>
    <row r="231" spans="5:56" x14ac:dyDescent="0.35">
      <c r="E231" s="193" t="str" cm="1">
        <f t="array" ref="E231">INDEX($E$99:$E$202,INT((ROW()-ROW($E$205))/5)+1)</f>
        <v>PCD_London Medium Pressure PCD (Cadent_Lon)</v>
      </c>
      <c r="G231" s="33" t="s">
        <v>109</v>
      </c>
      <c r="H231" s="33" t="s">
        <v>169</v>
      </c>
      <c r="AU231" s="140">
        <v>0.25237712677134183</v>
      </c>
      <c r="AV231" s="23">
        <v>0.25237712677134183</v>
      </c>
      <c r="AW231" s="23">
        <v>0.25237712677134183</v>
      </c>
      <c r="AX231" s="23">
        <v>0.25237712677134183</v>
      </c>
      <c r="AY231" s="194">
        <v>0.25237712677134183</v>
      </c>
      <c r="BA231" s="34" t="str">
        <f t="shared" ca="1" si="54"/>
        <v>Southern</v>
      </c>
      <c r="BB231" s="34" t="str">
        <f t="shared" si="55"/>
        <v>Fixed Inputs</v>
      </c>
      <c r="BC231" s="34" t="str">
        <f t="shared" si="56"/>
        <v>Variant allowances</v>
      </c>
      <c r="BD231" s="34" t="str">
        <f t="shared" si="57"/>
        <v>Totex variant allowances allocation percentages</v>
      </c>
    </row>
    <row r="232" spans="5:56" x14ac:dyDescent="0.35">
      <c r="E232" s="193" t="str" cm="1">
        <f t="array" ref="E232">INDEX($E$99:$E$202,INT((ROW()-ROW($E$205))/5)+1)</f>
        <v>PCD_London Medium Pressure PCD (Cadent_Lon)</v>
      </c>
      <c r="G232" s="33" t="s">
        <v>109</v>
      </c>
      <c r="H232" s="33" t="s">
        <v>170</v>
      </c>
      <c r="AU232" s="140">
        <v>0</v>
      </c>
      <c r="AV232" s="23">
        <v>0</v>
      </c>
      <c r="AW232" s="23">
        <v>0</v>
      </c>
      <c r="AX232" s="23">
        <v>0</v>
      </c>
      <c r="AY232" s="194">
        <v>0</v>
      </c>
      <c r="BA232" s="34" t="str">
        <f t="shared" ca="1" si="54"/>
        <v>Southern</v>
      </c>
      <c r="BB232" s="34" t="str">
        <f t="shared" si="55"/>
        <v>Fixed Inputs</v>
      </c>
      <c r="BC232" s="34" t="str">
        <f t="shared" si="56"/>
        <v>Variant allowances</v>
      </c>
      <c r="BD232" s="34" t="str">
        <f t="shared" si="57"/>
        <v>Totex variant allowances allocation percentages</v>
      </c>
    </row>
    <row r="233" spans="5:56" x14ac:dyDescent="0.35">
      <c r="E233" s="193" t="str" cm="1">
        <f t="array" ref="E233">INDEX($E$99:$E$202,INT((ROW()-ROW($E$205))/5)+1)</f>
        <v>PCD_London Medium Pressure PCD (Cadent_Lon)</v>
      </c>
      <c r="G233" s="33" t="s">
        <v>109</v>
      </c>
      <c r="H233" s="33" t="s">
        <v>171</v>
      </c>
      <c r="AU233" s="140">
        <v>0</v>
      </c>
      <c r="AV233" s="23">
        <v>0</v>
      </c>
      <c r="AW233" s="23">
        <v>0</v>
      </c>
      <c r="AX233" s="23">
        <v>0</v>
      </c>
      <c r="AY233" s="194">
        <v>0</v>
      </c>
      <c r="BA233" s="34" t="str">
        <f t="shared" ca="1" si="54"/>
        <v>Southern</v>
      </c>
      <c r="BB233" s="34" t="str">
        <f t="shared" si="55"/>
        <v>Fixed Inputs</v>
      </c>
      <c r="BC233" s="34" t="str">
        <f t="shared" si="56"/>
        <v>Variant allowances</v>
      </c>
      <c r="BD233" s="34" t="str">
        <f t="shared" si="57"/>
        <v>Totex variant allowances allocation percentages</v>
      </c>
    </row>
    <row r="234" spans="5:56" x14ac:dyDescent="0.35">
      <c r="E234" s="195" t="str" cm="1">
        <f t="array" ref="E234">INDEX($E$99:$E$202,INT((ROW()-ROW($E$205))/5)+1)</f>
        <v>PCD_London Medium Pressure PCD (Cadent_Lon)</v>
      </c>
      <c r="F234" s="196"/>
      <c r="G234" s="196" t="s">
        <v>109</v>
      </c>
      <c r="H234" s="196" t="s">
        <v>172</v>
      </c>
      <c r="I234" s="196"/>
      <c r="J234" s="196"/>
      <c r="K234" s="196"/>
      <c r="L234" s="196"/>
      <c r="M234" s="196"/>
      <c r="N234" s="196"/>
      <c r="O234" s="196"/>
      <c r="P234" s="196"/>
      <c r="Q234" s="196"/>
      <c r="R234" s="196"/>
      <c r="S234" s="196"/>
      <c r="T234" s="196"/>
      <c r="U234" s="196"/>
      <c r="V234" s="196"/>
      <c r="W234" s="196"/>
      <c r="X234" s="196"/>
      <c r="Y234" s="196"/>
      <c r="Z234" s="196"/>
      <c r="AA234" s="196"/>
      <c r="AB234" s="196"/>
      <c r="AC234" s="196"/>
      <c r="AD234" s="196"/>
      <c r="AE234" s="196"/>
      <c r="AF234" s="196"/>
      <c r="AG234" s="196"/>
      <c r="AH234" s="196"/>
      <c r="AI234" s="196"/>
      <c r="AJ234" s="196"/>
      <c r="AK234" s="196"/>
      <c r="AL234" s="196"/>
      <c r="AM234" s="196"/>
      <c r="AN234" s="196"/>
      <c r="AO234" s="196"/>
      <c r="AP234" s="196"/>
      <c r="AQ234" s="196"/>
      <c r="AR234" s="196"/>
      <c r="AS234" s="196"/>
      <c r="AT234" s="208"/>
      <c r="AU234" s="198">
        <v>0.74762287322865806</v>
      </c>
      <c r="AV234" s="199">
        <v>0.74762287322865806</v>
      </c>
      <c r="AW234" s="199">
        <v>0.74762287322865806</v>
      </c>
      <c r="AX234" s="199">
        <v>0.74762287322865806</v>
      </c>
      <c r="AY234" s="200">
        <v>0.74762287322865806</v>
      </c>
      <c r="BA234" s="34" t="str">
        <f t="shared" ca="1" si="54"/>
        <v>Southern</v>
      </c>
      <c r="BB234" s="34" t="str">
        <f t="shared" si="55"/>
        <v>Fixed Inputs</v>
      </c>
      <c r="BC234" s="34" t="str">
        <f t="shared" si="56"/>
        <v>Variant allowances</v>
      </c>
      <c r="BD234" s="34" t="str">
        <f t="shared" si="57"/>
        <v>Totex variant allowances allocation percentages</v>
      </c>
    </row>
    <row r="235" spans="5:56" x14ac:dyDescent="0.35">
      <c r="E235" s="187" t="str" cm="1">
        <f t="array" ref="E235">INDEX($E$99:$E$202,INT((ROW()-ROW($E$205))/5)+1)</f>
        <v>PCD_Tier 1 Mains Decommissioned PCD</v>
      </c>
      <c r="F235" s="188"/>
      <c r="G235" s="188" t="s">
        <v>109</v>
      </c>
      <c r="H235" s="188" t="s">
        <v>168</v>
      </c>
      <c r="I235" s="188"/>
      <c r="J235" s="188"/>
      <c r="K235" s="188"/>
      <c r="L235" s="188"/>
      <c r="M235" s="188"/>
      <c r="N235" s="188"/>
      <c r="O235" s="188"/>
      <c r="P235" s="188"/>
      <c r="Q235" s="188"/>
      <c r="R235" s="188"/>
      <c r="S235" s="188"/>
      <c r="T235" s="188"/>
      <c r="U235" s="188"/>
      <c r="V235" s="188"/>
      <c r="W235" s="188"/>
      <c r="X235" s="188"/>
      <c r="Y235" s="188"/>
      <c r="Z235" s="188"/>
      <c r="AA235" s="188"/>
      <c r="AB235" s="188"/>
      <c r="AC235" s="188"/>
      <c r="AD235" s="188"/>
      <c r="AE235" s="188"/>
      <c r="AF235" s="188"/>
      <c r="AG235" s="188"/>
      <c r="AH235" s="188"/>
      <c r="AI235" s="188"/>
      <c r="AJ235" s="188"/>
      <c r="AK235" s="188"/>
      <c r="AL235" s="188"/>
      <c r="AM235" s="188"/>
      <c r="AN235" s="188"/>
      <c r="AO235" s="188"/>
      <c r="AP235" s="188"/>
      <c r="AQ235" s="188"/>
      <c r="AR235" s="188"/>
      <c r="AS235" s="188"/>
      <c r="AT235" s="202"/>
      <c r="AU235" s="190">
        <v>0</v>
      </c>
      <c r="AV235" s="191">
        <v>0</v>
      </c>
      <c r="AW235" s="191">
        <v>0</v>
      </c>
      <c r="AX235" s="191">
        <v>0</v>
      </c>
      <c r="AY235" s="192">
        <v>0</v>
      </c>
      <c r="BA235" s="34" t="str">
        <f t="shared" ca="1" si="54"/>
        <v>Southern</v>
      </c>
      <c r="BB235" s="34" t="str">
        <f t="shared" si="55"/>
        <v>Fixed Inputs</v>
      </c>
      <c r="BC235" s="34" t="str">
        <f t="shared" si="56"/>
        <v>Variant allowances</v>
      </c>
      <c r="BD235" s="34" t="str">
        <f t="shared" si="57"/>
        <v>Totex variant allowances allocation percentages</v>
      </c>
    </row>
    <row r="236" spans="5:56" x14ac:dyDescent="0.35">
      <c r="E236" s="193" t="str" cm="1">
        <f t="array" ref="E236">INDEX($E$99:$E$202,INT((ROW()-ROW($E$205))/5)+1)</f>
        <v>PCD_Tier 1 Mains Decommissioned PCD</v>
      </c>
      <c r="G236" s="33" t="s">
        <v>109</v>
      </c>
      <c r="H236" s="33" t="s">
        <v>169</v>
      </c>
      <c r="AU236" s="140">
        <v>0</v>
      </c>
      <c r="AV236" s="23">
        <v>0</v>
      </c>
      <c r="AW236" s="23">
        <v>0</v>
      </c>
      <c r="AX236" s="23">
        <v>0</v>
      </c>
      <c r="AY236" s="194">
        <v>0</v>
      </c>
      <c r="BA236" s="34" t="str">
        <f t="shared" ca="1" si="54"/>
        <v>Southern</v>
      </c>
      <c r="BB236" s="34" t="str">
        <f t="shared" si="55"/>
        <v>Fixed Inputs</v>
      </c>
      <c r="BC236" s="34" t="str">
        <f t="shared" si="56"/>
        <v>Variant allowances</v>
      </c>
      <c r="BD236" s="34" t="str">
        <f t="shared" si="57"/>
        <v>Totex variant allowances allocation percentages</v>
      </c>
    </row>
    <row r="237" spans="5:56" x14ac:dyDescent="0.35">
      <c r="E237" s="193" t="str" cm="1">
        <f t="array" ref="E237">INDEX($E$99:$E$202,INT((ROW()-ROW($E$205))/5)+1)</f>
        <v>PCD_Tier 1 Mains Decommissioned PCD</v>
      </c>
      <c r="G237" s="33" t="s">
        <v>109</v>
      </c>
      <c r="H237" s="33" t="s">
        <v>170</v>
      </c>
      <c r="AU237" s="140">
        <v>0</v>
      </c>
      <c r="AV237" s="23">
        <v>0</v>
      </c>
      <c r="AW237" s="23">
        <v>0</v>
      </c>
      <c r="AX237" s="23">
        <v>0</v>
      </c>
      <c r="AY237" s="194">
        <v>0</v>
      </c>
      <c r="BA237" s="34" t="str">
        <f t="shared" ca="1" si="54"/>
        <v>Southern</v>
      </c>
      <c r="BB237" s="34" t="str">
        <f t="shared" si="55"/>
        <v>Fixed Inputs</v>
      </c>
      <c r="BC237" s="34" t="str">
        <f t="shared" si="56"/>
        <v>Variant allowances</v>
      </c>
      <c r="BD237" s="34" t="str">
        <f t="shared" si="57"/>
        <v>Totex variant allowances allocation percentages</v>
      </c>
    </row>
    <row r="238" spans="5:56" x14ac:dyDescent="0.35">
      <c r="E238" s="193" t="str" cm="1">
        <f t="array" ref="E238">INDEX($E$99:$E$202,INT((ROW()-ROW($E$205))/5)+1)</f>
        <v>PCD_Tier 1 Mains Decommissioned PCD</v>
      </c>
      <c r="G238" s="33" t="s">
        <v>109</v>
      </c>
      <c r="H238" s="33" t="s">
        <v>171</v>
      </c>
      <c r="AU238" s="140">
        <v>0</v>
      </c>
      <c r="AV238" s="23">
        <v>0</v>
      </c>
      <c r="AW238" s="23">
        <v>0</v>
      </c>
      <c r="AX238" s="23">
        <v>0</v>
      </c>
      <c r="AY238" s="194">
        <v>0</v>
      </c>
      <c r="BA238" s="34" t="str">
        <f t="shared" ca="1" si="54"/>
        <v>Southern</v>
      </c>
      <c r="BB238" s="34" t="str">
        <f t="shared" si="55"/>
        <v>Fixed Inputs</v>
      </c>
      <c r="BC238" s="34" t="str">
        <f t="shared" si="56"/>
        <v>Variant allowances</v>
      </c>
      <c r="BD238" s="34" t="str">
        <f t="shared" si="57"/>
        <v>Totex variant allowances allocation percentages</v>
      </c>
    </row>
    <row r="239" spans="5:56" x14ac:dyDescent="0.35">
      <c r="E239" s="195" t="str" cm="1">
        <f t="array" ref="E239">INDEX($E$99:$E$202,INT((ROW()-ROW($E$205))/5)+1)</f>
        <v>PCD_Tier 1 Mains Decommissioned PCD</v>
      </c>
      <c r="F239" s="196"/>
      <c r="G239" s="196" t="s">
        <v>109</v>
      </c>
      <c r="H239" s="196" t="s">
        <v>172</v>
      </c>
      <c r="I239" s="196"/>
      <c r="J239" s="196"/>
      <c r="K239" s="196"/>
      <c r="L239" s="196"/>
      <c r="M239" s="196"/>
      <c r="N239" s="196"/>
      <c r="O239" s="196"/>
      <c r="P239" s="196"/>
      <c r="Q239" s="196"/>
      <c r="R239" s="196"/>
      <c r="S239" s="196"/>
      <c r="T239" s="196"/>
      <c r="U239" s="196"/>
      <c r="V239" s="196"/>
      <c r="W239" s="196"/>
      <c r="X239" s="196"/>
      <c r="Y239" s="196"/>
      <c r="Z239" s="196"/>
      <c r="AA239" s="196"/>
      <c r="AB239" s="196"/>
      <c r="AC239" s="196"/>
      <c r="AD239" s="196"/>
      <c r="AE239" s="196"/>
      <c r="AF239" s="196"/>
      <c r="AG239" s="196"/>
      <c r="AH239" s="196"/>
      <c r="AI239" s="196"/>
      <c r="AJ239" s="196"/>
      <c r="AK239" s="196"/>
      <c r="AL239" s="196"/>
      <c r="AM239" s="196"/>
      <c r="AN239" s="196"/>
      <c r="AO239" s="196"/>
      <c r="AP239" s="196"/>
      <c r="AQ239" s="196"/>
      <c r="AR239" s="196"/>
      <c r="AS239" s="196"/>
      <c r="AT239" s="208"/>
      <c r="AU239" s="198">
        <v>1</v>
      </c>
      <c r="AV239" s="199">
        <v>1</v>
      </c>
      <c r="AW239" s="199">
        <v>1</v>
      </c>
      <c r="AX239" s="199">
        <v>1</v>
      </c>
      <c r="AY239" s="200">
        <v>1</v>
      </c>
      <c r="BA239" s="34" t="str">
        <f t="shared" ca="1" si="54"/>
        <v>Southern</v>
      </c>
      <c r="BB239" s="34" t="str">
        <f t="shared" si="55"/>
        <v>Fixed Inputs</v>
      </c>
      <c r="BC239" s="34" t="str">
        <f t="shared" si="56"/>
        <v>Variant allowances</v>
      </c>
      <c r="BD239" s="34" t="str">
        <f t="shared" si="57"/>
        <v>Totex variant allowances allocation percentages</v>
      </c>
    </row>
    <row r="240" spans="5:56" x14ac:dyDescent="0.35">
      <c r="E240" s="187" t="str" cm="1">
        <f t="array" ref="E240">INDEX($E$99:$E$202,INT((ROW()-ROW($E$205))/5)+1)</f>
        <v>PCD_Tier 1 Services PCD / Tier 1 Services Repex PCD</v>
      </c>
      <c r="F240" s="188"/>
      <c r="G240" s="188" t="s">
        <v>109</v>
      </c>
      <c r="H240" s="188" t="s">
        <v>168</v>
      </c>
      <c r="I240" s="188"/>
      <c r="J240" s="188"/>
      <c r="K240" s="188"/>
      <c r="L240" s="188"/>
      <c r="M240" s="188"/>
      <c r="N240" s="188"/>
      <c r="O240" s="188"/>
      <c r="P240" s="188"/>
      <c r="Q240" s="188"/>
      <c r="R240" s="188"/>
      <c r="S240" s="188"/>
      <c r="T240" s="188"/>
      <c r="U240" s="188"/>
      <c r="V240" s="188"/>
      <c r="W240" s="188"/>
      <c r="X240" s="188"/>
      <c r="Y240" s="188"/>
      <c r="Z240" s="188"/>
      <c r="AA240" s="188"/>
      <c r="AB240" s="188"/>
      <c r="AC240" s="188"/>
      <c r="AD240" s="188"/>
      <c r="AE240" s="188"/>
      <c r="AF240" s="188"/>
      <c r="AG240" s="188"/>
      <c r="AH240" s="188"/>
      <c r="AI240" s="188"/>
      <c r="AJ240" s="188"/>
      <c r="AK240" s="188"/>
      <c r="AL240" s="188"/>
      <c r="AM240" s="188"/>
      <c r="AN240" s="188"/>
      <c r="AO240" s="188"/>
      <c r="AP240" s="188"/>
      <c r="AQ240" s="188"/>
      <c r="AR240" s="188"/>
      <c r="AS240" s="188"/>
      <c r="AT240" s="202"/>
      <c r="AU240" s="190">
        <v>0</v>
      </c>
      <c r="AV240" s="191">
        <v>0</v>
      </c>
      <c r="AW240" s="191">
        <v>0</v>
      </c>
      <c r="AX240" s="191">
        <v>0</v>
      </c>
      <c r="AY240" s="192">
        <v>0</v>
      </c>
      <c r="BA240" s="34" t="str">
        <f t="shared" ca="1" si="54"/>
        <v>Southern</v>
      </c>
      <c r="BB240" s="34" t="str">
        <f t="shared" si="55"/>
        <v>Fixed Inputs</v>
      </c>
      <c r="BC240" s="34" t="str">
        <f t="shared" si="56"/>
        <v>Variant allowances</v>
      </c>
      <c r="BD240" s="34" t="str">
        <f t="shared" si="57"/>
        <v>Totex variant allowances allocation percentages</v>
      </c>
    </row>
    <row r="241" spans="5:56" x14ac:dyDescent="0.35">
      <c r="E241" s="193" t="str" cm="1">
        <f t="array" ref="E241">INDEX($E$99:$E$202,INT((ROW()-ROW($E$205))/5)+1)</f>
        <v>PCD_Tier 1 Services PCD / Tier 1 Services Repex PCD</v>
      </c>
      <c r="G241" s="33" t="s">
        <v>109</v>
      </c>
      <c r="H241" s="33" t="s">
        <v>169</v>
      </c>
      <c r="AU241" s="140">
        <v>0</v>
      </c>
      <c r="AV241" s="23">
        <v>0</v>
      </c>
      <c r="AW241" s="23">
        <v>0</v>
      </c>
      <c r="AX241" s="23">
        <v>0</v>
      </c>
      <c r="AY241" s="194">
        <v>0</v>
      </c>
      <c r="BA241" s="34" t="str">
        <f t="shared" ca="1" si="54"/>
        <v>Southern</v>
      </c>
      <c r="BB241" s="34" t="str">
        <f t="shared" si="55"/>
        <v>Fixed Inputs</v>
      </c>
      <c r="BC241" s="34" t="str">
        <f t="shared" si="56"/>
        <v>Variant allowances</v>
      </c>
      <c r="BD241" s="34" t="str">
        <f t="shared" si="57"/>
        <v>Totex variant allowances allocation percentages</v>
      </c>
    </row>
    <row r="242" spans="5:56" x14ac:dyDescent="0.35">
      <c r="E242" s="193" t="str" cm="1">
        <f t="array" ref="E242">INDEX($E$99:$E$202,INT((ROW()-ROW($E$205))/5)+1)</f>
        <v>PCD_Tier 1 Services PCD / Tier 1 Services Repex PCD</v>
      </c>
      <c r="G242" s="33" t="s">
        <v>109</v>
      </c>
      <c r="H242" s="33" t="s">
        <v>170</v>
      </c>
      <c r="AU242" s="140">
        <v>0</v>
      </c>
      <c r="AV242" s="23">
        <v>0</v>
      </c>
      <c r="AW242" s="23">
        <v>0</v>
      </c>
      <c r="AX242" s="23">
        <v>0</v>
      </c>
      <c r="AY242" s="194">
        <v>0</v>
      </c>
      <c r="BA242" s="34" t="str">
        <f t="shared" ca="1" si="54"/>
        <v>Southern</v>
      </c>
      <c r="BB242" s="34" t="str">
        <f t="shared" si="55"/>
        <v>Fixed Inputs</v>
      </c>
      <c r="BC242" s="34" t="str">
        <f t="shared" si="56"/>
        <v>Variant allowances</v>
      </c>
      <c r="BD242" s="34" t="str">
        <f t="shared" si="57"/>
        <v>Totex variant allowances allocation percentages</v>
      </c>
    </row>
    <row r="243" spans="5:56" x14ac:dyDescent="0.35">
      <c r="E243" s="193" t="str" cm="1">
        <f t="array" ref="E243">INDEX($E$99:$E$202,INT((ROW()-ROW($E$205))/5)+1)</f>
        <v>PCD_Tier 1 Services PCD / Tier 1 Services Repex PCD</v>
      </c>
      <c r="G243" s="33" t="s">
        <v>109</v>
      </c>
      <c r="H243" s="33" t="s">
        <v>171</v>
      </c>
      <c r="AU243" s="140">
        <v>0</v>
      </c>
      <c r="AV243" s="23">
        <v>0</v>
      </c>
      <c r="AW243" s="23">
        <v>0</v>
      </c>
      <c r="AX243" s="23">
        <v>0</v>
      </c>
      <c r="AY243" s="194">
        <v>0</v>
      </c>
      <c r="BA243" s="34" t="str">
        <f t="shared" ca="1" si="54"/>
        <v>Southern</v>
      </c>
      <c r="BB243" s="34" t="str">
        <f t="shared" si="55"/>
        <v>Fixed Inputs</v>
      </c>
      <c r="BC243" s="34" t="str">
        <f t="shared" si="56"/>
        <v>Variant allowances</v>
      </c>
      <c r="BD243" s="34" t="str">
        <f t="shared" si="57"/>
        <v>Totex variant allowances allocation percentages</v>
      </c>
    </row>
    <row r="244" spans="5:56" x14ac:dyDescent="0.35">
      <c r="E244" s="195" t="str" cm="1">
        <f t="array" ref="E244">INDEX($E$99:$E$202,INT((ROW()-ROW($E$205))/5)+1)</f>
        <v>PCD_Tier 1 Services PCD / Tier 1 Services Repex PCD</v>
      </c>
      <c r="F244" s="196"/>
      <c r="G244" s="196" t="s">
        <v>109</v>
      </c>
      <c r="H244" s="196" t="s">
        <v>172</v>
      </c>
      <c r="I244" s="196"/>
      <c r="J244" s="196"/>
      <c r="K244" s="196"/>
      <c r="L244" s="196"/>
      <c r="M244" s="196"/>
      <c r="N244" s="196"/>
      <c r="O244" s="196"/>
      <c r="P244" s="196"/>
      <c r="Q244" s="196"/>
      <c r="R244" s="196"/>
      <c r="S244" s="196"/>
      <c r="T244" s="196"/>
      <c r="U244" s="196"/>
      <c r="V244" s="196"/>
      <c r="W244" s="196"/>
      <c r="X244" s="196"/>
      <c r="Y244" s="196"/>
      <c r="Z244" s="196"/>
      <c r="AA244" s="196"/>
      <c r="AB244" s="196"/>
      <c r="AC244" s="196"/>
      <c r="AD244" s="196"/>
      <c r="AE244" s="196"/>
      <c r="AF244" s="196"/>
      <c r="AG244" s="196"/>
      <c r="AH244" s="196"/>
      <c r="AI244" s="196"/>
      <c r="AJ244" s="196"/>
      <c r="AK244" s="196"/>
      <c r="AL244" s="196"/>
      <c r="AM244" s="196"/>
      <c r="AN244" s="196"/>
      <c r="AO244" s="196"/>
      <c r="AP244" s="196"/>
      <c r="AQ244" s="196"/>
      <c r="AR244" s="196"/>
      <c r="AS244" s="196"/>
      <c r="AT244" s="208"/>
      <c r="AU244" s="198">
        <v>1</v>
      </c>
      <c r="AV244" s="199">
        <v>1</v>
      </c>
      <c r="AW244" s="199">
        <v>1</v>
      </c>
      <c r="AX244" s="199">
        <v>1</v>
      </c>
      <c r="AY244" s="200">
        <v>1</v>
      </c>
      <c r="BA244" s="34" t="str">
        <f t="shared" ca="1" si="54"/>
        <v>Southern</v>
      </c>
      <c r="BB244" s="34" t="str">
        <f t="shared" si="55"/>
        <v>Fixed Inputs</v>
      </c>
      <c r="BC244" s="34" t="str">
        <f t="shared" si="56"/>
        <v>Variant allowances</v>
      </c>
      <c r="BD244" s="34" t="str">
        <f t="shared" si="57"/>
        <v>Totex variant allowances allocation percentages</v>
      </c>
    </row>
    <row r="245" spans="5:56" x14ac:dyDescent="0.35">
      <c r="E245" s="187" t="str" cm="1">
        <f t="array" ref="E245">INDEX($E$99:$E$202,INT((ROW()-ROW($E$205))/5)+1)</f>
        <v>PCD_Tinsley viaduct diversion (Cadent_EoE)</v>
      </c>
      <c r="F245" s="188"/>
      <c r="G245" s="188" t="s">
        <v>109</v>
      </c>
      <c r="H245" s="188" t="s">
        <v>168</v>
      </c>
      <c r="I245" s="188"/>
      <c r="J245" s="188"/>
      <c r="K245" s="188"/>
      <c r="L245" s="188"/>
      <c r="M245" s="188"/>
      <c r="N245" s="188"/>
      <c r="O245" s="188"/>
      <c r="P245" s="188"/>
      <c r="Q245" s="188"/>
      <c r="R245" s="188"/>
      <c r="S245" s="188"/>
      <c r="T245" s="188"/>
      <c r="U245" s="188"/>
      <c r="V245" s="188"/>
      <c r="W245" s="188"/>
      <c r="X245" s="188"/>
      <c r="Y245" s="188"/>
      <c r="Z245" s="188"/>
      <c r="AA245" s="188"/>
      <c r="AB245" s="188"/>
      <c r="AC245" s="188"/>
      <c r="AD245" s="188"/>
      <c r="AE245" s="188"/>
      <c r="AF245" s="188"/>
      <c r="AG245" s="188"/>
      <c r="AH245" s="188"/>
      <c r="AI245" s="188"/>
      <c r="AJ245" s="188"/>
      <c r="AK245" s="188"/>
      <c r="AL245" s="188"/>
      <c r="AM245" s="188"/>
      <c r="AN245" s="188"/>
      <c r="AO245" s="188"/>
      <c r="AP245" s="188"/>
      <c r="AQ245" s="188"/>
      <c r="AR245" s="188"/>
      <c r="AS245" s="188"/>
      <c r="AT245" s="202"/>
      <c r="AU245" s="190">
        <v>0</v>
      </c>
      <c r="AV245" s="191">
        <v>0</v>
      </c>
      <c r="AW245" s="191">
        <v>0</v>
      </c>
      <c r="AX245" s="191">
        <v>0</v>
      </c>
      <c r="AY245" s="192">
        <v>0</v>
      </c>
      <c r="BA245" s="34" t="str">
        <f t="shared" ca="1" si="54"/>
        <v>Southern</v>
      </c>
      <c r="BB245" s="34" t="str">
        <f t="shared" si="55"/>
        <v>Fixed Inputs</v>
      </c>
      <c r="BC245" s="34" t="str">
        <f t="shared" si="56"/>
        <v>Variant allowances</v>
      </c>
      <c r="BD245" s="34" t="str">
        <f t="shared" si="57"/>
        <v>Totex variant allowances allocation percentages</v>
      </c>
    </row>
    <row r="246" spans="5:56" x14ac:dyDescent="0.35">
      <c r="E246" s="193" t="str" cm="1">
        <f t="array" ref="E246">INDEX($E$99:$E$202,INT((ROW()-ROW($E$205))/5)+1)</f>
        <v>PCD_Tinsley viaduct diversion (Cadent_EoE)</v>
      </c>
      <c r="G246" s="33" t="s">
        <v>109</v>
      </c>
      <c r="H246" s="33" t="s">
        <v>169</v>
      </c>
      <c r="AU246" s="140">
        <v>1</v>
      </c>
      <c r="AV246" s="23">
        <v>1</v>
      </c>
      <c r="AW246" s="23">
        <v>1</v>
      </c>
      <c r="AX246" s="23">
        <v>1</v>
      </c>
      <c r="AY246" s="194">
        <v>1</v>
      </c>
      <c r="BA246" s="34" t="str">
        <f t="shared" ca="1" si="54"/>
        <v>Southern</v>
      </c>
      <c r="BB246" s="34" t="str">
        <f t="shared" si="55"/>
        <v>Fixed Inputs</v>
      </c>
      <c r="BC246" s="34" t="str">
        <f t="shared" si="56"/>
        <v>Variant allowances</v>
      </c>
      <c r="BD246" s="34" t="str">
        <f t="shared" si="57"/>
        <v>Totex variant allowances allocation percentages</v>
      </c>
    </row>
    <row r="247" spans="5:56" x14ac:dyDescent="0.35">
      <c r="E247" s="193" t="str" cm="1">
        <f t="array" ref="E247">INDEX($E$99:$E$202,INT((ROW()-ROW($E$205))/5)+1)</f>
        <v>PCD_Tinsley viaduct diversion (Cadent_EoE)</v>
      </c>
      <c r="G247" s="33" t="s">
        <v>109</v>
      </c>
      <c r="H247" s="33" t="s">
        <v>170</v>
      </c>
      <c r="AU247" s="140">
        <v>0</v>
      </c>
      <c r="AV247" s="23">
        <v>0</v>
      </c>
      <c r="AW247" s="23">
        <v>0</v>
      </c>
      <c r="AX247" s="23">
        <v>0</v>
      </c>
      <c r="AY247" s="194">
        <v>0</v>
      </c>
      <c r="BA247" s="34" t="str">
        <f t="shared" ca="1" si="54"/>
        <v>Southern</v>
      </c>
      <c r="BB247" s="34" t="str">
        <f t="shared" si="55"/>
        <v>Fixed Inputs</v>
      </c>
      <c r="BC247" s="34" t="str">
        <f t="shared" si="56"/>
        <v>Variant allowances</v>
      </c>
      <c r="BD247" s="34" t="str">
        <f t="shared" si="57"/>
        <v>Totex variant allowances allocation percentages</v>
      </c>
    </row>
    <row r="248" spans="5:56" x14ac:dyDescent="0.35">
      <c r="E248" s="193" t="str" cm="1">
        <f t="array" ref="E248">INDEX($E$99:$E$202,INT((ROW()-ROW($E$205))/5)+1)</f>
        <v>PCD_Tinsley viaduct diversion (Cadent_EoE)</v>
      </c>
      <c r="G248" s="33" t="s">
        <v>109</v>
      </c>
      <c r="H248" s="33" t="s">
        <v>171</v>
      </c>
      <c r="AU248" s="140">
        <v>0</v>
      </c>
      <c r="AV248" s="23">
        <v>0</v>
      </c>
      <c r="AW248" s="23">
        <v>0</v>
      </c>
      <c r="AX248" s="23">
        <v>0</v>
      </c>
      <c r="AY248" s="194">
        <v>0</v>
      </c>
      <c r="BA248" s="34" t="str">
        <f t="shared" ca="1" si="54"/>
        <v>Southern</v>
      </c>
      <c r="BB248" s="34" t="str">
        <f t="shared" si="55"/>
        <v>Fixed Inputs</v>
      </c>
      <c r="BC248" s="34" t="str">
        <f t="shared" si="56"/>
        <v>Variant allowances</v>
      </c>
      <c r="BD248" s="34" t="str">
        <f t="shared" si="57"/>
        <v>Totex variant allowances allocation percentages</v>
      </c>
    </row>
    <row r="249" spans="5:56" x14ac:dyDescent="0.35">
      <c r="E249" s="195" t="str" cm="1">
        <f t="array" ref="E249">INDEX($E$99:$E$202,INT((ROW()-ROW($E$205))/5)+1)</f>
        <v>PCD_Tinsley viaduct diversion (Cadent_EoE)</v>
      </c>
      <c r="F249" s="196"/>
      <c r="G249" s="196" t="s">
        <v>109</v>
      </c>
      <c r="H249" s="196" t="s">
        <v>172</v>
      </c>
      <c r="I249" s="196"/>
      <c r="J249" s="196"/>
      <c r="K249" s="196"/>
      <c r="L249" s="196"/>
      <c r="M249" s="196"/>
      <c r="N249" s="196"/>
      <c r="O249" s="196"/>
      <c r="P249" s="196"/>
      <c r="Q249" s="196"/>
      <c r="R249" s="196"/>
      <c r="S249" s="196"/>
      <c r="T249" s="196"/>
      <c r="U249" s="196"/>
      <c r="V249" s="196"/>
      <c r="W249" s="196"/>
      <c r="X249" s="196"/>
      <c r="Y249" s="196"/>
      <c r="Z249" s="196"/>
      <c r="AA249" s="196"/>
      <c r="AB249" s="196"/>
      <c r="AC249" s="196"/>
      <c r="AD249" s="196"/>
      <c r="AE249" s="196"/>
      <c r="AF249" s="196"/>
      <c r="AG249" s="196"/>
      <c r="AH249" s="196"/>
      <c r="AI249" s="196"/>
      <c r="AJ249" s="196"/>
      <c r="AK249" s="196"/>
      <c r="AL249" s="196"/>
      <c r="AM249" s="196"/>
      <c r="AN249" s="196"/>
      <c r="AO249" s="196"/>
      <c r="AP249" s="196"/>
      <c r="AQ249" s="196"/>
      <c r="AR249" s="196"/>
      <c r="AS249" s="196"/>
      <c r="AT249" s="208"/>
      <c r="AU249" s="198">
        <v>0</v>
      </c>
      <c r="AV249" s="199">
        <v>0</v>
      </c>
      <c r="AW249" s="199">
        <v>0</v>
      </c>
      <c r="AX249" s="199">
        <v>0</v>
      </c>
      <c r="AY249" s="200">
        <v>0</v>
      </c>
      <c r="BA249" s="34" t="str">
        <f t="shared" ca="1" si="54"/>
        <v>Southern</v>
      </c>
      <c r="BB249" s="34" t="str">
        <f t="shared" si="55"/>
        <v>Fixed Inputs</v>
      </c>
      <c r="BC249" s="34" t="str">
        <f t="shared" si="56"/>
        <v>Variant allowances</v>
      </c>
      <c r="BD249" s="34" t="str">
        <f t="shared" si="57"/>
        <v>Totex variant allowances allocation percentages</v>
      </c>
    </row>
    <row r="250" spans="5:56" x14ac:dyDescent="0.35">
      <c r="E250" s="187" t="str" cm="1">
        <f t="array" ref="E250">INDEX($E$99:$E$202,INT((ROW()-ROW($E$205))/5)+1)</f>
        <v>PCD_Iron Stubs / Tier 1 Stubs decommissioning PCD</v>
      </c>
      <c r="F250" s="188"/>
      <c r="G250" s="188" t="s">
        <v>109</v>
      </c>
      <c r="H250" s="188" t="s">
        <v>168</v>
      </c>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202"/>
      <c r="AU250" s="190">
        <v>0</v>
      </c>
      <c r="AV250" s="191">
        <v>0</v>
      </c>
      <c r="AW250" s="191">
        <v>0</v>
      </c>
      <c r="AX250" s="191">
        <v>0</v>
      </c>
      <c r="AY250" s="192">
        <v>0</v>
      </c>
      <c r="BA250" s="34" t="str">
        <f t="shared" ca="1" si="54"/>
        <v>Southern</v>
      </c>
      <c r="BB250" s="34" t="str">
        <f t="shared" si="55"/>
        <v>Fixed Inputs</v>
      </c>
      <c r="BC250" s="34" t="str">
        <f t="shared" si="56"/>
        <v>Variant allowances</v>
      </c>
      <c r="BD250" s="34" t="str">
        <f t="shared" si="57"/>
        <v>Totex variant allowances allocation percentages</v>
      </c>
    </row>
    <row r="251" spans="5:56" x14ac:dyDescent="0.35">
      <c r="E251" s="193" t="str" cm="1">
        <f t="array" ref="E251">INDEX($E$99:$E$202,INT((ROW()-ROW($E$205))/5)+1)</f>
        <v>PCD_Iron Stubs / Tier 1 Stubs decommissioning PCD</v>
      </c>
      <c r="G251" s="33" t="s">
        <v>109</v>
      </c>
      <c r="H251" s="33" t="s">
        <v>169</v>
      </c>
      <c r="AU251" s="140">
        <v>0</v>
      </c>
      <c r="AV251" s="23">
        <v>0</v>
      </c>
      <c r="AW251" s="23">
        <v>0</v>
      </c>
      <c r="AX251" s="23">
        <v>0</v>
      </c>
      <c r="AY251" s="194">
        <v>0</v>
      </c>
      <c r="BA251" s="34" t="str">
        <f t="shared" ca="1" si="54"/>
        <v>Southern</v>
      </c>
      <c r="BB251" s="34" t="str">
        <f t="shared" si="55"/>
        <v>Fixed Inputs</v>
      </c>
      <c r="BC251" s="34" t="str">
        <f t="shared" si="56"/>
        <v>Variant allowances</v>
      </c>
      <c r="BD251" s="34" t="str">
        <f t="shared" si="57"/>
        <v>Totex variant allowances allocation percentages</v>
      </c>
    </row>
    <row r="252" spans="5:56" x14ac:dyDescent="0.35">
      <c r="E252" s="193" t="str" cm="1">
        <f t="array" ref="E252">INDEX($E$99:$E$202,INT((ROW()-ROW($E$205))/5)+1)</f>
        <v>PCD_Iron Stubs / Tier 1 Stubs decommissioning PCD</v>
      </c>
      <c r="G252" s="33" t="s">
        <v>109</v>
      </c>
      <c r="H252" s="33" t="s">
        <v>170</v>
      </c>
      <c r="AU252" s="140">
        <v>0</v>
      </c>
      <c r="AV252" s="23">
        <v>0</v>
      </c>
      <c r="AW252" s="23">
        <v>0</v>
      </c>
      <c r="AX252" s="23">
        <v>0</v>
      </c>
      <c r="AY252" s="194">
        <v>0</v>
      </c>
      <c r="BA252" s="34" t="str">
        <f t="shared" ca="1" si="54"/>
        <v>Southern</v>
      </c>
      <c r="BB252" s="34" t="str">
        <f t="shared" si="55"/>
        <v>Fixed Inputs</v>
      </c>
      <c r="BC252" s="34" t="str">
        <f t="shared" si="56"/>
        <v>Variant allowances</v>
      </c>
      <c r="BD252" s="34" t="str">
        <f t="shared" si="57"/>
        <v>Totex variant allowances allocation percentages</v>
      </c>
    </row>
    <row r="253" spans="5:56" x14ac:dyDescent="0.35">
      <c r="E253" s="193" t="str" cm="1">
        <f t="array" ref="E253">INDEX($E$99:$E$202,INT((ROW()-ROW($E$205))/5)+1)</f>
        <v>PCD_Iron Stubs / Tier 1 Stubs decommissioning PCD</v>
      </c>
      <c r="G253" s="33" t="s">
        <v>109</v>
      </c>
      <c r="H253" s="33" t="s">
        <v>171</v>
      </c>
      <c r="AU253" s="140">
        <v>0</v>
      </c>
      <c r="AV253" s="23">
        <v>0</v>
      </c>
      <c r="AW253" s="23">
        <v>0</v>
      </c>
      <c r="AX253" s="23">
        <v>0</v>
      </c>
      <c r="AY253" s="194">
        <v>0</v>
      </c>
      <c r="BA253" s="34" t="str">
        <f t="shared" ca="1" si="54"/>
        <v>Southern</v>
      </c>
      <c r="BB253" s="34" t="str">
        <f t="shared" si="55"/>
        <v>Fixed Inputs</v>
      </c>
      <c r="BC253" s="34" t="str">
        <f t="shared" si="56"/>
        <v>Variant allowances</v>
      </c>
      <c r="BD253" s="34" t="str">
        <f t="shared" si="57"/>
        <v>Totex variant allowances allocation percentages</v>
      </c>
    </row>
    <row r="254" spans="5:56" x14ac:dyDescent="0.35">
      <c r="E254" s="195" t="str" cm="1">
        <f t="array" ref="E254">INDEX($E$99:$E$202,INT((ROW()-ROW($E$205))/5)+1)</f>
        <v>PCD_Iron Stubs / Tier 1 Stubs decommissioning PCD</v>
      </c>
      <c r="F254" s="196"/>
      <c r="G254" s="196" t="s">
        <v>109</v>
      </c>
      <c r="H254" s="196" t="s">
        <v>172</v>
      </c>
      <c r="I254" s="196"/>
      <c r="J254" s="196"/>
      <c r="K254" s="196"/>
      <c r="L254" s="196"/>
      <c r="M254" s="196"/>
      <c r="N254" s="196"/>
      <c r="O254" s="196"/>
      <c r="P254" s="196"/>
      <c r="Q254" s="196"/>
      <c r="R254" s="196"/>
      <c r="S254" s="196"/>
      <c r="T254" s="196"/>
      <c r="U254" s="196"/>
      <c r="V254" s="196"/>
      <c r="W254" s="196"/>
      <c r="X254" s="196"/>
      <c r="Y254" s="196"/>
      <c r="Z254" s="196"/>
      <c r="AA254" s="196"/>
      <c r="AB254" s="196"/>
      <c r="AC254" s="196"/>
      <c r="AD254" s="196"/>
      <c r="AE254" s="196"/>
      <c r="AF254" s="196"/>
      <c r="AG254" s="196"/>
      <c r="AH254" s="196"/>
      <c r="AI254" s="196"/>
      <c r="AJ254" s="196"/>
      <c r="AK254" s="196"/>
      <c r="AL254" s="196"/>
      <c r="AM254" s="196"/>
      <c r="AN254" s="196"/>
      <c r="AO254" s="196"/>
      <c r="AP254" s="196"/>
      <c r="AQ254" s="196"/>
      <c r="AR254" s="196"/>
      <c r="AS254" s="196"/>
      <c r="AT254" s="208"/>
      <c r="AU254" s="198">
        <v>1</v>
      </c>
      <c r="AV254" s="199">
        <v>1</v>
      </c>
      <c r="AW254" s="199">
        <v>1</v>
      </c>
      <c r="AX254" s="199">
        <v>1</v>
      </c>
      <c r="AY254" s="200">
        <v>1</v>
      </c>
      <c r="BA254" s="34" t="str">
        <f t="shared" ca="1" si="54"/>
        <v>Southern</v>
      </c>
      <c r="BB254" s="34" t="str">
        <f t="shared" si="55"/>
        <v>Fixed Inputs</v>
      </c>
      <c r="BC254" s="34" t="str">
        <f t="shared" si="56"/>
        <v>Variant allowances</v>
      </c>
      <c r="BD254" s="34" t="str">
        <f t="shared" si="57"/>
        <v>Totex variant allowances allocation percentages</v>
      </c>
    </row>
    <row r="255" spans="5:56" x14ac:dyDescent="0.35">
      <c r="E255" s="187" t="str" cm="1">
        <f t="array" ref="E255">INDEX($E$99:$E$202,INT((ROW()-ROW($E$205))/5)+1)</f>
        <v>PCD_Full Site and System Rebuilds (SGN_all)</v>
      </c>
      <c r="F255" s="188"/>
      <c r="G255" s="188" t="s">
        <v>109</v>
      </c>
      <c r="H255" s="188" t="s">
        <v>168</v>
      </c>
      <c r="I255" s="188"/>
      <c r="J255" s="188"/>
      <c r="K255" s="188"/>
      <c r="L255" s="188"/>
      <c r="M255" s="188"/>
      <c r="N255" s="188"/>
      <c r="O255" s="188"/>
      <c r="P255" s="188"/>
      <c r="Q255" s="188"/>
      <c r="R255" s="188"/>
      <c r="S255" s="188"/>
      <c r="T255" s="188"/>
      <c r="U255" s="188"/>
      <c r="V255" s="188"/>
      <c r="W255" s="188"/>
      <c r="X255" s="188"/>
      <c r="Y255" s="188"/>
      <c r="Z255" s="188"/>
      <c r="AA255" s="188"/>
      <c r="AB255" s="188"/>
      <c r="AC255" s="188"/>
      <c r="AD255" s="188"/>
      <c r="AE255" s="188"/>
      <c r="AF255" s="188"/>
      <c r="AG255" s="188"/>
      <c r="AH255" s="188"/>
      <c r="AI255" s="188"/>
      <c r="AJ255" s="188"/>
      <c r="AK255" s="188"/>
      <c r="AL255" s="188"/>
      <c r="AM255" s="188"/>
      <c r="AN255" s="188"/>
      <c r="AO255" s="188"/>
      <c r="AP255" s="188"/>
      <c r="AQ255" s="188"/>
      <c r="AR255" s="188"/>
      <c r="AS255" s="188"/>
      <c r="AT255" s="202"/>
      <c r="AU255" s="190">
        <v>0</v>
      </c>
      <c r="AV255" s="191">
        <v>0</v>
      </c>
      <c r="AW255" s="191">
        <v>0</v>
      </c>
      <c r="AX255" s="191">
        <v>0</v>
      </c>
      <c r="AY255" s="192">
        <v>0</v>
      </c>
      <c r="BA255" s="34" t="str">
        <f t="shared" ca="1" si="54"/>
        <v>Southern</v>
      </c>
      <c r="BB255" s="34" t="str">
        <f t="shared" si="55"/>
        <v>Fixed Inputs</v>
      </c>
      <c r="BC255" s="34" t="str">
        <f t="shared" si="56"/>
        <v>Variant allowances</v>
      </c>
      <c r="BD255" s="34" t="str">
        <f t="shared" si="57"/>
        <v>Totex variant allowances allocation percentages</v>
      </c>
    </row>
    <row r="256" spans="5:56" x14ac:dyDescent="0.35">
      <c r="E256" s="193" t="str" cm="1">
        <f t="array" ref="E256">INDEX($E$99:$E$202,INT((ROW()-ROW($E$205))/5)+1)</f>
        <v>PCD_Full Site and System Rebuilds (SGN_all)</v>
      </c>
      <c r="G256" s="33" t="s">
        <v>109</v>
      </c>
      <c r="H256" s="33" t="s">
        <v>169</v>
      </c>
      <c r="AU256" s="140">
        <v>1</v>
      </c>
      <c r="AV256" s="23">
        <v>1</v>
      </c>
      <c r="AW256" s="23">
        <v>1</v>
      </c>
      <c r="AX256" s="23">
        <v>1</v>
      </c>
      <c r="AY256" s="194">
        <v>1</v>
      </c>
      <c r="BA256" s="34" t="str">
        <f t="shared" ca="1" si="54"/>
        <v>Southern</v>
      </c>
      <c r="BB256" s="34" t="str">
        <f t="shared" si="55"/>
        <v>Fixed Inputs</v>
      </c>
      <c r="BC256" s="34" t="str">
        <f t="shared" si="56"/>
        <v>Variant allowances</v>
      </c>
      <c r="BD256" s="34" t="str">
        <f t="shared" si="57"/>
        <v>Totex variant allowances allocation percentages</v>
      </c>
    </row>
    <row r="257" spans="5:56" x14ac:dyDescent="0.35">
      <c r="E257" s="193" t="str" cm="1">
        <f t="array" ref="E257">INDEX($E$99:$E$202,INT((ROW()-ROW($E$205))/5)+1)</f>
        <v>PCD_Full Site and System Rebuilds (SGN_all)</v>
      </c>
      <c r="G257" s="33" t="s">
        <v>109</v>
      </c>
      <c r="H257" s="33" t="s">
        <v>170</v>
      </c>
      <c r="AU257" s="140">
        <v>0</v>
      </c>
      <c r="AV257" s="23">
        <v>0</v>
      </c>
      <c r="AW257" s="23">
        <v>0</v>
      </c>
      <c r="AX257" s="23">
        <v>0</v>
      </c>
      <c r="AY257" s="194">
        <v>0</v>
      </c>
      <c r="BA257" s="34" t="str">
        <f t="shared" ca="1" si="54"/>
        <v>Southern</v>
      </c>
      <c r="BB257" s="34" t="str">
        <f t="shared" si="55"/>
        <v>Fixed Inputs</v>
      </c>
      <c r="BC257" s="34" t="str">
        <f t="shared" si="56"/>
        <v>Variant allowances</v>
      </c>
      <c r="BD257" s="34" t="str">
        <f t="shared" si="57"/>
        <v>Totex variant allowances allocation percentages</v>
      </c>
    </row>
    <row r="258" spans="5:56" x14ac:dyDescent="0.35">
      <c r="E258" s="193" t="str" cm="1">
        <f t="array" ref="E258">INDEX($E$99:$E$202,INT((ROW()-ROW($E$205))/5)+1)</f>
        <v>PCD_Full Site and System Rebuilds (SGN_all)</v>
      </c>
      <c r="G258" s="33" t="s">
        <v>109</v>
      </c>
      <c r="H258" s="33" t="s">
        <v>171</v>
      </c>
      <c r="AU258" s="140">
        <v>0</v>
      </c>
      <c r="AV258" s="23">
        <v>0</v>
      </c>
      <c r="AW258" s="23">
        <v>0</v>
      </c>
      <c r="AX258" s="23">
        <v>0</v>
      </c>
      <c r="AY258" s="194">
        <v>0</v>
      </c>
      <c r="BA258" s="34" t="str">
        <f t="shared" ca="1" si="54"/>
        <v>Southern</v>
      </c>
      <c r="BB258" s="34" t="str">
        <f t="shared" si="55"/>
        <v>Fixed Inputs</v>
      </c>
      <c r="BC258" s="34" t="str">
        <f t="shared" si="56"/>
        <v>Variant allowances</v>
      </c>
      <c r="BD258" s="34" t="str">
        <f t="shared" si="57"/>
        <v>Totex variant allowances allocation percentages</v>
      </c>
    </row>
    <row r="259" spans="5:56" x14ac:dyDescent="0.35">
      <c r="E259" s="195" t="str" cm="1">
        <f t="array" ref="E259">INDEX($E$99:$E$202,INT((ROW()-ROW($E$205))/5)+1)</f>
        <v>PCD_Full Site and System Rebuilds (SGN_all)</v>
      </c>
      <c r="F259" s="196"/>
      <c r="G259" s="196" t="s">
        <v>109</v>
      </c>
      <c r="H259" s="196" t="s">
        <v>172</v>
      </c>
      <c r="I259" s="196"/>
      <c r="J259" s="196"/>
      <c r="K259" s="196"/>
      <c r="L259" s="196"/>
      <c r="M259" s="196"/>
      <c r="N259" s="196"/>
      <c r="O259" s="196"/>
      <c r="P259" s="196"/>
      <c r="Q259" s="196"/>
      <c r="R259" s="196"/>
      <c r="S259" s="196"/>
      <c r="T259" s="196"/>
      <c r="U259" s="196"/>
      <c r="V259" s="196"/>
      <c r="W259" s="196"/>
      <c r="X259" s="196"/>
      <c r="Y259" s="196"/>
      <c r="Z259" s="196"/>
      <c r="AA259" s="196"/>
      <c r="AB259" s="196"/>
      <c r="AC259" s="196"/>
      <c r="AD259" s="196"/>
      <c r="AE259" s="196"/>
      <c r="AF259" s="196"/>
      <c r="AG259" s="196"/>
      <c r="AH259" s="196"/>
      <c r="AI259" s="196"/>
      <c r="AJ259" s="196"/>
      <c r="AK259" s="196"/>
      <c r="AL259" s="196"/>
      <c r="AM259" s="196"/>
      <c r="AN259" s="196"/>
      <c r="AO259" s="196"/>
      <c r="AP259" s="196"/>
      <c r="AQ259" s="196"/>
      <c r="AR259" s="196"/>
      <c r="AS259" s="196"/>
      <c r="AT259" s="208"/>
      <c r="AU259" s="198">
        <v>0</v>
      </c>
      <c r="AV259" s="199">
        <v>0</v>
      </c>
      <c r="AW259" s="199">
        <v>0</v>
      </c>
      <c r="AX259" s="199">
        <v>0</v>
      </c>
      <c r="AY259" s="200">
        <v>0</v>
      </c>
      <c r="BA259" s="34" t="str">
        <f t="shared" ca="1" si="54"/>
        <v>Southern</v>
      </c>
      <c r="BB259" s="34" t="str">
        <f t="shared" si="55"/>
        <v>Fixed Inputs</v>
      </c>
      <c r="BC259" s="34" t="str">
        <f t="shared" si="56"/>
        <v>Variant allowances</v>
      </c>
      <c r="BD259" s="34" t="str">
        <f t="shared" si="57"/>
        <v>Totex variant allowances allocation percentages</v>
      </c>
    </row>
    <row r="260" spans="5:56" x14ac:dyDescent="0.35">
      <c r="E260" s="187" t="str" cm="1">
        <f t="array" ref="E260">INDEX($E$99:$E$202,INT((ROW()-ROW($E$205))/5)+1)</f>
        <v>PCD_Glenmavis (Offtake) (SGN_Sc) / Full site and system rebuilds PCD (SGN)</v>
      </c>
      <c r="F260" s="188"/>
      <c r="G260" s="188" t="s">
        <v>109</v>
      </c>
      <c r="H260" s="188" t="s">
        <v>168</v>
      </c>
      <c r="I260" s="188"/>
      <c r="J260" s="188"/>
      <c r="K260" s="188"/>
      <c r="L260" s="188"/>
      <c r="M260" s="188"/>
      <c r="N260" s="188"/>
      <c r="O260" s="188"/>
      <c r="P260" s="188"/>
      <c r="Q260" s="188"/>
      <c r="R260" s="188"/>
      <c r="S260" s="188"/>
      <c r="T260" s="188"/>
      <c r="U260" s="188"/>
      <c r="V260" s="188"/>
      <c r="W260" s="188"/>
      <c r="X260" s="188"/>
      <c r="Y260" s="188"/>
      <c r="Z260" s="188"/>
      <c r="AA260" s="188"/>
      <c r="AB260" s="188"/>
      <c r="AC260" s="188"/>
      <c r="AD260" s="188"/>
      <c r="AE260" s="188"/>
      <c r="AF260" s="188"/>
      <c r="AG260" s="188"/>
      <c r="AH260" s="188"/>
      <c r="AI260" s="188"/>
      <c r="AJ260" s="188"/>
      <c r="AK260" s="188"/>
      <c r="AL260" s="188"/>
      <c r="AM260" s="188"/>
      <c r="AN260" s="188"/>
      <c r="AO260" s="188"/>
      <c r="AP260" s="188"/>
      <c r="AQ260" s="188"/>
      <c r="AR260" s="188"/>
      <c r="AS260" s="188"/>
      <c r="AT260" s="202"/>
      <c r="AU260" s="190">
        <v>0</v>
      </c>
      <c r="AV260" s="191">
        <v>0</v>
      </c>
      <c r="AW260" s="191">
        <v>0</v>
      </c>
      <c r="AX260" s="191">
        <v>0</v>
      </c>
      <c r="AY260" s="192">
        <v>0</v>
      </c>
      <c r="BA260" s="34" t="str">
        <f t="shared" ca="1" si="54"/>
        <v>Southern</v>
      </c>
      <c r="BB260" s="34" t="str">
        <f t="shared" si="55"/>
        <v>Fixed Inputs</v>
      </c>
      <c r="BC260" s="34" t="str">
        <f t="shared" si="56"/>
        <v>Variant allowances</v>
      </c>
      <c r="BD260" s="34" t="str">
        <f t="shared" si="57"/>
        <v>Totex variant allowances allocation percentages</v>
      </c>
    </row>
    <row r="261" spans="5:56" x14ac:dyDescent="0.35">
      <c r="E261" s="193" t="str" cm="1">
        <f t="array" ref="E261">INDEX($E$99:$E$202,INT((ROW()-ROW($E$205))/5)+1)</f>
        <v>PCD_Glenmavis (Offtake) (SGN_Sc) / Full site and system rebuilds PCD (SGN)</v>
      </c>
      <c r="G261" s="33" t="s">
        <v>109</v>
      </c>
      <c r="H261" s="33" t="s">
        <v>169</v>
      </c>
      <c r="AU261" s="140">
        <v>1</v>
      </c>
      <c r="AV261" s="23">
        <v>1</v>
      </c>
      <c r="AW261" s="23">
        <v>1</v>
      </c>
      <c r="AX261" s="23">
        <v>1</v>
      </c>
      <c r="AY261" s="194">
        <v>1</v>
      </c>
      <c r="BA261" s="34" t="str">
        <f t="shared" ca="1" si="54"/>
        <v>Southern</v>
      </c>
      <c r="BB261" s="34" t="str">
        <f t="shared" si="55"/>
        <v>Fixed Inputs</v>
      </c>
      <c r="BC261" s="34" t="str">
        <f t="shared" si="56"/>
        <v>Variant allowances</v>
      </c>
      <c r="BD261" s="34" t="str">
        <f t="shared" si="57"/>
        <v>Totex variant allowances allocation percentages</v>
      </c>
    </row>
    <row r="262" spans="5:56" x14ac:dyDescent="0.35">
      <c r="E262" s="193" t="str" cm="1">
        <f t="array" ref="E262">INDEX($E$99:$E$202,INT((ROW()-ROW($E$205))/5)+1)</f>
        <v>PCD_Glenmavis (Offtake) (SGN_Sc) / Full site and system rebuilds PCD (SGN)</v>
      </c>
      <c r="G262" s="33" t="s">
        <v>109</v>
      </c>
      <c r="H262" s="33" t="s">
        <v>170</v>
      </c>
      <c r="AU262" s="140">
        <v>0</v>
      </c>
      <c r="AV262" s="23">
        <v>0</v>
      </c>
      <c r="AW262" s="23">
        <v>0</v>
      </c>
      <c r="AX262" s="23">
        <v>0</v>
      </c>
      <c r="AY262" s="194">
        <v>0</v>
      </c>
      <c r="BA262" s="34" t="str">
        <f t="shared" ca="1" si="54"/>
        <v>Southern</v>
      </c>
      <c r="BB262" s="34" t="str">
        <f t="shared" si="55"/>
        <v>Fixed Inputs</v>
      </c>
      <c r="BC262" s="34" t="str">
        <f t="shared" si="56"/>
        <v>Variant allowances</v>
      </c>
      <c r="BD262" s="34" t="str">
        <f t="shared" si="57"/>
        <v>Totex variant allowances allocation percentages</v>
      </c>
    </row>
    <row r="263" spans="5:56" x14ac:dyDescent="0.35">
      <c r="E263" s="193" t="str" cm="1">
        <f t="array" ref="E263">INDEX($E$99:$E$202,INT((ROW()-ROW($E$205))/5)+1)</f>
        <v>PCD_Glenmavis (Offtake) (SGN_Sc) / Full site and system rebuilds PCD (SGN)</v>
      </c>
      <c r="G263" s="33" t="s">
        <v>109</v>
      </c>
      <c r="H263" s="33" t="s">
        <v>171</v>
      </c>
      <c r="AU263" s="140">
        <v>0</v>
      </c>
      <c r="AV263" s="23">
        <v>0</v>
      </c>
      <c r="AW263" s="23">
        <v>0</v>
      </c>
      <c r="AX263" s="23">
        <v>0</v>
      </c>
      <c r="AY263" s="194">
        <v>0</v>
      </c>
      <c r="BA263" s="34" t="str">
        <f t="shared" ca="1" si="54"/>
        <v>Southern</v>
      </c>
      <c r="BB263" s="34" t="str">
        <f t="shared" si="55"/>
        <v>Fixed Inputs</v>
      </c>
      <c r="BC263" s="34" t="str">
        <f t="shared" si="56"/>
        <v>Variant allowances</v>
      </c>
      <c r="BD263" s="34" t="str">
        <f t="shared" si="57"/>
        <v>Totex variant allowances allocation percentages</v>
      </c>
    </row>
    <row r="264" spans="5:56" x14ac:dyDescent="0.35">
      <c r="E264" s="195" t="str" cm="1">
        <f t="array" ref="E264">INDEX($E$99:$E$202,INT((ROW()-ROW($E$205))/5)+1)</f>
        <v>PCD_Glenmavis (Offtake) (SGN_Sc) / Full site and system rebuilds PCD (SGN)</v>
      </c>
      <c r="F264" s="196"/>
      <c r="G264" s="196" t="s">
        <v>109</v>
      </c>
      <c r="H264" s="196" t="s">
        <v>172</v>
      </c>
      <c r="I264" s="196"/>
      <c r="J264" s="196"/>
      <c r="K264" s="196"/>
      <c r="L264" s="196"/>
      <c r="M264" s="196"/>
      <c r="N264" s="196"/>
      <c r="O264" s="196"/>
      <c r="P264" s="196"/>
      <c r="Q264" s="196"/>
      <c r="R264" s="196"/>
      <c r="S264" s="196"/>
      <c r="T264" s="196"/>
      <c r="U264" s="196"/>
      <c r="V264" s="196"/>
      <c r="W264" s="196"/>
      <c r="X264" s="196"/>
      <c r="Y264" s="196"/>
      <c r="Z264" s="196"/>
      <c r="AA264" s="196"/>
      <c r="AB264" s="196"/>
      <c r="AC264" s="196"/>
      <c r="AD264" s="196"/>
      <c r="AE264" s="196"/>
      <c r="AF264" s="196"/>
      <c r="AG264" s="196"/>
      <c r="AH264" s="196"/>
      <c r="AI264" s="196"/>
      <c r="AJ264" s="196"/>
      <c r="AK264" s="196"/>
      <c r="AL264" s="196"/>
      <c r="AM264" s="196"/>
      <c r="AN264" s="196"/>
      <c r="AO264" s="196"/>
      <c r="AP264" s="196"/>
      <c r="AQ264" s="196"/>
      <c r="AR264" s="196"/>
      <c r="AS264" s="196"/>
      <c r="AT264" s="208"/>
      <c r="AU264" s="198">
        <v>0</v>
      </c>
      <c r="AV264" s="199">
        <v>0</v>
      </c>
      <c r="AW264" s="199">
        <v>0</v>
      </c>
      <c r="AX264" s="199">
        <v>0</v>
      </c>
      <c r="AY264" s="200">
        <v>0</v>
      </c>
      <c r="BA264" s="34" t="str">
        <f t="shared" ca="1" si="54"/>
        <v>Southern</v>
      </c>
      <c r="BB264" s="34" t="str">
        <f t="shared" si="55"/>
        <v>Fixed Inputs</v>
      </c>
      <c r="BC264" s="34" t="str">
        <f t="shared" si="56"/>
        <v>Variant allowances</v>
      </c>
      <c r="BD264" s="34" t="str">
        <f t="shared" si="57"/>
        <v>Totex variant allowances allocation percentages</v>
      </c>
    </row>
    <row r="265" spans="5:56" x14ac:dyDescent="0.35">
      <c r="E265" s="187" t="str" cm="1">
        <f t="array" ref="E265">INDEX($E$99:$E$202,INT((ROW()-ROW($E$205))/5)+1)</f>
        <v>PCD_Isle of Grain (SGN_So) / Full site and system rebuilds PCD (SGN)</v>
      </c>
      <c r="F265" s="188"/>
      <c r="G265" s="188" t="s">
        <v>109</v>
      </c>
      <c r="H265" s="188" t="s">
        <v>168</v>
      </c>
      <c r="I265" s="188"/>
      <c r="J265" s="188"/>
      <c r="K265" s="188"/>
      <c r="L265" s="188"/>
      <c r="M265" s="188"/>
      <c r="N265" s="188"/>
      <c r="O265" s="188"/>
      <c r="P265" s="188"/>
      <c r="Q265" s="188"/>
      <c r="R265" s="188"/>
      <c r="S265" s="188"/>
      <c r="T265" s="188"/>
      <c r="U265" s="188"/>
      <c r="V265" s="188"/>
      <c r="W265" s="188"/>
      <c r="X265" s="188"/>
      <c r="Y265" s="188"/>
      <c r="Z265" s="188"/>
      <c r="AA265" s="188"/>
      <c r="AB265" s="188"/>
      <c r="AC265" s="188"/>
      <c r="AD265" s="188"/>
      <c r="AE265" s="188"/>
      <c r="AF265" s="188"/>
      <c r="AG265" s="188"/>
      <c r="AH265" s="188"/>
      <c r="AI265" s="188"/>
      <c r="AJ265" s="188"/>
      <c r="AK265" s="188"/>
      <c r="AL265" s="188"/>
      <c r="AM265" s="188"/>
      <c r="AN265" s="188"/>
      <c r="AO265" s="188"/>
      <c r="AP265" s="188"/>
      <c r="AQ265" s="188"/>
      <c r="AR265" s="188"/>
      <c r="AS265" s="188"/>
      <c r="AT265" s="202"/>
      <c r="AU265" s="190">
        <v>0</v>
      </c>
      <c r="AV265" s="191">
        <v>0</v>
      </c>
      <c r="AW265" s="191">
        <v>0</v>
      </c>
      <c r="AX265" s="191">
        <v>0</v>
      </c>
      <c r="AY265" s="192">
        <v>0</v>
      </c>
      <c r="BA265" s="34" t="str">
        <f t="shared" ca="1" si="54"/>
        <v>Southern</v>
      </c>
      <c r="BB265" s="34" t="str">
        <f t="shared" si="55"/>
        <v>Fixed Inputs</v>
      </c>
      <c r="BC265" s="34" t="str">
        <f t="shared" si="56"/>
        <v>Variant allowances</v>
      </c>
      <c r="BD265" s="34" t="str">
        <f t="shared" si="57"/>
        <v>Totex variant allowances allocation percentages</v>
      </c>
    </row>
    <row r="266" spans="5:56" x14ac:dyDescent="0.35">
      <c r="E266" s="193" t="str" cm="1">
        <f t="array" ref="E266">INDEX($E$99:$E$202,INT((ROW()-ROW($E$205))/5)+1)</f>
        <v>PCD_Isle of Grain (SGN_So) / Full site and system rebuilds PCD (SGN)</v>
      </c>
      <c r="G266" s="33" t="s">
        <v>109</v>
      </c>
      <c r="H266" s="33" t="s">
        <v>169</v>
      </c>
      <c r="AU266" s="140">
        <v>1</v>
      </c>
      <c r="AV266" s="23">
        <v>1</v>
      </c>
      <c r="AW266" s="23">
        <v>1</v>
      </c>
      <c r="AX266" s="23">
        <v>1</v>
      </c>
      <c r="AY266" s="194">
        <v>1</v>
      </c>
      <c r="BA266" s="34" t="str">
        <f t="shared" ca="1" si="54"/>
        <v>Southern</v>
      </c>
      <c r="BB266" s="34" t="str">
        <f t="shared" si="55"/>
        <v>Fixed Inputs</v>
      </c>
      <c r="BC266" s="34" t="str">
        <f t="shared" si="56"/>
        <v>Variant allowances</v>
      </c>
      <c r="BD266" s="34" t="str">
        <f t="shared" si="57"/>
        <v>Totex variant allowances allocation percentages</v>
      </c>
    </row>
    <row r="267" spans="5:56" x14ac:dyDescent="0.35">
      <c r="E267" s="193" t="str" cm="1">
        <f t="array" ref="E267">INDEX($E$99:$E$202,INT((ROW()-ROW($E$205))/5)+1)</f>
        <v>PCD_Isle of Grain (SGN_So) / Full site and system rebuilds PCD (SGN)</v>
      </c>
      <c r="G267" s="33" t="s">
        <v>109</v>
      </c>
      <c r="H267" s="33" t="s">
        <v>170</v>
      </c>
      <c r="AU267" s="140">
        <v>0</v>
      </c>
      <c r="AV267" s="23">
        <v>0</v>
      </c>
      <c r="AW267" s="23">
        <v>0</v>
      </c>
      <c r="AX267" s="23">
        <v>0</v>
      </c>
      <c r="AY267" s="194">
        <v>0</v>
      </c>
      <c r="BA267" s="34" t="str">
        <f t="shared" ca="1" si="54"/>
        <v>Southern</v>
      </c>
      <c r="BB267" s="34" t="str">
        <f t="shared" si="55"/>
        <v>Fixed Inputs</v>
      </c>
      <c r="BC267" s="34" t="str">
        <f t="shared" si="56"/>
        <v>Variant allowances</v>
      </c>
      <c r="BD267" s="34" t="str">
        <f t="shared" si="57"/>
        <v>Totex variant allowances allocation percentages</v>
      </c>
    </row>
    <row r="268" spans="5:56" x14ac:dyDescent="0.35">
      <c r="E268" s="193" t="str" cm="1">
        <f t="array" ref="E268">INDEX($E$99:$E$202,INT((ROW()-ROW($E$205))/5)+1)</f>
        <v>PCD_Isle of Grain (SGN_So) / Full site and system rebuilds PCD (SGN)</v>
      </c>
      <c r="G268" s="33" t="s">
        <v>109</v>
      </c>
      <c r="H268" s="33" t="s">
        <v>171</v>
      </c>
      <c r="AU268" s="140">
        <v>0</v>
      </c>
      <c r="AV268" s="23">
        <v>0</v>
      </c>
      <c r="AW268" s="23">
        <v>0</v>
      </c>
      <c r="AX268" s="23">
        <v>0</v>
      </c>
      <c r="AY268" s="194">
        <v>0</v>
      </c>
      <c r="BA268" s="34" t="str">
        <f t="shared" ca="1" si="54"/>
        <v>Southern</v>
      </c>
      <c r="BB268" s="34" t="str">
        <f t="shared" si="55"/>
        <v>Fixed Inputs</v>
      </c>
      <c r="BC268" s="34" t="str">
        <f t="shared" si="56"/>
        <v>Variant allowances</v>
      </c>
      <c r="BD268" s="34" t="str">
        <f t="shared" si="57"/>
        <v>Totex variant allowances allocation percentages</v>
      </c>
    </row>
    <row r="269" spans="5:56" x14ac:dyDescent="0.35">
      <c r="E269" s="195" t="str" cm="1">
        <f t="array" ref="E269">INDEX($E$99:$E$202,INT((ROW()-ROW($E$205))/5)+1)</f>
        <v>PCD_Isle of Grain (SGN_So) / Full site and system rebuilds PCD (SGN)</v>
      </c>
      <c r="F269" s="196"/>
      <c r="G269" s="196" t="s">
        <v>109</v>
      </c>
      <c r="H269" s="196" t="s">
        <v>172</v>
      </c>
      <c r="I269" s="196"/>
      <c r="J269" s="196"/>
      <c r="K269" s="196"/>
      <c r="L269" s="196"/>
      <c r="M269" s="196"/>
      <c r="N269" s="196"/>
      <c r="O269" s="196"/>
      <c r="P269" s="196"/>
      <c r="Q269" s="196"/>
      <c r="R269" s="196"/>
      <c r="S269" s="196"/>
      <c r="T269" s="196"/>
      <c r="U269" s="196"/>
      <c r="V269" s="196"/>
      <c r="W269" s="196"/>
      <c r="X269" s="196"/>
      <c r="Y269" s="196"/>
      <c r="Z269" s="196"/>
      <c r="AA269" s="196"/>
      <c r="AB269" s="196"/>
      <c r="AC269" s="196"/>
      <c r="AD269" s="196"/>
      <c r="AE269" s="196"/>
      <c r="AF269" s="196"/>
      <c r="AG269" s="196"/>
      <c r="AH269" s="196"/>
      <c r="AI269" s="196"/>
      <c r="AJ269" s="196"/>
      <c r="AK269" s="196"/>
      <c r="AL269" s="196"/>
      <c r="AM269" s="196"/>
      <c r="AN269" s="196"/>
      <c r="AO269" s="196"/>
      <c r="AP269" s="196"/>
      <c r="AQ269" s="196"/>
      <c r="AR269" s="196"/>
      <c r="AS269" s="196"/>
      <c r="AT269" s="208"/>
      <c r="AU269" s="198">
        <v>0</v>
      </c>
      <c r="AV269" s="199">
        <v>0</v>
      </c>
      <c r="AW269" s="199">
        <v>0</v>
      </c>
      <c r="AX269" s="199">
        <v>0</v>
      </c>
      <c r="AY269" s="200">
        <v>0</v>
      </c>
      <c r="BA269" s="34" t="str">
        <f t="shared" ca="1" si="54"/>
        <v>Southern</v>
      </c>
      <c r="BB269" s="34" t="str">
        <f t="shared" si="55"/>
        <v>Fixed Inputs</v>
      </c>
      <c r="BC269" s="34" t="str">
        <f t="shared" ref="BC269:BC332" si="58">$B$151</f>
        <v>Variant allowances</v>
      </c>
      <c r="BD269" s="34" t="str">
        <f t="shared" si="57"/>
        <v>Totex variant allowances allocation percentages</v>
      </c>
    </row>
    <row r="270" spans="5:56" x14ac:dyDescent="0.35">
      <c r="E270" s="187" t="str" cm="1">
        <f t="array" ref="E270">INDEX($E$99:$E$202,INT((ROW()-ROW($E$205))/5)+1)</f>
        <v>PCD_EVs  / Operational Transport Emissions Reduction PCD</v>
      </c>
      <c r="F270" s="188"/>
      <c r="G270" s="188" t="s">
        <v>109</v>
      </c>
      <c r="H270" s="188" t="s">
        <v>168</v>
      </c>
      <c r="I270" s="188"/>
      <c r="J270" s="188"/>
      <c r="K270" s="188"/>
      <c r="L270" s="188"/>
      <c r="M270" s="188"/>
      <c r="N270" s="188"/>
      <c r="O270" s="188"/>
      <c r="P270" s="188"/>
      <c r="Q270" s="188"/>
      <c r="R270" s="188"/>
      <c r="S270" s="188"/>
      <c r="T270" s="188"/>
      <c r="U270" s="188"/>
      <c r="V270" s="188"/>
      <c r="W270" s="188"/>
      <c r="X270" s="188"/>
      <c r="Y270" s="188"/>
      <c r="Z270" s="188"/>
      <c r="AA270" s="188"/>
      <c r="AB270" s="188"/>
      <c r="AC270" s="188"/>
      <c r="AD270" s="188"/>
      <c r="AE270" s="188"/>
      <c r="AF270" s="188"/>
      <c r="AG270" s="188"/>
      <c r="AH270" s="188"/>
      <c r="AI270" s="188"/>
      <c r="AJ270" s="188"/>
      <c r="AK270" s="188"/>
      <c r="AL270" s="188"/>
      <c r="AM270" s="188"/>
      <c r="AN270" s="188"/>
      <c r="AO270" s="188"/>
      <c r="AP270" s="188"/>
      <c r="AQ270" s="188"/>
      <c r="AR270" s="188"/>
      <c r="AS270" s="188"/>
      <c r="AT270" s="202"/>
      <c r="AU270" s="190">
        <v>0</v>
      </c>
      <c r="AV270" s="191">
        <v>0</v>
      </c>
      <c r="AW270" s="191">
        <v>0</v>
      </c>
      <c r="AX270" s="191">
        <v>0</v>
      </c>
      <c r="AY270" s="192">
        <v>0</v>
      </c>
      <c r="BA270" s="34" t="str">
        <f t="shared" ca="1" si="54"/>
        <v>Southern</v>
      </c>
      <c r="BB270" s="34" t="str">
        <f t="shared" si="55"/>
        <v>Fixed Inputs</v>
      </c>
      <c r="BC270" s="34" t="str">
        <f t="shared" si="58"/>
        <v>Variant allowances</v>
      </c>
      <c r="BD270" s="34" t="str">
        <f t="shared" si="57"/>
        <v>Totex variant allowances allocation percentages</v>
      </c>
    </row>
    <row r="271" spans="5:56" x14ac:dyDescent="0.35">
      <c r="E271" s="193" t="str" cm="1">
        <f t="array" ref="E271">INDEX($E$99:$E$202,INT((ROW()-ROW($E$205))/5)+1)</f>
        <v>PCD_EVs  / Operational Transport Emissions Reduction PCD</v>
      </c>
      <c r="G271" s="33" t="s">
        <v>109</v>
      </c>
      <c r="H271" s="33" t="s">
        <v>169</v>
      </c>
      <c r="AU271" s="140">
        <v>0</v>
      </c>
      <c r="AV271" s="23">
        <v>0</v>
      </c>
      <c r="AW271" s="23">
        <v>0</v>
      </c>
      <c r="AX271" s="23">
        <v>0</v>
      </c>
      <c r="AY271" s="194">
        <v>0</v>
      </c>
      <c r="BA271" s="34" t="str">
        <f t="shared" ca="1" si="54"/>
        <v>Southern</v>
      </c>
      <c r="BB271" s="34" t="str">
        <f t="shared" si="55"/>
        <v>Fixed Inputs</v>
      </c>
      <c r="BC271" s="34" t="str">
        <f t="shared" si="58"/>
        <v>Variant allowances</v>
      </c>
      <c r="BD271" s="34" t="str">
        <f t="shared" si="57"/>
        <v>Totex variant allowances allocation percentages</v>
      </c>
    </row>
    <row r="272" spans="5:56" x14ac:dyDescent="0.35">
      <c r="E272" s="193" t="str" cm="1">
        <f t="array" ref="E272">INDEX($E$99:$E$202,INT((ROW()-ROW($E$205))/5)+1)</f>
        <v>PCD_EVs  / Operational Transport Emissions Reduction PCD</v>
      </c>
      <c r="G272" s="33" t="s">
        <v>109</v>
      </c>
      <c r="H272" s="33" t="s">
        <v>170</v>
      </c>
      <c r="AU272" s="140">
        <v>0</v>
      </c>
      <c r="AV272" s="23">
        <v>0</v>
      </c>
      <c r="AW272" s="23">
        <v>0</v>
      </c>
      <c r="AX272" s="23">
        <v>0</v>
      </c>
      <c r="AY272" s="194">
        <v>0</v>
      </c>
      <c r="BA272" s="34" t="str">
        <f t="shared" ca="1" si="54"/>
        <v>Southern</v>
      </c>
      <c r="BB272" s="34" t="str">
        <f t="shared" si="55"/>
        <v>Fixed Inputs</v>
      </c>
      <c r="BC272" s="34" t="str">
        <f t="shared" si="58"/>
        <v>Variant allowances</v>
      </c>
      <c r="BD272" s="34" t="str">
        <f t="shared" si="57"/>
        <v>Totex variant allowances allocation percentages</v>
      </c>
    </row>
    <row r="273" spans="5:56" x14ac:dyDescent="0.35">
      <c r="E273" s="193" t="str" cm="1">
        <f t="array" ref="E273">INDEX($E$99:$E$202,INT((ROW()-ROW($E$205))/5)+1)</f>
        <v>PCD_EVs  / Operational Transport Emissions Reduction PCD</v>
      </c>
      <c r="G273" s="33" t="s">
        <v>109</v>
      </c>
      <c r="H273" s="33" t="s">
        <v>171</v>
      </c>
      <c r="AU273" s="140">
        <v>1</v>
      </c>
      <c r="AV273" s="23">
        <v>1</v>
      </c>
      <c r="AW273" s="23">
        <v>1</v>
      </c>
      <c r="AX273" s="23">
        <v>1</v>
      </c>
      <c r="AY273" s="194">
        <v>1</v>
      </c>
      <c r="BA273" s="34" t="str">
        <f t="shared" ca="1" si="54"/>
        <v>Southern</v>
      </c>
      <c r="BB273" s="34" t="str">
        <f t="shared" si="55"/>
        <v>Fixed Inputs</v>
      </c>
      <c r="BC273" s="34" t="str">
        <f t="shared" si="58"/>
        <v>Variant allowances</v>
      </c>
      <c r="BD273" s="34" t="str">
        <f t="shared" si="57"/>
        <v>Totex variant allowances allocation percentages</v>
      </c>
    </row>
    <row r="274" spans="5:56" x14ac:dyDescent="0.35">
      <c r="E274" s="195" t="str" cm="1">
        <f t="array" ref="E274">INDEX($E$99:$E$202,INT((ROW()-ROW($E$205))/5)+1)</f>
        <v>PCD_EVs  / Operational Transport Emissions Reduction PCD</v>
      </c>
      <c r="F274" s="196"/>
      <c r="G274" s="196" t="s">
        <v>109</v>
      </c>
      <c r="H274" s="196" t="s">
        <v>172</v>
      </c>
      <c r="I274" s="196"/>
      <c r="J274" s="196"/>
      <c r="K274" s="196"/>
      <c r="L274" s="196"/>
      <c r="M274" s="196"/>
      <c r="N274" s="196"/>
      <c r="O274" s="196"/>
      <c r="P274" s="196"/>
      <c r="Q274" s="196"/>
      <c r="R274" s="196"/>
      <c r="S274" s="196"/>
      <c r="T274" s="196"/>
      <c r="U274" s="196"/>
      <c r="V274" s="196"/>
      <c r="W274" s="196"/>
      <c r="X274" s="196"/>
      <c r="Y274" s="196"/>
      <c r="Z274" s="196"/>
      <c r="AA274" s="196"/>
      <c r="AB274" s="196"/>
      <c r="AC274" s="196"/>
      <c r="AD274" s="196"/>
      <c r="AE274" s="196"/>
      <c r="AF274" s="196"/>
      <c r="AG274" s="196"/>
      <c r="AH274" s="196"/>
      <c r="AI274" s="196"/>
      <c r="AJ274" s="196"/>
      <c r="AK274" s="196"/>
      <c r="AL274" s="196"/>
      <c r="AM274" s="196"/>
      <c r="AN274" s="196"/>
      <c r="AO274" s="196"/>
      <c r="AP274" s="196"/>
      <c r="AQ274" s="196"/>
      <c r="AR274" s="196"/>
      <c r="AS274" s="196"/>
      <c r="AT274" s="208"/>
      <c r="AU274" s="198">
        <v>0</v>
      </c>
      <c r="AV274" s="199">
        <v>0</v>
      </c>
      <c r="AW274" s="199">
        <v>0</v>
      </c>
      <c r="AX274" s="199">
        <v>0</v>
      </c>
      <c r="AY274" s="200">
        <v>0</v>
      </c>
      <c r="BA274" s="34" t="str">
        <f t="shared" ca="1" si="54"/>
        <v>Southern</v>
      </c>
      <c r="BB274" s="34" t="str">
        <f t="shared" si="55"/>
        <v>Fixed Inputs</v>
      </c>
      <c r="BC274" s="34" t="str">
        <f t="shared" si="58"/>
        <v>Variant allowances</v>
      </c>
      <c r="BD274" s="34" t="str">
        <f t="shared" si="57"/>
        <v>Totex variant allowances allocation percentages</v>
      </c>
    </row>
    <row r="275" spans="5:56" x14ac:dyDescent="0.35">
      <c r="E275" s="187" t="str" cm="1">
        <f t="array" ref="E275">INDEX($E$99:$E$202,INT((ROW()-ROW($E$205))/5)+1)</f>
        <v>PCD_South London Mains (SGN_So)</v>
      </c>
      <c r="F275" s="188"/>
      <c r="G275" s="188" t="s">
        <v>109</v>
      </c>
      <c r="H275" s="188" t="s">
        <v>168</v>
      </c>
      <c r="I275" s="188"/>
      <c r="J275" s="188"/>
      <c r="K275" s="188"/>
      <c r="L275" s="188"/>
      <c r="M275" s="188"/>
      <c r="N275" s="188"/>
      <c r="O275" s="188"/>
      <c r="P275" s="188"/>
      <c r="Q275" s="188"/>
      <c r="R275" s="188"/>
      <c r="S275" s="188"/>
      <c r="T275" s="188"/>
      <c r="U275" s="188"/>
      <c r="V275" s="188"/>
      <c r="W275" s="188"/>
      <c r="X275" s="188"/>
      <c r="Y275" s="188"/>
      <c r="Z275" s="188"/>
      <c r="AA275" s="188"/>
      <c r="AB275" s="188"/>
      <c r="AC275" s="188"/>
      <c r="AD275" s="188"/>
      <c r="AE275" s="188"/>
      <c r="AF275" s="188"/>
      <c r="AG275" s="188"/>
      <c r="AH275" s="188"/>
      <c r="AI275" s="188"/>
      <c r="AJ275" s="188"/>
      <c r="AK275" s="188"/>
      <c r="AL275" s="188"/>
      <c r="AM275" s="188"/>
      <c r="AN275" s="188"/>
      <c r="AO275" s="188"/>
      <c r="AP275" s="188"/>
      <c r="AQ275" s="188"/>
      <c r="AR275" s="188"/>
      <c r="AS275" s="188"/>
      <c r="AT275" s="202"/>
      <c r="AU275" s="190">
        <v>0</v>
      </c>
      <c r="AV275" s="191">
        <v>0</v>
      </c>
      <c r="AW275" s="191">
        <v>0</v>
      </c>
      <c r="AX275" s="191">
        <v>0</v>
      </c>
      <c r="AY275" s="192">
        <v>0</v>
      </c>
      <c r="BA275" s="34" t="str">
        <f t="shared" ca="1" si="54"/>
        <v>Southern</v>
      </c>
      <c r="BB275" s="34" t="str">
        <f t="shared" si="55"/>
        <v>Fixed Inputs</v>
      </c>
      <c r="BC275" s="34" t="str">
        <f t="shared" si="58"/>
        <v>Variant allowances</v>
      </c>
      <c r="BD275" s="34" t="str">
        <f t="shared" si="57"/>
        <v>Totex variant allowances allocation percentages</v>
      </c>
    </row>
    <row r="276" spans="5:56" x14ac:dyDescent="0.35">
      <c r="E276" s="193" t="str" cm="1">
        <f t="array" ref="E276">INDEX($E$99:$E$202,INT((ROW()-ROW($E$205))/5)+1)</f>
        <v>PCD_South London Mains (SGN_So)</v>
      </c>
      <c r="G276" s="33" t="s">
        <v>109</v>
      </c>
      <c r="H276" s="33" t="s">
        <v>169</v>
      </c>
      <c r="AU276" s="140">
        <v>0</v>
      </c>
      <c r="AV276" s="23">
        <v>0</v>
      </c>
      <c r="AW276" s="23">
        <v>0</v>
      </c>
      <c r="AX276" s="23">
        <v>0</v>
      </c>
      <c r="AY276" s="194">
        <v>0</v>
      </c>
      <c r="BA276" s="34" t="str">
        <f t="shared" ca="1" si="54"/>
        <v>Southern</v>
      </c>
      <c r="BB276" s="34" t="str">
        <f t="shared" si="55"/>
        <v>Fixed Inputs</v>
      </c>
      <c r="BC276" s="34" t="str">
        <f t="shared" si="58"/>
        <v>Variant allowances</v>
      </c>
      <c r="BD276" s="34" t="str">
        <f t="shared" si="57"/>
        <v>Totex variant allowances allocation percentages</v>
      </c>
    </row>
    <row r="277" spans="5:56" x14ac:dyDescent="0.35">
      <c r="E277" s="193" t="str" cm="1">
        <f t="array" ref="E277">INDEX($E$99:$E$202,INT((ROW()-ROW($E$205))/5)+1)</f>
        <v>PCD_South London Mains (SGN_So)</v>
      </c>
      <c r="G277" s="33" t="s">
        <v>109</v>
      </c>
      <c r="H277" s="33" t="s">
        <v>170</v>
      </c>
      <c r="AU277" s="140">
        <v>0</v>
      </c>
      <c r="AV277" s="23">
        <v>0</v>
      </c>
      <c r="AW277" s="23">
        <v>0</v>
      </c>
      <c r="AX277" s="23">
        <v>0</v>
      </c>
      <c r="AY277" s="194">
        <v>0</v>
      </c>
      <c r="BA277" s="34" t="str">
        <f t="shared" ca="1" si="54"/>
        <v>Southern</v>
      </c>
      <c r="BB277" s="34" t="str">
        <f t="shared" si="55"/>
        <v>Fixed Inputs</v>
      </c>
      <c r="BC277" s="34" t="str">
        <f t="shared" si="58"/>
        <v>Variant allowances</v>
      </c>
      <c r="BD277" s="34" t="str">
        <f t="shared" si="57"/>
        <v>Totex variant allowances allocation percentages</v>
      </c>
    </row>
    <row r="278" spans="5:56" x14ac:dyDescent="0.35">
      <c r="E278" s="193" t="str" cm="1">
        <f t="array" ref="E278">INDEX($E$99:$E$202,INT((ROW()-ROW($E$205))/5)+1)</f>
        <v>PCD_South London Mains (SGN_So)</v>
      </c>
      <c r="G278" s="33" t="s">
        <v>109</v>
      </c>
      <c r="H278" s="33" t="s">
        <v>171</v>
      </c>
      <c r="AU278" s="140">
        <v>0</v>
      </c>
      <c r="AV278" s="23">
        <v>0</v>
      </c>
      <c r="AW278" s="23">
        <v>0</v>
      </c>
      <c r="AX278" s="23">
        <v>0</v>
      </c>
      <c r="AY278" s="194">
        <v>0</v>
      </c>
      <c r="BA278" s="34" t="str">
        <f t="shared" ca="1" si="54"/>
        <v>Southern</v>
      </c>
      <c r="BB278" s="34" t="str">
        <f t="shared" si="55"/>
        <v>Fixed Inputs</v>
      </c>
      <c r="BC278" s="34" t="str">
        <f t="shared" si="58"/>
        <v>Variant allowances</v>
      </c>
      <c r="BD278" s="34" t="str">
        <f t="shared" si="57"/>
        <v>Totex variant allowances allocation percentages</v>
      </c>
    </row>
    <row r="279" spans="5:56" x14ac:dyDescent="0.35">
      <c r="E279" s="195" t="str" cm="1">
        <f t="array" ref="E279">INDEX($E$99:$E$202,INT((ROW()-ROW($E$205))/5)+1)</f>
        <v>PCD_South London Mains (SGN_So)</v>
      </c>
      <c r="F279" s="196"/>
      <c r="G279" s="196" t="s">
        <v>109</v>
      </c>
      <c r="H279" s="196" t="s">
        <v>172</v>
      </c>
      <c r="I279" s="196"/>
      <c r="J279" s="196"/>
      <c r="K279" s="196"/>
      <c r="L279" s="196"/>
      <c r="M279" s="196"/>
      <c r="N279" s="196"/>
      <c r="O279" s="196"/>
      <c r="P279" s="196"/>
      <c r="Q279" s="196"/>
      <c r="R279" s="196"/>
      <c r="S279" s="196"/>
      <c r="T279" s="196"/>
      <c r="U279" s="196"/>
      <c r="V279" s="196"/>
      <c r="W279" s="196"/>
      <c r="X279" s="196"/>
      <c r="Y279" s="196"/>
      <c r="Z279" s="196"/>
      <c r="AA279" s="196"/>
      <c r="AB279" s="196"/>
      <c r="AC279" s="196"/>
      <c r="AD279" s="196"/>
      <c r="AE279" s="196"/>
      <c r="AF279" s="196"/>
      <c r="AG279" s="196"/>
      <c r="AH279" s="196"/>
      <c r="AI279" s="196"/>
      <c r="AJ279" s="196"/>
      <c r="AK279" s="196"/>
      <c r="AL279" s="196"/>
      <c r="AM279" s="196"/>
      <c r="AN279" s="196"/>
      <c r="AO279" s="196"/>
      <c r="AP279" s="196"/>
      <c r="AQ279" s="196"/>
      <c r="AR279" s="196"/>
      <c r="AS279" s="196"/>
      <c r="AT279" s="208"/>
      <c r="AU279" s="198">
        <v>1</v>
      </c>
      <c r="AV279" s="199">
        <v>1</v>
      </c>
      <c r="AW279" s="199">
        <v>1</v>
      </c>
      <c r="AX279" s="199">
        <v>1</v>
      </c>
      <c r="AY279" s="200">
        <v>1</v>
      </c>
      <c r="BA279" s="34" t="str">
        <f t="shared" ca="1" si="54"/>
        <v>Southern</v>
      </c>
      <c r="BB279" s="34" t="str">
        <f t="shared" si="55"/>
        <v>Fixed Inputs</v>
      </c>
      <c r="BC279" s="34" t="str">
        <f t="shared" si="58"/>
        <v>Variant allowances</v>
      </c>
      <c r="BD279" s="34" t="str">
        <f t="shared" si="57"/>
        <v>Totex variant allowances allocation percentages</v>
      </c>
    </row>
    <row r="280" spans="5:56" x14ac:dyDescent="0.35">
      <c r="E280" s="187" t="str" cm="1">
        <f t="array" ref="E280">INDEX($E$99:$E$202,INT((ROW()-ROW($E$205))/5)+1)</f>
        <v>PCD_WWU.7 - HS007 (WWU_WWU) / Pipeline Replacements PCD (WWU)</v>
      </c>
      <c r="F280" s="188"/>
      <c r="G280" s="188" t="s">
        <v>109</v>
      </c>
      <c r="H280" s="188" t="s">
        <v>168</v>
      </c>
      <c r="I280" s="188"/>
      <c r="J280" s="188"/>
      <c r="K280" s="188"/>
      <c r="L280" s="188"/>
      <c r="M280" s="188"/>
      <c r="N280" s="188"/>
      <c r="O280" s="188"/>
      <c r="P280" s="188"/>
      <c r="Q280" s="188"/>
      <c r="R280" s="188"/>
      <c r="S280" s="188"/>
      <c r="T280" s="188"/>
      <c r="U280" s="188"/>
      <c r="V280" s="188"/>
      <c r="W280" s="188"/>
      <c r="X280" s="188"/>
      <c r="Y280" s="188"/>
      <c r="Z280" s="188"/>
      <c r="AA280" s="188"/>
      <c r="AB280" s="188"/>
      <c r="AC280" s="188"/>
      <c r="AD280" s="188"/>
      <c r="AE280" s="188"/>
      <c r="AF280" s="188"/>
      <c r="AG280" s="188"/>
      <c r="AH280" s="188"/>
      <c r="AI280" s="188"/>
      <c r="AJ280" s="188"/>
      <c r="AK280" s="188"/>
      <c r="AL280" s="188"/>
      <c r="AM280" s="188"/>
      <c r="AN280" s="188"/>
      <c r="AO280" s="188"/>
      <c r="AP280" s="188"/>
      <c r="AQ280" s="188"/>
      <c r="AR280" s="188"/>
      <c r="AS280" s="188"/>
      <c r="AT280" s="202"/>
      <c r="AU280" s="190">
        <v>0</v>
      </c>
      <c r="AV280" s="191">
        <v>0</v>
      </c>
      <c r="AW280" s="191">
        <v>0</v>
      </c>
      <c r="AX280" s="191">
        <v>0</v>
      </c>
      <c r="AY280" s="192">
        <v>0</v>
      </c>
      <c r="BA280" s="34" t="str">
        <f t="shared" ca="1" si="54"/>
        <v>Southern</v>
      </c>
      <c r="BB280" s="34" t="str">
        <f t="shared" si="55"/>
        <v>Fixed Inputs</v>
      </c>
      <c r="BC280" s="34" t="str">
        <f t="shared" si="58"/>
        <v>Variant allowances</v>
      </c>
      <c r="BD280" s="34" t="str">
        <f t="shared" si="57"/>
        <v>Totex variant allowances allocation percentages</v>
      </c>
    </row>
    <row r="281" spans="5:56" x14ac:dyDescent="0.35">
      <c r="E281" s="193" t="str" cm="1">
        <f t="array" ref="E281">INDEX($E$99:$E$202,INT((ROW()-ROW($E$205))/5)+1)</f>
        <v>PCD_WWU.7 - HS007 (WWU_WWU) / Pipeline Replacements PCD (WWU)</v>
      </c>
      <c r="G281" s="33" t="s">
        <v>109</v>
      </c>
      <c r="H281" s="33" t="s">
        <v>169</v>
      </c>
      <c r="AU281" s="140">
        <v>1</v>
      </c>
      <c r="AV281" s="23">
        <v>1</v>
      </c>
      <c r="AW281" s="23">
        <v>1</v>
      </c>
      <c r="AX281" s="23">
        <v>1</v>
      </c>
      <c r="AY281" s="194">
        <v>1</v>
      </c>
      <c r="BA281" s="34" t="str">
        <f t="shared" ca="1" si="54"/>
        <v>Southern</v>
      </c>
      <c r="BB281" s="34" t="str">
        <f t="shared" si="55"/>
        <v>Fixed Inputs</v>
      </c>
      <c r="BC281" s="34" t="str">
        <f t="shared" si="58"/>
        <v>Variant allowances</v>
      </c>
      <c r="BD281" s="34" t="str">
        <f t="shared" si="57"/>
        <v>Totex variant allowances allocation percentages</v>
      </c>
    </row>
    <row r="282" spans="5:56" x14ac:dyDescent="0.35">
      <c r="E282" s="193" t="str" cm="1">
        <f t="array" ref="E282">INDEX($E$99:$E$202,INT((ROW()-ROW($E$205))/5)+1)</f>
        <v>PCD_WWU.7 - HS007 (WWU_WWU) / Pipeline Replacements PCD (WWU)</v>
      </c>
      <c r="G282" s="33" t="s">
        <v>109</v>
      </c>
      <c r="H282" s="33" t="s">
        <v>170</v>
      </c>
      <c r="AU282" s="140">
        <v>0</v>
      </c>
      <c r="AV282" s="23">
        <v>0</v>
      </c>
      <c r="AW282" s="23">
        <v>0</v>
      </c>
      <c r="AX282" s="23">
        <v>0</v>
      </c>
      <c r="AY282" s="194">
        <v>0</v>
      </c>
      <c r="BA282" s="34" t="str">
        <f t="shared" ca="1" si="54"/>
        <v>Southern</v>
      </c>
      <c r="BB282" s="34" t="str">
        <f t="shared" si="55"/>
        <v>Fixed Inputs</v>
      </c>
      <c r="BC282" s="34" t="str">
        <f t="shared" si="58"/>
        <v>Variant allowances</v>
      </c>
      <c r="BD282" s="34" t="str">
        <f t="shared" si="57"/>
        <v>Totex variant allowances allocation percentages</v>
      </c>
    </row>
    <row r="283" spans="5:56" x14ac:dyDescent="0.35">
      <c r="E283" s="193" t="str" cm="1">
        <f t="array" ref="E283">INDEX($E$99:$E$202,INT((ROW()-ROW($E$205))/5)+1)</f>
        <v>PCD_WWU.7 - HS007 (WWU_WWU) / Pipeline Replacements PCD (WWU)</v>
      </c>
      <c r="G283" s="33" t="s">
        <v>109</v>
      </c>
      <c r="H283" s="33" t="s">
        <v>171</v>
      </c>
      <c r="AU283" s="140">
        <v>0</v>
      </c>
      <c r="AV283" s="23">
        <v>0</v>
      </c>
      <c r="AW283" s="23">
        <v>0</v>
      </c>
      <c r="AX283" s="23">
        <v>0</v>
      </c>
      <c r="AY283" s="194">
        <v>0</v>
      </c>
      <c r="BA283" s="34" t="str">
        <f t="shared" ca="1" si="54"/>
        <v>Southern</v>
      </c>
      <c r="BB283" s="34" t="str">
        <f t="shared" si="55"/>
        <v>Fixed Inputs</v>
      </c>
      <c r="BC283" s="34" t="str">
        <f t="shared" si="58"/>
        <v>Variant allowances</v>
      </c>
      <c r="BD283" s="34" t="str">
        <f t="shared" si="57"/>
        <v>Totex variant allowances allocation percentages</v>
      </c>
    </row>
    <row r="284" spans="5:56" x14ac:dyDescent="0.35">
      <c r="E284" s="195" t="str" cm="1">
        <f t="array" ref="E284">INDEX($E$99:$E$202,INT((ROW()-ROW($E$205))/5)+1)</f>
        <v>PCD_WWU.7 - HS007 (WWU_WWU) / Pipeline Replacements PCD (WWU)</v>
      </c>
      <c r="F284" s="196"/>
      <c r="G284" s="196" t="s">
        <v>109</v>
      </c>
      <c r="H284" s="196" t="s">
        <v>172</v>
      </c>
      <c r="I284" s="196"/>
      <c r="J284" s="196"/>
      <c r="K284" s="196"/>
      <c r="L284" s="196"/>
      <c r="M284" s="196"/>
      <c r="N284" s="196"/>
      <c r="O284" s="196"/>
      <c r="P284" s="196"/>
      <c r="Q284" s="196"/>
      <c r="R284" s="196"/>
      <c r="S284" s="196"/>
      <c r="T284" s="196"/>
      <c r="U284" s="196"/>
      <c r="V284" s="196"/>
      <c r="W284" s="196"/>
      <c r="X284" s="196"/>
      <c r="Y284" s="196"/>
      <c r="Z284" s="196"/>
      <c r="AA284" s="196"/>
      <c r="AB284" s="196"/>
      <c r="AC284" s="196"/>
      <c r="AD284" s="196"/>
      <c r="AE284" s="196"/>
      <c r="AF284" s="196"/>
      <c r="AG284" s="196"/>
      <c r="AH284" s="196"/>
      <c r="AI284" s="196"/>
      <c r="AJ284" s="196"/>
      <c r="AK284" s="196"/>
      <c r="AL284" s="196"/>
      <c r="AM284" s="196"/>
      <c r="AN284" s="196"/>
      <c r="AO284" s="196"/>
      <c r="AP284" s="196"/>
      <c r="AQ284" s="196"/>
      <c r="AR284" s="196"/>
      <c r="AS284" s="196"/>
      <c r="AT284" s="208"/>
      <c r="AU284" s="198">
        <v>0</v>
      </c>
      <c r="AV284" s="199">
        <v>0</v>
      </c>
      <c r="AW284" s="199">
        <v>0</v>
      </c>
      <c r="AX284" s="199">
        <v>0</v>
      </c>
      <c r="AY284" s="200">
        <v>0</v>
      </c>
      <c r="BA284" s="34" t="str">
        <f t="shared" ca="1" si="54"/>
        <v>Southern</v>
      </c>
      <c r="BB284" s="34" t="str">
        <f t="shared" si="55"/>
        <v>Fixed Inputs</v>
      </c>
      <c r="BC284" s="34" t="str">
        <f t="shared" si="58"/>
        <v>Variant allowances</v>
      </c>
      <c r="BD284" s="34" t="str">
        <f t="shared" si="57"/>
        <v>Totex variant allowances allocation percentages</v>
      </c>
    </row>
    <row r="285" spans="5:56" x14ac:dyDescent="0.35">
      <c r="E285" s="187" t="str" cm="1">
        <f t="array" ref="E285">INDEX($E$99:$E$202,INT((ROW()-ROW($E$205))/5)+1)</f>
        <v>PCD_WWU.9 - HS009 (WWU_WWU) / Pipeline Replacements PCD (WWU)</v>
      </c>
      <c r="F285" s="188"/>
      <c r="G285" s="188" t="s">
        <v>109</v>
      </c>
      <c r="H285" s="188" t="s">
        <v>168</v>
      </c>
      <c r="I285" s="188"/>
      <c r="J285" s="188"/>
      <c r="K285" s="188"/>
      <c r="L285" s="188"/>
      <c r="M285" s="188"/>
      <c r="N285" s="188"/>
      <c r="O285" s="188"/>
      <c r="P285" s="188"/>
      <c r="Q285" s="188"/>
      <c r="R285" s="188"/>
      <c r="S285" s="188"/>
      <c r="T285" s="188"/>
      <c r="U285" s="188"/>
      <c r="V285" s="188"/>
      <c r="W285" s="188"/>
      <c r="X285" s="188"/>
      <c r="Y285" s="188"/>
      <c r="Z285" s="188"/>
      <c r="AA285" s="188"/>
      <c r="AB285" s="188"/>
      <c r="AC285" s="188"/>
      <c r="AD285" s="188"/>
      <c r="AE285" s="188"/>
      <c r="AF285" s="188"/>
      <c r="AG285" s="188"/>
      <c r="AH285" s="188"/>
      <c r="AI285" s="188"/>
      <c r="AJ285" s="188"/>
      <c r="AK285" s="188"/>
      <c r="AL285" s="188"/>
      <c r="AM285" s="188"/>
      <c r="AN285" s="188"/>
      <c r="AO285" s="188"/>
      <c r="AP285" s="188"/>
      <c r="AQ285" s="188"/>
      <c r="AR285" s="188"/>
      <c r="AS285" s="188"/>
      <c r="AT285" s="202"/>
      <c r="AU285" s="190">
        <v>0</v>
      </c>
      <c r="AV285" s="191">
        <v>0</v>
      </c>
      <c r="AW285" s="191">
        <v>0</v>
      </c>
      <c r="AX285" s="191">
        <v>0</v>
      </c>
      <c r="AY285" s="192">
        <v>0</v>
      </c>
      <c r="BA285" s="34" t="str">
        <f t="shared" ca="1" si="54"/>
        <v>Southern</v>
      </c>
      <c r="BB285" s="34" t="str">
        <f t="shared" si="55"/>
        <v>Fixed Inputs</v>
      </c>
      <c r="BC285" s="34" t="str">
        <f t="shared" si="58"/>
        <v>Variant allowances</v>
      </c>
      <c r="BD285" s="34" t="str">
        <f t="shared" si="57"/>
        <v>Totex variant allowances allocation percentages</v>
      </c>
    </row>
    <row r="286" spans="5:56" x14ac:dyDescent="0.35">
      <c r="E286" s="193" t="str" cm="1">
        <f t="array" ref="E286">INDEX($E$99:$E$202,INT((ROW()-ROW($E$205))/5)+1)</f>
        <v>PCD_WWU.9 - HS009 (WWU_WWU) / Pipeline Replacements PCD (WWU)</v>
      </c>
      <c r="G286" s="33" t="s">
        <v>109</v>
      </c>
      <c r="H286" s="33" t="s">
        <v>169</v>
      </c>
      <c r="AU286" s="140">
        <v>1</v>
      </c>
      <c r="AV286" s="23">
        <v>1</v>
      </c>
      <c r="AW286" s="23">
        <v>1</v>
      </c>
      <c r="AX286" s="23">
        <v>1</v>
      </c>
      <c r="AY286" s="194">
        <v>1</v>
      </c>
      <c r="BA286" s="34" t="str">
        <f t="shared" ca="1" si="54"/>
        <v>Southern</v>
      </c>
      <c r="BB286" s="34" t="str">
        <f t="shared" si="55"/>
        <v>Fixed Inputs</v>
      </c>
      <c r="BC286" s="34" t="str">
        <f t="shared" si="58"/>
        <v>Variant allowances</v>
      </c>
      <c r="BD286" s="34" t="str">
        <f t="shared" si="57"/>
        <v>Totex variant allowances allocation percentages</v>
      </c>
    </row>
    <row r="287" spans="5:56" x14ac:dyDescent="0.35">
      <c r="E287" s="193" t="str" cm="1">
        <f t="array" ref="E287">INDEX($E$99:$E$202,INT((ROW()-ROW($E$205))/5)+1)</f>
        <v>PCD_WWU.9 - HS009 (WWU_WWU) / Pipeline Replacements PCD (WWU)</v>
      </c>
      <c r="G287" s="33" t="s">
        <v>109</v>
      </c>
      <c r="H287" s="33" t="s">
        <v>170</v>
      </c>
      <c r="AU287" s="140">
        <v>0</v>
      </c>
      <c r="AV287" s="23">
        <v>0</v>
      </c>
      <c r="AW287" s="23">
        <v>0</v>
      </c>
      <c r="AX287" s="23">
        <v>0</v>
      </c>
      <c r="AY287" s="194">
        <v>0</v>
      </c>
      <c r="BA287" s="34" t="str">
        <f t="shared" ca="1" si="54"/>
        <v>Southern</v>
      </c>
      <c r="BB287" s="34" t="str">
        <f t="shared" si="55"/>
        <v>Fixed Inputs</v>
      </c>
      <c r="BC287" s="34" t="str">
        <f t="shared" si="58"/>
        <v>Variant allowances</v>
      </c>
      <c r="BD287" s="34" t="str">
        <f t="shared" si="57"/>
        <v>Totex variant allowances allocation percentages</v>
      </c>
    </row>
    <row r="288" spans="5:56" x14ac:dyDescent="0.35">
      <c r="E288" s="193" t="str" cm="1">
        <f t="array" ref="E288">INDEX($E$99:$E$202,INT((ROW()-ROW($E$205))/5)+1)</f>
        <v>PCD_WWU.9 - HS009 (WWU_WWU) / Pipeline Replacements PCD (WWU)</v>
      </c>
      <c r="G288" s="33" t="s">
        <v>109</v>
      </c>
      <c r="H288" s="33" t="s">
        <v>171</v>
      </c>
      <c r="AU288" s="140">
        <v>0</v>
      </c>
      <c r="AV288" s="23">
        <v>0</v>
      </c>
      <c r="AW288" s="23">
        <v>0</v>
      </c>
      <c r="AX288" s="23">
        <v>0</v>
      </c>
      <c r="AY288" s="194">
        <v>0</v>
      </c>
      <c r="BA288" s="34" t="str">
        <f t="shared" ca="1" si="54"/>
        <v>Southern</v>
      </c>
      <c r="BB288" s="34" t="str">
        <f t="shared" si="55"/>
        <v>Fixed Inputs</v>
      </c>
      <c r="BC288" s="34" t="str">
        <f t="shared" si="58"/>
        <v>Variant allowances</v>
      </c>
      <c r="BD288" s="34" t="str">
        <f t="shared" si="57"/>
        <v>Totex variant allowances allocation percentages</v>
      </c>
    </row>
    <row r="289" spans="5:56" x14ac:dyDescent="0.35">
      <c r="E289" s="195" t="str" cm="1">
        <f t="array" ref="E289">INDEX($E$99:$E$202,INT((ROW()-ROW($E$205))/5)+1)</f>
        <v>PCD_WWU.9 - HS009 (WWU_WWU) / Pipeline Replacements PCD (WWU)</v>
      </c>
      <c r="F289" s="196"/>
      <c r="G289" s="196" t="s">
        <v>109</v>
      </c>
      <c r="H289" s="196" t="s">
        <v>172</v>
      </c>
      <c r="I289" s="196"/>
      <c r="J289" s="196"/>
      <c r="K289" s="196"/>
      <c r="L289" s="196"/>
      <c r="M289" s="196"/>
      <c r="N289" s="196"/>
      <c r="O289" s="196"/>
      <c r="P289" s="196"/>
      <c r="Q289" s="196"/>
      <c r="R289" s="196"/>
      <c r="S289" s="196"/>
      <c r="T289" s="196"/>
      <c r="U289" s="196"/>
      <c r="V289" s="196"/>
      <c r="W289" s="196"/>
      <c r="X289" s="196"/>
      <c r="Y289" s="196"/>
      <c r="Z289" s="196"/>
      <c r="AA289" s="196"/>
      <c r="AB289" s="196"/>
      <c r="AC289" s="196"/>
      <c r="AD289" s="196"/>
      <c r="AE289" s="196"/>
      <c r="AF289" s="196"/>
      <c r="AG289" s="196"/>
      <c r="AH289" s="196"/>
      <c r="AI289" s="196"/>
      <c r="AJ289" s="196"/>
      <c r="AK289" s="196"/>
      <c r="AL289" s="196"/>
      <c r="AM289" s="196"/>
      <c r="AN289" s="196"/>
      <c r="AO289" s="196"/>
      <c r="AP289" s="196"/>
      <c r="AQ289" s="196"/>
      <c r="AR289" s="196"/>
      <c r="AS289" s="196"/>
      <c r="AT289" s="208"/>
      <c r="AU289" s="198">
        <v>0</v>
      </c>
      <c r="AV289" s="199">
        <v>0</v>
      </c>
      <c r="AW289" s="199">
        <v>0</v>
      </c>
      <c r="AX289" s="199">
        <v>0</v>
      </c>
      <c r="AY289" s="200">
        <v>0</v>
      </c>
      <c r="BA289" s="34" t="str">
        <f t="shared" ca="1" si="54"/>
        <v>Southern</v>
      </c>
      <c r="BB289" s="34" t="str">
        <f t="shared" si="55"/>
        <v>Fixed Inputs</v>
      </c>
      <c r="BC289" s="34" t="str">
        <f t="shared" si="58"/>
        <v>Variant allowances</v>
      </c>
      <c r="BD289" s="34" t="str">
        <f t="shared" si="57"/>
        <v>Totex variant allowances allocation percentages</v>
      </c>
    </row>
    <row r="290" spans="5:56" x14ac:dyDescent="0.35">
      <c r="E290" s="187" t="str" cm="1">
        <f t="array" ref="E290">INDEX($E$99:$E$202,INT((ROW()-ROW($E$205))/5)+1)</f>
        <v>PCD_WWU.9 - HS010 (WWU_WWU) / Pipeline Replacements PCD (WWU)</v>
      </c>
      <c r="F290" s="188"/>
      <c r="G290" s="188" t="s">
        <v>109</v>
      </c>
      <c r="H290" s="188" t="s">
        <v>168</v>
      </c>
      <c r="I290" s="188"/>
      <c r="J290" s="188"/>
      <c r="K290" s="188"/>
      <c r="L290" s="188"/>
      <c r="M290" s="188"/>
      <c r="N290" s="188"/>
      <c r="O290" s="188"/>
      <c r="P290" s="188"/>
      <c r="Q290" s="188"/>
      <c r="R290" s="188"/>
      <c r="S290" s="188"/>
      <c r="T290" s="188"/>
      <c r="U290" s="188"/>
      <c r="V290" s="188"/>
      <c r="W290" s="188"/>
      <c r="X290" s="188"/>
      <c r="Y290" s="188"/>
      <c r="Z290" s="188"/>
      <c r="AA290" s="188"/>
      <c r="AB290" s="188"/>
      <c r="AC290" s="188"/>
      <c r="AD290" s="188"/>
      <c r="AE290" s="188"/>
      <c r="AF290" s="188"/>
      <c r="AG290" s="188"/>
      <c r="AH290" s="188"/>
      <c r="AI290" s="188"/>
      <c r="AJ290" s="188"/>
      <c r="AK290" s="188"/>
      <c r="AL290" s="188"/>
      <c r="AM290" s="188"/>
      <c r="AN290" s="188"/>
      <c r="AO290" s="188"/>
      <c r="AP290" s="188"/>
      <c r="AQ290" s="188"/>
      <c r="AR290" s="188"/>
      <c r="AS290" s="188"/>
      <c r="AT290" s="202"/>
      <c r="AU290" s="190">
        <v>0</v>
      </c>
      <c r="AV290" s="191">
        <v>0</v>
      </c>
      <c r="AW290" s="191">
        <v>0</v>
      </c>
      <c r="AX290" s="191">
        <v>0</v>
      </c>
      <c r="AY290" s="192">
        <v>0</v>
      </c>
      <c r="BA290" s="34" t="str">
        <f t="shared" ca="1" si="54"/>
        <v>Southern</v>
      </c>
      <c r="BB290" s="34" t="str">
        <f t="shared" si="55"/>
        <v>Fixed Inputs</v>
      </c>
      <c r="BC290" s="34" t="str">
        <f t="shared" si="58"/>
        <v>Variant allowances</v>
      </c>
      <c r="BD290" s="34" t="str">
        <f t="shared" si="57"/>
        <v>Totex variant allowances allocation percentages</v>
      </c>
    </row>
    <row r="291" spans="5:56" x14ac:dyDescent="0.35">
      <c r="E291" s="193" t="str" cm="1">
        <f t="array" ref="E291">INDEX($E$99:$E$202,INT((ROW()-ROW($E$205))/5)+1)</f>
        <v>PCD_WWU.9 - HS010 (WWU_WWU) / Pipeline Replacements PCD (WWU)</v>
      </c>
      <c r="G291" s="33" t="s">
        <v>109</v>
      </c>
      <c r="H291" s="33" t="s">
        <v>169</v>
      </c>
      <c r="AU291" s="140">
        <v>1</v>
      </c>
      <c r="AV291" s="23">
        <v>1</v>
      </c>
      <c r="AW291" s="23">
        <v>1</v>
      </c>
      <c r="AX291" s="23">
        <v>1</v>
      </c>
      <c r="AY291" s="194">
        <v>1</v>
      </c>
      <c r="BA291" s="34" t="str">
        <f t="shared" ca="1" si="54"/>
        <v>Southern</v>
      </c>
      <c r="BB291" s="34" t="str">
        <f t="shared" si="55"/>
        <v>Fixed Inputs</v>
      </c>
      <c r="BC291" s="34" t="str">
        <f t="shared" si="58"/>
        <v>Variant allowances</v>
      </c>
      <c r="BD291" s="34" t="str">
        <f t="shared" si="57"/>
        <v>Totex variant allowances allocation percentages</v>
      </c>
    </row>
    <row r="292" spans="5:56" x14ac:dyDescent="0.35">
      <c r="E292" s="193" t="str" cm="1">
        <f t="array" ref="E292">INDEX($E$99:$E$202,INT((ROW()-ROW($E$205))/5)+1)</f>
        <v>PCD_WWU.9 - HS010 (WWU_WWU) / Pipeline Replacements PCD (WWU)</v>
      </c>
      <c r="G292" s="33" t="s">
        <v>109</v>
      </c>
      <c r="H292" s="33" t="s">
        <v>170</v>
      </c>
      <c r="AU292" s="140">
        <v>0</v>
      </c>
      <c r="AV292" s="23">
        <v>0</v>
      </c>
      <c r="AW292" s="23">
        <v>0</v>
      </c>
      <c r="AX292" s="23">
        <v>0</v>
      </c>
      <c r="AY292" s="194">
        <v>0</v>
      </c>
      <c r="BA292" s="34" t="str">
        <f t="shared" ca="1" si="54"/>
        <v>Southern</v>
      </c>
      <c r="BB292" s="34" t="str">
        <f t="shared" si="55"/>
        <v>Fixed Inputs</v>
      </c>
      <c r="BC292" s="34" t="str">
        <f t="shared" si="58"/>
        <v>Variant allowances</v>
      </c>
      <c r="BD292" s="34" t="str">
        <f t="shared" si="57"/>
        <v>Totex variant allowances allocation percentages</v>
      </c>
    </row>
    <row r="293" spans="5:56" x14ac:dyDescent="0.35">
      <c r="E293" s="193" t="str" cm="1">
        <f t="array" ref="E293">INDEX($E$99:$E$202,INT((ROW()-ROW($E$205))/5)+1)</f>
        <v>PCD_WWU.9 - HS010 (WWU_WWU) / Pipeline Replacements PCD (WWU)</v>
      </c>
      <c r="G293" s="33" t="s">
        <v>109</v>
      </c>
      <c r="H293" s="33" t="s">
        <v>171</v>
      </c>
      <c r="AU293" s="140">
        <v>0</v>
      </c>
      <c r="AV293" s="23">
        <v>0</v>
      </c>
      <c r="AW293" s="23">
        <v>0</v>
      </c>
      <c r="AX293" s="23">
        <v>0</v>
      </c>
      <c r="AY293" s="194">
        <v>0</v>
      </c>
      <c r="BA293" s="34" t="str">
        <f t="shared" ca="1" si="54"/>
        <v>Southern</v>
      </c>
      <c r="BB293" s="34" t="str">
        <f t="shared" si="55"/>
        <v>Fixed Inputs</v>
      </c>
      <c r="BC293" s="34" t="str">
        <f t="shared" si="58"/>
        <v>Variant allowances</v>
      </c>
      <c r="BD293" s="34" t="str">
        <f t="shared" si="57"/>
        <v>Totex variant allowances allocation percentages</v>
      </c>
    </row>
    <row r="294" spans="5:56" x14ac:dyDescent="0.35">
      <c r="E294" s="195" t="str" cm="1">
        <f t="array" ref="E294">INDEX($E$99:$E$202,INT((ROW()-ROW($E$205))/5)+1)</f>
        <v>PCD_WWU.9 - HS010 (WWU_WWU) / Pipeline Replacements PCD (WWU)</v>
      </c>
      <c r="F294" s="196"/>
      <c r="G294" s="196" t="s">
        <v>109</v>
      </c>
      <c r="H294" s="196" t="s">
        <v>172</v>
      </c>
      <c r="I294" s="196"/>
      <c r="J294" s="196"/>
      <c r="K294" s="196"/>
      <c r="L294" s="196"/>
      <c r="M294" s="196"/>
      <c r="N294" s="196"/>
      <c r="O294" s="196"/>
      <c r="P294" s="196"/>
      <c r="Q294" s="196"/>
      <c r="R294" s="196"/>
      <c r="S294" s="196"/>
      <c r="T294" s="196"/>
      <c r="U294" s="196"/>
      <c r="V294" s="196"/>
      <c r="W294" s="196"/>
      <c r="X294" s="196"/>
      <c r="Y294" s="196"/>
      <c r="Z294" s="196"/>
      <c r="AA294" s="196"/>
      <c r="AB294" s="196"/>
      <c r="AC294" s="196"/>
      <c r="AD294" s="196"/>
      <c r="AE294" s="196"/>
      <c r="AF294" s="196"/>
      <c r="AG294" s="196"/>
      <c r="AH294" s="196"/>
      <c r="AI294" s="196"/>
      <c r="AJ294" s="196"/>
      <c r="AK294" s="196"/>
      <c r="AL294" s="196"/>
      <c r="AM294" s="196"/>
      <c r="AN294" s="196"/>
      <c r="AO294" s="196"/>
      <c r="AP294" s="196"/>
      <c r="AQ294" s="196"/>
      <c r="AR294" s="196"/>
      <c r="AS294" s="196"/>
      <c r="AT294" s="208"/>
      <c r="AU294" s="198">
        <v>0</v>
      </c>
      <c r="AV294" s="199">
        <v>0</v>
      </c>
      <c r="AW294" s="199">
        <v>0</v>
      </c>
      <c r="AX294" s="199">
        <v>0</v>
      </c>
      <c r="AY294" s="200">
        <v>0</v>
      </c>
      <c r="BA294" s="34" t="str">
        <f t="shared" ca="1" si="54"/>
        <v>Southern</v>
      </c>
      <c r="BB294" s="34" t="str">
        <f t="shared" si="55"/>
        <v>Fixed Inputs</v>
      </c>
      <c r="BC294" s="34" t="str">
        <f t="shared" si="58"/>
        <v>Variant allowances</v>
      </c>
      <c r="BD294" s="34" t="str">
        <f t="shared" si="57"/>
        <v>Totex variant allowances allocation percentages</v>
      </c>
    </row>
    <row r="295" spans="5:56" x14ac:dyDescent="0.35">
      <c r="E295" s="187" t="str" cm="1">
        <f t="array" ref="E295">INDEX($E$99:$E$202,INT((ROW()-ROW($E$205))/5)+1)</f>
        <v>PCD_Mandated Category 3 Security (Cadent_all)</v>
      </c>
      <c r="F295" s="188"/>
      <c r="G295" s="188" t="s">
        <v>109</v>
      </c>
      <c r="H295" s="188" t="s">
        <v>168</v>
      </c>
      <c r="I295" s="188"/>
      <c r="J295" s="188"/>
      <c r="K295" s="188"/>
      <c r="L295" s="188"/>
      <c r="M295" s="188"/>
      <c r="N295" s="188"/>
      <c r="O295" s="188"/>
      <c r="P295" s="188"/>
      <c r="Q295" s="188"/>
      <c r="R295" s="188"/>
      <c r="S295" s="188"/>
      <c r="T295" s="188"/>
      <c r="U295" s="188"/>
      <c r="V295" s="188"/>
      <c r="W295" s="188"/>
      <c r="X295" s="188"/>
      <c r="Y295" s="188"/>
      <c r="Z295" s="188"/>
      <c r="AA295" s="188"/>
      <c r="AB295" s="188"/>
      <c r="AC295" s="188"/>
      <c r="AD295" s="188"/>
      <c r="AE295" s="188"/>
      <c r="AF295" s="188"/>
      <c r="AG295" s="188"/>
      <c r="AH295" s="188"/>
      <c r="AI295" s="188"/>
      <c r="AJ295" s="188"/>
      <c r="AK295" s="188"/>
      <c r="AL295" s="188"/>
      <c r="AM295" s="188"/>
      <c r="AN295" s="188"/>
      <c r="AO295" s="188"/>
      <c r="AP295" s="188"/>
      <c r="AQ295" s="188"/>
      <c r="AR295" s="188"/>
      <c r="AS295" s="188"/>
      <c r="AT295" s="202"/>
      <c r="AU295" s="190">
        <v>0</v>
      </c>
      <c r="AV295" s="191">
        <v>0</v>
      </c>
      <c r="AW295" s="191">
        <v>0</v>
      </c>
      <c r="AX295" s="191">
        <v>0</v>
      </c>
      <c r="AY295" s="192">
        <v>0</v>
      </c>
      <c r="BA295" s="34" t="str">
        <f t="shared" ca="1" si="54"/>
        <v>Southern</v>
      </c>
      <c r="BB295" s="34" t="str">
        <f t="shared" si="55"/>
        <v>Fixed Inputs</v>
      </c>
      <c r="BC295" s="34" t="str">
        <f t="shared" si="58"/>
        <v>Variant allowances</v>
      </c>
      <c r="BD295" s="34" t="str">
        <f t="shared" si="57"/>
        <v>Totex variant allowances allocation percentages</v>
      </c>
    </row>
    <row r="296" spans="5:56" x14ac:dyDescent="0.35">
      <c r="E296" s="193" t="str" cm="1">
        <f t="array" ref="E296">INDEX($E$99:$E$202,INT((ROW()-ROW($E$205))/5)+1)</f>
        <v>PCD_Mandated Category 3 Security (Cadent_all)</v>
      </c>
      <c r="G296" s="33" t="s">
        <v>109</v>
      </c>
      <c r="H296" s="33" t="s">
        <v>169</v>
      </c>
      <c r="AU296" s="140">
        <v>1</v>
      </c>
      <c r="AV296" s="23">
        <v>1</v>
      </c>
      <c r="AW296" s="23">
        <v>1</v>
      </c>
      <c r="AX296" s="23">
        <v>1</v>
      </c>
      <c r="AY296" s="194">
        <v>1</v>
      </c>
      <c r="BA296" s="34" t="str">
        <f t="shared" ca="1" si="54"/>
        <v>Southern</v>
      </c>
      <c r="BB296" s="34" t="str">
        <f t="shared" si="55"/>
        <v>Fixed Inputs</v>
      </c>
      <c r="BC296" s="34" t="str">
        <f t="shared" si="58"/>
        <v>Variant allowances</v>
      </c>
      <c r="BD296" s="34" t="str">
        <f t="shared" si="57"/>
        <v>Totex variant allowances allocation percentages</v>
      </c>
    </row>
    <row r="297" spans="5:56" x14ac:dyDescent="0.35">
      <c r="E297" s="193" t="str" cm="1">
        <f t="array" ref="E297">INDEX($E$99:$E$202,INT((ROW()-ROW($E$205))/5)+1)</f>
        <v>PCD_Mandated Category 3 Security (Cadent_all)</v>
      </c>
      <c r="G297" s="33" t="s">
        <v>109</v>
      </c>
      <c r="H297" s="33" t="s">
        <v>170</v>
      </c>
      <c r="AU297" s="140">
        <v>0</v>
      </c>
      <c r="AV297" s="23">
        <v>0</v>
      </c>
      <c r="AW297" s="23">
        <v>0</v>
      </c>
      <c r="AX297" s="23">
        <v>0</v>
      </c>
      <c r="AY297" s="194">
        <v>0</v>
      </c>
      <c r="BA297" s="34" t="str">
        <f t="shared" ca="1" si="54"/>
        <v>Southern</v>
      </c>
      <c r="BB297" s="34" t="str">
        <f t="shared" si="55"/>
        <v>Fixed Inputs</v>
      </c>
      <c r="BC297" s="34" t="str">
        <f t="shared" si="58"/>
        <v>Variant allowances</v>
      </c>
      <c r="BD297" s="34" t="str">
        <f t="shared" si="57"/>
        <v>Totex variant allowances allocation percentages</v>
      </c>
    </row>
    <row r="298" spans="5:56" x14ac:dyDescent="0.35">
      <c r="E298" s="193" t="str" cm="1">
        <f t="array" ref="E298">INDEX($E$99:$E$202,INT((ROW()-ROW($E$205))/5)+1)</f>
        <v>PCD_Mandated Category 3 Security (Cadent_all)</v>
      </c>
      <c r="G298" s="33" t="s">
        <v>109</v>
      </c>
      <c r="H298" s="33" t="s">
        <v>171</v>
      </c>
      <c r="AU298" s="140">
        <v>0</v>
      </c>
      <c r="AV298" s="23">
        <v>0</v>
      </c>
      <c r="AW298" s="23">
        <v>0</v>
      </c>
      <c r="AX298" s="23">
        <v>0</v>
      </c>
      <c r="AY298" s="194">
        <v>0</v>
      </c>
      <c r="BA298" s="34" t="str">
        <f t="shared" ca="1" si="54"/>
        <v>Southern</v>
      </c>
      <c r="BB298" s="34" t="str">
        <f t="shared" si="55"/>
        <v>Fixed Inputs</v>
      </c>
      <c r="BC298" s="34" t="str">
        <f t="shared" si="58"/>
        <v>Variant allowances</v>
      </c>
      <c r="BD298" s="34" t="str">
        <f t="shared" si="57"/>
        <v>Totex variant allowances allocation percentages</v>
      </c>
    </row>
    <row r="299" spans="5:56" x14ac:dyDescent="0.35">
      <c r="E299" s="195" t="str" cm="1">
        <f t="array" ref="E299">INDEX($E$99:$E$202,INT((ROW()-ROW($E$205))/5)+1)</f>
        <v>PCD_Mandated Category 3 Security (Cadent_all)</v>
      </c>
      <c r="F299" s="196"/>
      <c r="G299" s="196" t="s">
        <v>109</v>
      </c>
      <c r="H299" s="196" t="s">
        <v>172</v>
      </c>
      <c r="I299" s="196"/>
      <c r="J299" s="196"/>
      <c r="K299" s="196"/>
      <c r="L299" s="196"/>
      <c r="M299" s="196"/>
      <c r="N299" s="196"/>
      <c r="O299" s="196"/>
      <c r="P299" s="196"/>
      <c r="Q299" s="196"/>
      <c r="R299" s="196"/>
      <c r="S299" s="196"/>
      <c r="T299" s="196"/>
      <c r="U299" s="196"/>
      <c r="V299" s="196"/>
      <c r="W299" s="196"/>
      <c r="X299" s="196"/>
      <c r="Y299" s="196"/>
      <c r="Z299" s="196"/>
      <c r="AA299" s="196"/>
      <c r="AB299" s="196"/>
      <c r="AC299" s="196"/>
      <c r="AD299" s="196"/>
      <c r="AE299" s="196"/>
      <c r="AF299" s="196"/>
      <c r="AG299" s="196"/>
      <c r="AH299" s="196"/>
      <c r="AI299" s="196"/>
      <c r="AJ299" s="196"/>
      <c r="AK299" s="196"/>
      <c r="AL299" s="196"/>
      <c r="AM299" s="196"/>
      <c r="AN299" s="196"/>
      <c r="AO299" s="196"/>
      <c r="AP299" s="196"/>
      <c r="AQ299" s="196"/>
      <c r="AR299" s="196"/>
      <c r="AS299" s="196"/>
      <c r="AT299" s="208"/>
      <c r="AU299" s="198">
        <v>0</v>
      </c>
      <c r="AV299" s="199">
        <v>0</v>
      </c>
      <c r="AW299" s="199">
        <v>0</v>
      </c>
      <c r="AX299" s="199">
        <v>0</v>
      </c>
      <c r="AY299" s="200">
        <v>0</v>
      </c>
      <c r="BA299" s="34" t="str">
        <f t="shared" ca="1" si="54"/>
        <v>Southern</v>
      </c>
      <c r="BB299" s="34" t="str">
        <f t="shared" si="55"/>
        <v>Fixed Inputs</v>
      </c>
      <c r="BC299" s="34" t="str">
        <f t="shared" si="58"/>
        <v>Variant allowances</v>
      </c>
      <c r="BD299" s="34" t="str">
        <f t="shared" si="57"/>
        <v>Totex variant allowances allocation percentages</v>
      </c>
    </row>
    <row r="300" spans="5:56" x14ac:dyDescent="0.35">
      <c r="E300" s="187" t="str" cm="1">
        <f t="array" ref="E300">INDEX($E$99:$E$202,INT((ROW()-ROW($E$205))/5)+1)</f>
        <v>VD_GSIUR Disconnections Volume Driver</v>
      </c>
      <c r="F300" s="188"/>
      <c r="G300" s="188" t="s">
        <v>109</v>
      </c>
      <c r="H300" s="188" t="s">
        <v>168</v>
      </c>
      <c r="I300" s="188"/>
      <c r="J300" s="188"/>
      <c r="K300" s="188"/>
      <c r="L300" s="188"/>
      <c r="M300" s="188"/>
      <c r="N300" s="188"/>
      <c r="O300" s="188"/>
      <c r="P300" s="188"/>
      <c r="Q300" s="188"/>
      <c r="R300" s="188"/>
      <c r="S300" s="188"/>
      <c r="T300" s="188"/>
      <c r="U300" s="188"/>
      <c r="V300" s="188"/>
      <c r="W300" s="188"/>
      <c r="X300" s="188"/>
      <c r="Y300" s="188"/>
      <c r="Z300" s="188"/>
      <c r="AA300" s="188"/>
      <c r="AB300" s="188"/>
      <c r="AC300" s="188"/>
      <c r="AD300" s="188"/>
      <c r="AE300" s="188"/>
      <c r="AF300" s="188"/>
      <c r="AG300" s="188"/>
      <c r="AH300" s="188"/>
      <c r="AI300" s="188"/>
      <c r="AJ300" s="188"/>
      <c r="AK300" s="188"/>
      <c r="AL300" s="188"/>
      <c r="AM300" s="188"/>
      <c r="AN300" s="188"/>
      <c r="AO300" s="188"/>
      <c r="AP300" s="188"/>
      <c r="AQ300" s="188"/>
      <c r="AR300" s="188"/>
      <c r="AS300" s="188"/>
      <c r="AT300" s="202"/>
      <c r="AU300" s="190">
        <v>0</v>
      </c>
      <c r="AV300" s="191">
        <v>0</v>
      </c>
      <c r="AW300" s="191">
        <v>0</v>
      </c>
      <c r="AX300" s="191">
        <v>0</v>
      </c>
      <c r="AY300" s="192">
        <v>0</v>
      </c>
      <c r="BA300" s="34" t="str">
        <f t="shared" ca="1" si="54"/>
        <v>Southern</v>
      </c>
      <c r="BB300" s="34" t="str">
        <f t="shared" si="55"/>
        <v>Fixed Inputs</v>
      </c>
      <c r="BC300" s="34" t="str">
        <f t="shared" si="58"/>
        <v>Variant allowances</v>
      </c>
      <c r="BD300" s="34" t="str">
        <f t="shared" si="57"/>
        <v>Totex variant allowances allocation percentages</v>
      </c>
    </row>
    <row r="301" spans="5:56" x14ac:dyDescent="0.35">
      <c r="E301" s="193" t="str" cm="1">
        <f t="array" ref="E301">INDEX($E$99:$E$202,INT((ROW()-ROW($E$205))/5)+1)</f>
        <v>VD_GSIUR Disconnections Volume Driver</v>
      </c>
      <c r="G301" s="33" t="s">
        <v>109</v>
      </c>
      <c r="H301" s="33" t="s">
        <v>169</v>
      </c>
      <c r="AU301" s="140">
        <v>0</v>
      </c>
      <c r="AV301" s="23">
        <v>0</v>
      </c>
      <c r="AW301" s="23">
        <v>0</v>
      </c>
      <c r="AX301" s="23">
        <v>0</v>
      </c>
      <c r="AY301" s="194">
        <v>0</v>
      </c>
      <c r="BA301" s="34" t="str">
        <f t="shared" ca="1" si="54"/>
        <v>Southern</v>
      </c>
      <c r="BB301" s="34" t="str">
        <f t="shared" si="55"/>
        <v>Fixed Inputs</v>
      </c>
      <c r="BC301" s="34" t="str">
        <f t="shared" si="58"/>
        <v>Variant allowances</v>
      </c>
      <c r="BD301" s="34" t="str">
        <f t="shared" si="57"/>
        <v>Totex variant allowances allocation percentages</v>
      </c>
    </row>
    <row r="302" spans="5:56" x14ac:dyDescent="0.35">
      <c r="E302" s="193" t="str" cm="1">
        <f t="array" ref="E302">INDEX($E$99:$E$202,INT((ROW()-ROW($E$205))/5)+1)</f>
        <v>VD_GSIUR Disconnections Volume Driver</v>
      </c>
      <c r="G302" s="33" t="s">
        <v>109</v>
      </c>
      <c r="H302" s="33" t="s">
        <v>170</v>
      </c>
      <c r="AU302" s="140">
        <v>0</v>
      </c>
      <c r="AV302" s="23">
        <v>0</v>
      </c>
      <c r="AW302" s="23">
        <v>0</v>
      </c>
      <c r="AX302" s="23">
        <v>0</v>
      </c>
      <c r="AY302" s="194">
        <v>0</v>
      </c>
      <c r="BA302" s="34" t="str">
        <f t="shared" ca="1" si="54"/>
        <v>Southern</v>
      </c>
      <c r="BB302" s="34" t="str">
        <f t="shared" si="55"/>
        <v>Fixed Inputs</v>
      </c>
      <c r="BC302" s="34" t="str">
        <f t="shared" si="58"/>
        <v>Variant allowances</v>
      </c>
      <c r="BD302" s="34" t="str">
        <f t="shared" si="57"/>
        <v>Totex variant allowances allocation percentages</v>
      </c>
    </row>
    <row r="303" spans="5:56" x14ac:dyDescent="0.35">
      <c r="E303" s="193" t="str" cm="1">
        <f t="array" ref="E303">INDEX($E$99:$E$202,INT((ROW()-ROW($E$205))/5)+1)</f>
        <v>VD_GSIUR Disconnections Volume Driver</v>
      </c>
      <c r="G303" s="33" t="s">
        <v>109</v>
      </c>
      <c r="H303" s="33" t="s">
        <v>171</v>
      </c>
      <c r="AU303" s="140">
        <v>1</v>
      </c>
      <c r="AV303" s="23">
        <v>1</v>
      </c>
      <c r="AW303" s="23">
        <v>1</v>
      </c>
      <c r="AX303" s="23">
        <v>1</v>
      </c>
      <c r="AY303" s="194">
        <v>1</v>
      </c>
      <c r="BA303" s="34" t="str">
        <f t="shared" ca="1" si="54"/>
        <v>Southern</v>
      </c>
      <c r="BB303" s="34" t="str">
        <f t="shared" si="55"/>
        <v>Fixed Inputs</v>
      </c>
      <c r="BC303" s="34" t="str">
        <f t="shared" si="58"/>
        <v>Variant allowances</v>
      </c>
      <c r="BD303" s="34" t="str">
        <f t="shared" si="57"/>
        <v>Totex variant allowances allocation percentages</v>
      </c>
    </row>
    <row r="304" spans="5:56" x14ac:dyDescent="0.35">
      <c r="E304" s="195" t="str" cm="1">
        <f t="array" ref="E304">INDEX($E$99:$E$202,INT((ROW()-ROW($E$205))/5)+1)</f>
        <v>VD_GSIUR Disconnections Volume Driver</v>
      </c>
      <c r="F304" s="196"/>
      <c r="G304" s="196" t="s">
        <v>109</v>
      </c>
      <c r="H304" s="196" t="s">
        <v>172</v>
      </c>
      <c r="I304" s="196"/>
      <c r="J304" s="196"/>
      <c r="K304" s="196"/>
      <c r="L304" s="196"/>
      <c r="M304" s="196"/>
      <c r="N304" s="196"/>
      <c r="O304" s="196"/>
      <c r="P304" s="196"/>
      <c r="Q304" s="196"/>
      <c r="R304" s="196"/>
      <c r="S304" s="196"/>
      <c r="T304" s="196"/>
      <c r="U304" s="196"/>
      <c r="V304" s="196"/>
      <c r="W304" s="196"/>
      <c r="X304" s="196"/>
      <c r="Y304" s="196"/>
      <c r="Z304" s="196"/>
      <c r="AA304" s="196"/>
      <c r="AB304" s="196"/>
      <c r="AC304" s="196"/>
      <c r="AD304" s="196"/>
      <c r="AE304" s="196"/>
      <c r="AF304" s="196"/>
      <c r="AG304" s="196"/>
      <c r="AH304" s="196"/>
      <c r="AI304" s="196"/>
      <c r="AJ304" s="196"/>
      <c r="AK304" s="196"/>
      <c r="AL304" s="196"/>
      <c r="AM304" s="196"/>
      <c r="AN304" s="196"/>
      <c r="AO304" s="196"/>
      <c r="AP304" s="196"/>
      <c r="AQ304" s="196"/>
      <c r="AR304" s="196"/>
      <c r="AS304" s="196"/>
      <c r="AT304" s="208"/>
      <c r="AU304" s="198">
        <v>0</v>
      </c>
      <c r="AV304" s="199">
        <v>0</v>
      </c>
      <c r="AW304" s="199">
        <v>0</v>
      </c>
      <c r="AX304" s="199">
        <v>0</v>
      </c>
      <c r="AY304" s="200">
        <v>0</v>
      </c>
      <c r="BA304" s="34" t="str">
        <f t="shared" ca="1" si="54"/>
        <v>Southern</v>
      </c>
      <c r="BB304" s="34" t="str">
        <f t="shared" si="55"/>
        <v>Fixed Inputs</v>
      </c>
      <c r="BC304" s="34" t="str">
        <f t="shared" si="58"/>
        <v>Variant allowances</v>
      </c>
      <c r="BD304" s="34" t="str">
        <f t="shared" si="57"/>
        <v>Totex variant allowances allocation percentages</v>
      </c>
    </row>
    <row r="305" spans="5:56" x14ac:dyDescent="0.35">
      <c r="E305" s="187" t="str" cm="1">
        <f t="array" ref="E305">INDEX($E$99:$E$202,INT((ROW()-ROW($E$205))/5)+1)</f>
        <v>VD_[spare slot]</v>
      </c>
      <c r="F305" s="188"/>
      <c r="G305" s="188" t="s">
        <v>109</v>
      </c>
      <c r="H305" s="188" t="s">
        <v>168</v>
      </c>
      <c r="I305" s="188"/>
      <c r="J305" s="188"/>
      <c r="K305" s="188"/>
      <c r="L305" s="188"/>
      <c r="M305" s="188"/>
      <c r="N305" s="188"/>
      <c r="O305" s="188"/>
      <c r="P305" s="188"/>
      <c r="Q305" s="188"/>
      <c r="R305" s="188"/>
      <c r="S305" s="188"/>
      <c r="T305" s="188"/>
      <c r="U305" s="188"/>
      <c r="V305" s="188"/>
      <c r="W305" s="188"/>
      <c r="X305" s="188"/>
      <c r="Y305" s="188"/>
      <c r="Z305" s="188"/>
      <c r="AA305" s="188"/>
      <c r="AB305" s="188"/>
      <c r="AC305" s="188"/>
      <c r="AD305" s="188"/>
      <c r="AE305" s="188"/>
      <c r="AF305" s="188"/>
      <c r="AG305" s="188"/>
      <c r="AH305" s="188"/>
      <c r="AI305" s="188"/>
      <c r="AJ305" s="188"/>
      <c r="AK305" s="188"/>
      <c r="AL305" s="188"/>
      <c r="AM305" s="188"/>
      <c r="AN305" s="188"/>
      <c r="AO305" s="188"/>
      <c r="AP305" s="188"/>
      <c r="AQ305" s="188"/>
      <c r="AR305" s="188"/>
      <c r="AS305" s="188"/>
      <c r="AT305" s="202"/>
      <c r="AU305" s="190">
        <v>0</v>
      </c>
      <c r="AV305" s="191">
        <v>0</v>
      </c>
      <c r="AW305" s="191">
        <v>0</v>
      </c>
      <c r="AX305" s="191">
        <v>0</v>
      </c>
      <c r="AY305" s="192">
        <v>0</v>
      </c>
      <c r="BA305" s="34" t="str">
        <f t="shared" ca="1" si="54"/>
        <v>Southern</v>
      </c>
      <c r="BB305" s="34" t="str">
        <f t="shared" si="55"/>
        <v>Fixed Inputs</v>
      </c>
      <c r="BC305" s="34" t="str">
        <f t="shared" si="58"/>
        <v>Variant allowances</v>
      </c>
      <c r="BD305" s="34" t="str">
        <f t="shared" si="57"/>
        <v>Totex variant allowances allocation percentages</v>
      </c>
    </row>
    <row r="306" spans="5:56" x14ac:dyDescent="0.35">
      <c r="E306" s="193" t="str" cm="1">
        <f t="array" ref="E306">INDEX($E$99:$E$202,INT((ROW()-ROW($E$205))/5)+1)</f>
        <v>VD_[spare slot]</v>
      </c>
      <c r="G306" s="33" t="s">
        <v>109</v>
      </c>
      <c r="H306" s="33" t="s">
        <v>169</v>
      </c>
      <c r="AU306" s="140">
        <v>0</v>
      </c>
      <c r="AV306" s="23">
        <v>0</v>
      </c>
      <c r="AW306" s="23">
        <v>0</v>
      </c>
      <c r="AX306" s="23">
        <v>0</v>
      </c>
      <c r="AY306" s="194">
        <v>0</v>
      </c>
      <c r="BA306" s="34" t="str">
        <f t="shared" ca="1" si="54"/>
        <v>Southern</v>
      </c>
      <c r="BB306" s="34" t="str">
        <f t="shared" si="55"/>
        <v>Fixed Inputs</v>
      </c>
      <c r="BC306" s="34" t="str">
        <f t="shared" si="58"/>
        <v>Variant allowances</v>
      </c>
      <c r="BD306" s="34" t="str">
        <f t="shared" si="57"/>
        <v>Totex variant allowances allocation percentages</v>
      </c>
    </row>
    <row r="307" spans="5:56" x14ac:dyDescent="0.35">
      <c r="E307" s="193" t="str" cm="1">
        <f t="array" ref="E307">INDEX($E$99:$E$202,INT((ROW()-ROW($E$205))/5)+1)</f>
        <v>VD_[spare slot]</v>
      </c>
      <c r="G307" s="33" t="s">
        <v>109</v>
      </c>
      <c r="H307" s="33" t="s">
        <v>170</v>
      </c>
      <c r="AU307" s="140">
        <v>0</v>
      </c>
      <c r="AV307" s="23">
        <v>0</v>
      </c>
      <c r="AW307" s="23">
        <v>0</v>
      </c>
      <c r="AX307" s="23">
        <v>0</v>
      </c>
      <c r="AY307" s="194">
        <v>0</v>
      </c>
      <c r="BA307" s="34" t="str">
        <f t="shared" ca="1" si="54"/>
        <v>Southern</v>
      </c>
      <c r="BB307" s="34" t="str">
        <f t="shared" si="55"/>
        <v>Fixed Inputs</v>
      </c>
      <c r="BC307" s="34" t="str">
        <f t="shared" si="58"/>
        <v>Variant allowances</v>
      </c>
      <c r="BD307" s="34" t="str">
        <f t="shared" si="57"/>
        <v>Totex variant allowances allocation percentages</v>
      </c>
    </row>
    <row r="308" spans="5:56" x14ac:dyDescent="0.35">
      <c r="E308" s="193" t="str" cm="1">
        <f t="array" ref="E308">INDEX($E$99:$E$202,INT((ROW()-ROW($E$205))/5)+1)</f>
        <v>VD_[spare slot]</v>
      </c>
      <c r="G308" s="33" t="s">
        <v>109</v>
      </c>
      <c r="H308" s="33" t="s">
        <v>171</v>
      </c>
      <c r="AU308" s="21">
        <v>0</v>
      </c>
      <c r="AV308" s="21">
        <v>0</v>
      </c>
      <c r="AW308" s="21">
        <v>0</v>
      </c>
      <c r="AX308" s="21">
        <v>0</v>
      </c>
      <c r="AY308" s="222">
        <v>0</v>
      </c>
      <c r="BA308" s="34" t="str">
        <f t="shared" ca="1" si="54"/>
        <v>Southern</v>
      </c>
      <c r="BB308" s="34" t="str">
        <f t="shared" si="55"/>
        <v>Fixed Inputs</v>
      </c>
      <c r="BC308" s="34" t="str">
        <f t="shared" si="58"/>
        <v>Variant allowances</v>
      </c>
      <c r="BD308" s="34" t="str">
        <f t="shared" si="57"/>
        <v>Totex variant allowances allocation percentages</v>
      </c>
    </row>
    <row r="309" spans="5:56" x14ac:dyDescent="0.35">
      <c r="E309" s="195" t="str" cm="1">
        <f t="array" ref="E309">INDEX($E$99:$E$202,INT((ROW()-ROW($E$205))/5)+1)</f>
        <v>VD_[spare slot]</v>
      </c>
      <c r="F309" s="196"/>
      <c r="G309" s="196" t="s">
        <v>109</v>
      </c>
      <c r="H309" s="196" t="s">
        <v>172</v>
      </c>
      <c r="I309" s="196"/>
      <c r="J309" s="196"/>
      <c r="K309" s="196"/>
      <c r="L309" s="196"/>
      <c r="M309" s="196"/>
      <c r="N309" s="196"/>
      <c r="O309" s="196"/>
      <c r="P309" s="196"/>
      <c r="Q309" s="196"/>
      <c r="R309" s="196"/>
      <c r="S309" s="196"/>
      <c r="T309" s="196"/>
      <c r="U309" s="196"/>
      <c r="V309" s="196"/>
      <c r="W309" s="196"/>
      <c r="X309" s="196"/>
      <c r="Y309" s="196"/>
      <c r="Z309" s="196"/>
      <c r="AA309" s="196"/>
      <c r="AB309" s="196"/>
      <c r="AC309" s="196"/>
      <c r="AD309" s="196"/>
      <c r="AE309" s="196"/>
      <c r="AF309" s="196"/>
      <c r="AG309" s="196"/>
      <c r="AH309" s="196"/>
      <c r="AI309" s="196"/>
      <c r="AJ309" s="196"/>
      <c r="AK309" s="196"/>
      <c r="AL309" s="196"/>
      <c r="AM309" s="196"/>
      <c r="AN309" s="196"/>
      <c r="AO309" s="196"/>
      <c r="AP309" s="196"/>
      <c r="AQ309" s="196"/>
      <c r="AR309" s="196"/>
      <c r="AS309" s="196"/>
      <c r="AT309" s="208"/>
      <c r="AU309" s="223">
        <v>0</v>
      </c>
      <c r="AV309" s="223">
        <v>0</v>
      </c>
      <c r="AW309" s="223">
        <v>0</v>
      </c>
      <c r="AX309" s="223">
        <v>0</v>
      </c>
      <c r="AY309" s="224">
        <v>0</v>
      </c>
      <c r="BA309" s="34" t="str">
        <f t="shared" ca="1" si="54"/>
        <v>Southern</v>
      </c>
      <c r="BB309" s="34" t="str">
        <f t="shared" si="55"/>
        <v>Fixed Inputs</v>
      </c>
      <c r="BC309" s="34" t="str">
        <f t="shared" si="58"/>
        <v>Variant allowances</v>
      </c>
      <c r="BD309" s="34" t="str">
        <f t="shared" si="57"/>
        <v>Totex variant allowances allocation percentages</v>
      </c>
    </row>
    <row r="310" spans="5:56" x14ac:dyDescent="0.35">
      <c r="E310" s="187" t="str" cm="1">
        <f t="array" ref="E310">INDEX($E$99:$E$202,INT((ROW()-ROW($E$205))/5)+1)</f>
        <v>VD_Tier 2A Mains and Services Replacement Volume Driver</v>
      </c>
      <c r="F310" s="188"/>
      <c r="G310" s="188" t="s">
        <v>109</v>
      </c>
      <c r="H310" s="188" t="s">
        <v>168</v>
      </c>
      <c r="I310" s="188"/>
      <c r="J310" s="188"/>
      <c r="K310" s="188"/>
      <c r="L310" s="188"/>
      <c r="M310" s="188"/>
      <c r="N310" s="188"/>
      <c r="O310" s="188"/>
      <c r="P310" s="188"/>
      <c r="Q310" s="188"/>
      <c r="R310" s="188"/>
      <c r="S310" s="188"/>
      <c r="T310" s="188"/>
      <c r="U310" s="188"/>
      <c r="V310" s="188"/>
      <c r="W310" s="188"/>
      <c r="X310" s="188"/>
      <c r="Y310" s="188"/>
      <c r="Z310" s="188"/>
      <c r="AA310" s="188"/>
      <c r="AB310" s="188"/>
      <c r="AC310" s="188"/>
      <c r="AD310" s="188"/>
      <c r="AE310" s="188"/>
      <c r="AF310" s="188"/>
      <c r="AG310" s="188"/>
      <c r="AH310" s="188"/>
      <c r="AI310" s="188"/>
      <c r="AJ310" s="188"/>
      <c r="AK310" s="188"/>
      <c r="AL310" s="188"/>
      <c r="AM310" s="188"/>
      <c r="AN310" s="188"/>
      <c r="AO310" s="188"/>
      <c r="AP310" s="188"/>
      <c r="AQ310" s="188"/>
      <c r="AR310" s="188"/>
      <c r="AS310" s="188"/>
      <c r="AT310" s="202"/>
      <c r="AU310" s="219">
        <v>0</v>
      </c>
      <c r="AV310" s="220">
        <v>0</v>
      </c>
      <c r="AW310" s="220">
        <v>0</v>
      </c>
      <c r="AX310" s="220">
        <v>0</v>
      </c>
      <c r="AY310" s="221">
        <v>0</v>
      </c>
      <c r="BA310" s="34" t="str">
        <f t="shared" ca="1" si="54"/>
        <v>Southern</v>
      </c>
      <c r="BB310" s="34" t="str">
        <f t="shared" si="55"/>
        <v>Fixed Inputs</v>
      </c>
      <c r="BC310" s="34" t="str">
        <f t="shared" si="58"/>
        <v>Variant allowances</v>
      </c>
      <c r="BD310" s="34" t="str">
        <f t="shared" si="57"/>
        <v>Totex variant allowances allocation percentages</v>
      </c>
    </row>
    <row r="311" spans="5:56" x14ac:dyDescent="0.35">
      <c r="E311" s="193" t="str" cm="1">
        <f t="array" ref="E311">INDEX($E$99:$E$202,INT((ROW()-ROW($E$205))/5)+1)</f>
        <v>VD_Tier 2A Mains and Services Replacement Volume Driver</v>
      </c>
      <c r="G311" s="33" t="s">
        <v>109</v>
      </c>
      <c r="H311" s="33" t="s">
        <v>169</v>
      </c>
      <c r="AU311" s="140">
        <v>0</v>
      </c>
      <c r="AV311" s="23">
        <v>0</v>
      </c>
      <c r="AW311" s="23">
        <v>0</v>
      </c>
      <c r="AX311" s="23">
        <v>0</v>
      </c>
      <c r="AY311" s="194">
        <v>0</v>
      </c>
      <c r="BA311" s="34" t="str">
        <f t="shared" ca="1" si="54"/>
        <v>Southern</v>
      </c>
      <c r="BB311" s="34" t="str">
        <f t="shared" si="55"/>
        <v>Fixed Inputs</v>
      </c>
      <c r="BC311" s="34" t="str">
        <f t="shared" si="58"/>
        <v>Variant allowances</v>
      </c>
      <c r="BD311" s="34" t="str">
        <f t="shared" si="57"/>
        <v>Totex variant allowances allocation percentages</v>
      </c>
    </row>
    <row r="312" spans="5:56" x14ac:dyDescent="0.35">
      <c r="E312" s="193" t="str" cm="1">
        <f t="array" ref="E312">INDEX($E$99:$E$202,INT((ROW()-ROW($E$205))/5)+1)</f>
        <v>VD_Tier 2A Mains and Services Replacement Volume Driver</v>
      </c>
      <c r="G312" s="33" t="s">
        <v>109</v>
      </c>
      <c r="H312" s="33" t="s">
        <v>170</v>
      </c>
      <c r="AU312" s="140">
        <v>0</v>
      </c>
      <c r="AV312" s="23">
        <v>0</v>
      </c>
      <c r="AW312" s="23">
        <v>0</v>
      </c>
      <c r="AX312" s="23">
        <v>0</v>
      </c>
      <c r="AY312" s="194">
        <v>0</v>
      </c>
      <c r="BA312" s="34" t="str">
        <f t="shared" ca="1" si="54"/>
        <v>Southern</v>
      </c>
      <c r="BB312" s="34" t="str">
        <f t="shared" si="55"/>
        <v>Fixed Inputs</v>
      </c>
      <c r="BC312" s="34" t="str">
        <f t="shared" si="58"/>
        <v>Variant allowances</v>
      </c>
      <c r="BD312" s="34" t="str">
        <f t="shared" si="57"/>
        <v>Totex variant allowances allocation percentages</v>
      </c>
    </row>
    <row r="313" spans="5:56" x14ac:dyDescent="0.35">
      <c r="E313" s="193" t="str" cm="1">
        <f t="array" ref="E313">INDEX($E$99:$E$202,INT((ROW()-ROW($E$205))/5)+1)</f>
        <v>VD_Tier 2A Mains and Services Replacement Volume Driver</v>
      </c>
      <c r="G313" s="33" t="s">
        <v>109</v>
      </c>
      <c r="H313" s="33" t="s">
        <v>171</v>
      </c>
      <c r="AU313" s="140">
        <v>0</v>
      </c>
      <c r="AV313" s="23">
        <v>0</v>
      </c>
      <c r="AW313" s="23">
        <v>0</v>
      </c>
      <c r="AX313" s="23">
        <v>0</v>
      </c>
      <c r="AY313" s="194">
        <v>0</v>
      </c>
      <c r="BA313" s="34" t="str">
        <f t="shared" ca="1" si="54"/>
        <v>Southern</v>
      </c>
      <c r="BB313" s="34" t="str">
        <f t="shared" si="55"/>
        <v>Fixed Inputs</v>
      </c>
      <c r="BC313" s="34" t="str">
        <f t="shared" si="58"/>
        <v>Variant allowances</v>
      </c>
      <c r="BD313" s="34" t="str">
        <f t="shared" si="57"/>
        <v>Totex variant allowances allocation percentages</v>
      </c>
    </row>
    <row r="314" spans="5:56" x14ac:dyDescent="0.35">
      <c r="E314" s="195" t="str" cm="1">
        <f t="array" ref="E314">INDEX($E$99:$E$202,INT((ROW()-ROW($E$205))/5)+1)</f>
        <v>VD_Tier 2A Mains and Services Replacement Volume Driver</v>
      </c>
      <c r="F314" s="196"/>
      <c r="G314" s="196" t="s">
        <v>109</v>
      </c>
      <c r="H314" s="196" t="s">
        <v>172</v>
      </c>
      <c r="I314" s="196"/>
      <c r="J314" s="196"/>
      <c r="K314" s="196"/>
      <c r="L314" s="196"/>
      <c r="M314" s="196"/>
      <c r="N314" s="196"/>
      <c r="O314" s="196"/>
      <c r="P314" s="196"/>
      <c r="Q314" s="196"/>
      <c r="R314" s="196"/>
      <c r="S314" s="196"/>
      <c r="T314" s="196"/>
      <c r="U314" s="196"/>
      <c r="V314" s="196"/>
      <c r="W314" s="196"/>
      <c r="X314" s="196"/>
      <c r="Y314" s="196"/>
      <c r="Z314" s="196"/>
      <c r="AA314" s="196"/>
      <c r="AB314" s="196"/>
      <c r="AC314" s="196"/>
      <c r="AD314" s="196"/>
      <c r="AE314" s="196"/>
      <c r="AF314" s="196"/>
      <c r="AG314" s="196"/>
      <c r="AH314" s="196"/>
      <c r="AI314" s="196"/>
      <c r="AJ314" s="196"/>
      <c r="AK314" s="196"/>
      <c r="AL314" s="196"/>
      <c r="AM314" s="196"/>
      <c r="AN314" s="196"/>
      <c r="AO314" s="196"/>
      <c r="AP314" s="196"/>
      <c r="AQ314" s="196"/>
      <c r="AR314" s="196"/>
      <c r="AS314" s="196"/>
      <c r="AT314" s="208"/>
      <c r="AU314" s="198">
        <v>1</v>
      </c>
      <c r="AV314" s="199">
        <v>1</v>
      </c>
      <c r="AW314" s="199">
        <v>1</v>
      </c>
      <c r="AX314" s="199">
        <v>1</v>
      </c>
      <c r="AY314" s="200">
        <v>1</v>
      </c>
      <c r="BA314" s="34" t="str">
        <f t="shared" ca="1" si="54"/>
        <v>Southern</v>
      </c>
      <c r="BB314" s="34" t="str">
        <f t="shared" si="55"/>
        <v>Fixed Inputs</v>
      </c>
      <c r="BC314" s="34" t="str">
        <f t="shared" si="58"/>
        <v>Variant allowances</v>
      </c>
      <c r="BD314" s="34" t="str">
        <f t="shared" si="57"/>
        <v>Totex variant allowances allocation percentages</v>
      </c>
    </row>
    <row r="315" spans="5:56" x14ac:dyDescent="0.35">
      <c r="E315" s="187" t="str" cm="1">
        <f t="array" ref="E315">INDEX($E$99:$E$202,INT((ROW()-ROW($E$205))/5)+1)</f>
        <v>UIOLI_Net Zero and Re-opener Development Fund / Decarbonisation Project Development Fund UIOLI</v>
      </c>
      <c r="F315" s="188"/>
      <c r="G315" s="188" t="s">
        <v>109</v>
      </c>
      <c r="H315" s="188" t="s">
        <v>168</v>
      </c>
      <c r="I315" s="188"/>
      <c r="J315" s="188"/>
      <c r="K315" s="188"/>
      <c r="L315" s="188"/>
      <c r="M315" s="188"/>
      <c r="N315" s="188"/>
      <c r="O315" s="188"/>
      <c r="P315" s="188"/>
      <c r="Q315" s="188"/>
      <c r="R315" s="188"/>
      <c r="S315" s="188"/>
      <c r="T315" s="188"/>
      <c r="U315" s="188"/>
      <c r="V315" s="188"/>
      <c r="W315" s="188"/>
      <c r="X315" s="188"/>
      <c r="Y315" s="188"/>
      <c r="Z315" s="188"/>
      <c r="AA315" s="188"/>
      <c r="AB315" s="188"/>
      <c r="AC315" s="188"/>
      <c r="AD315" s="188"/>
      <c r="AE315" s="188"/>
      <c r="AF315" s="188"/>
      <c r="AG315" s="188"/>
      <c r="AH315" s="188"/>
      <c r="AI315" s="188"/>
      <c r="AJ315" s="188"/>
      <c r="AK315" s="188"/>
      <c r="AL315" s="188"/>
      <c r="AM315" s="188"/>
      <c r="AN315" s="188"/>
      <c r="AO315" s="188"/>
      <c r="AP315" s="188"/>
      <c r="AQ315" s="188"/>
      <c r="AR315" s="188"/>
      <c r="AS315" s="188"/>
      <c r="AT315" s="202"/>
      <c r="AU315" s="190">
        <v>0</v>
      </c>
      <c r="AV315" s="191">
        <v>0</v>
      </c>
      <c r="AW315" s="191">
        <v>0</v>
      </c>
      <c r="AX315" s="191">
        <v>0</v>
      </c>
      <c r="AY315" s="192">
        <v>0</v>
      </c>
      <c r="BA315" s="34" t="str">
        <f t="shared" ca="1" si="54"/>
        <v>Southern</v>
      </c>
      <c r="BB315" s="34" t="str">
        <f t="shared" si="55"/>
        <v>Fixed Inputs</v>
      </c>
      <c r="BC315" s="34" t="str">
        <f t="shared" si="58"/>
        <v>Variant allowances</v>
      </c>
      <c r="BD315" s="34" t="str">
        <f t="shared" si="57"/>
        <v>Totex variant allowances allocation percentages</v>
      </c>
    </row>
    <row r="316" spans="5:56" x14ac:dyDescent="0.35">
      <c r="E316" s="193" t="str" cm="1">
        <f t="array" ref="E316">INDEX($E$99:$E$202,INT((ROW()-ROW($E$205))/5)+1)</f>
        <v>UIOLI_Net Zero and Re-opener Development Fund / Decarbonisation Project Development Fund UIOLI</v>
      </c>
      <c r="G316" s="33" t="s">
        <v>109</v>
      </c>
      <c r="H316" s="33" t="s">
        <v>169</v>
      </c>
      <c r="AU316" s="140">
        <v>0.2</v>
      </c>
      <c r="AV316" s="23">
        <v>0.2</v>
      </c>
      <c r="AW316" s="23">
        <v>0.2</v>
      </c>
      <c r="AX316" s="23">
        <v>0.2</v>
      </c>
      <c r="AY316" s="194">
        <v>0.2</v>
      </c>
      <c r="BA316" s="34" t="str">
        <f t="shared" ca="1" si="54"/>
        <v>Southern</v>
      </c>
      <c r="BB316" s="34" t="str">
        <f t="shared" si="55"/>
        <v>Fixed Inputs</v>
      </c>
      <c r="BC316" s="34" t="str">
        <f t="shared" si="58"/>
        <v>Variant allowances</v>
      </c>
      <c r="BD316" s="34" t="str">
        <f t="shared" si="57"/>
        <v>Totex variant allowances allocation percentages</v>
      </c>
    </row>
    <row r="317" spans="5:56" x14ac:dyDescent="0.35">
      <c r="E317" s="193" t="str" cm="1">
        <f t="array" ref="E317">INDEX($E$99:$E$202,INT((ROW()-ROW($E$205))/5)+1)</f>
        <v>UIOLI_Net Zero and Re-opener Development Fund / Decarbonisation Project Development Fund UIOLI</v>
      </c>
      <c r="G317" s="33" t="s">
        <v>109</v>
      </c>
      <c r="H317" s="33" t="s">
        <v>170</v>
      </c>
      <c r="AU317" s="140">
        <v>0</v>
      </c>
      <c r="AV317" s="23">
        <v>0</v>
      </c>
      <c r="AW317" s="23">
        <v>0</v>
      </c>
      <c r="AX317" s="23">
        <v>0</v>
      </c>
      <c r="AY317" s="194">
        <v>0</v>
      </c>
      <c r="BA317" s="34" t="str">
        <f t="shared" ca="1" si="54"/>
        <v>Southern</v>
      </c>
      <c r="BB317" s="34" t="str">
        <f t="shared" si="55"/>
        <v>Fixed Inputs</v>
      </c>
      <c r="BC317" s="34" t="str">
        <f t="shared" si="58"/>
        <v>Variant allowances</v>
      </c>
      <c r="BD317" s="34" t="str">
        <f t="shared" si="57"/>
        <v>Totex variant allowances allocation percentages</v>
      </c>
    </row>
    <row r="318" spans="5:56" x14ac:dyDescent="0.35">
      <c r="E318" s="193" t="str" cm="1">
        <f t="array" ref="E318">INDEX($E$99:$E$202,INT((ROW()-ROW($E$205))/5)+1)</f>
        <v>UIOLI_Net Zero and Re-opener Development Fund / Decarbonisation Project Development Fund UIOLI</v>
      </c>
      <c r="G318" s="33" t="s">
        <v>109</v>
      </c>
      <c r="H318" s="33" t="s">
        <v>171</v>
      </c>
      <c r="AU318" s="140">
        <v>0.8</v>
      </c>
      <c r="AV318" s="23">
        <v>0.8</v>
      </c>
      <c r="AW318" s="23">
        <v>0.8</v>
      </c>
      <c r="AX318" s="23">
        <v>0.8</v>
      </c>
      <c r="AY318" s="194">
        <v>0.8</v>
      </c>
      <c r="BA318" s="34" t="str">
        <f t="shared" ca="1" si="54"/>
        <v>Southern</v>
      </c>
      <c r="BB318" s="34" t="str">
        <f t="shared" si="55"/>
        <v>Fixed Inputs</v>
      </c>
      <c r="BC318" s="34" t="str">
        <f t="shared" si="58"/>
        <v>Variant allowances</v>
      </c>
      <c r="BD318" s="34" t="str">
        <f t="shared" si="57"/>
        <v>Totex variant allowances allocation percentages</v>
      </c>
    </row>
    <row r="319" spans="5:56" x14ac:dyDescent="0.35">
      <c r="E319" s="195" t="str" cm="1">
        <f t="array" ref="E319">INDEX($E$99:$E$202,INT((ROW()-ROW($E$205))/5)+1)</f>
        <v>UIOLI_Net Zero and Re-opener Development Fund / Decarbonisation Project Development Fund UIOLI</v>
      </c>
      <c r="F319" s="196"/>
      <c r="G319" s="196" t="s">
        <v>109</v>
      </c>
      <c r="H319" s="196" t="s">
        <v>172</v>
      </c>
      <c r="I319" s="196"/>
      <c r="J319" s="196"/>
      <c r="K319" s="196"/>
      <c r="L319" s="196"/>
      <c r="M319" s="196"/>
      <c r="N319" s="196"/>
      <c r="O319" s="196"/>
      <c r="P319" s="196"/>
      <c r="Q319" s="196"/>
      <c r="R319" s="196"/>
      <c r="S319" s="196"/>
      <c r="T319" s="196"/>
      <c r="U319" s="196"/>
      <c r="V319" s="196"/>
      <c r="W319" s="196"/>
      <c r="X319" s="196"/>
      <c r="Y319" s="196"/>
      <c r="Z319" s="196"/>
      <c r="AA319" s="196"/>
      <c r="AB319" s="196"/>
      <c r="AC319" s="196"/>
      <c r="AD319" s="196"/>
      <c r="AE319" s="196"/>
      <c r="AF319" s="196"/>
      <c r="AG319" s="196"/>
      <c r="AH319" s="196"/>
      <c r="AI319" s="196"/>
      <c r="AJ319" s="196"/>
      <c r="AK319" s="196"/>
      <c r="AL319" s="196"/>
      <c r="AM319" s="196"/>
      <c r="AN319" s="196"/>
      <c r="AO319" s="196"/>
      <c r="AP319" s="196"/>
      <c r="AQ319" s="196"/>
      <c r="AR319" s="196"/>
      <c r="AS319" s="196"/>
      <c r="AT319" s="208"/>
      <c r="AU319" s="198">
        <v>0</v>
      </c>
      <c r="AV319" s="199">
        <v>0</v>
      </c>
      <c r="AW319" s="199">
        <v>0</v>
      </c>
      <c r="AX319" s="199">
        <v>0</v>
      </c>
      <c r="AY319" s="200">
        <v>0</v>
      </c>
      <c r="BA319" s="34" t="str">
        <f t="shared" ca="1" si="54"/>
        <v>Southern</v>
      </c>
      <c r="BB319" s="34" t="str">
        <f t="shared" si="55"/>
        <v>Fixed Inputs</v>
      </c>
      <c r="BC319" s="34" t="str">
        <f t="shared" si="58"/>
        <v>Variant allowances</v>
      </c>
      <c r="BD319" s="34" t="str">
        <f t="shared" si="57"/>
        <v>Totex variant allowances allocation percentages</v>
      </c>
    </row>
    <row r="320" spans="5:56" x14ac:dyDescent="0.35">
      <c r="E320" s="187" t="str" cm="1">
        <f t="array" ref="E320">INDEX($E$99:$E$202,INT((ROW()-ROW($E$205))/5)+1)</f>
        <v>UIOLI_Cyber Resilience_NGN</v>
      </c>
      <c r="F320" s="188"/>
      <c r="G320" s="188" t="s">
        <v>109</v>
      </c>
      <c r="H320" s="188" t="s">
        <v>168</v>
      </c>
      <c r="I320" s="188"/>
      <c r="J320" s="188"/>
      <c r="K320" s="188"/>
      <c r="L320" s="188"/>
      <c r="M320" s="188"/>
      <c r="N320" s="188"/>
      <c r="O320" s="188"/>
      <c r="P320" s="188"/>
      <c r="Q320" s="188"/>
      <c r="R320" s="188"/>
      <c r="S320" s="188"/>
      <c r="T320" s="188"/>
      <c r="U320" s="188"/>
      <c r="V320" s="188"/>
      <c r="W320" s="188"/>
      <c r="X320" s="188"/>
      <c r="Y320" s="188"/>
      <c r="Z320" s="188"/>
      <c r="AA320" s="188"/>
      <c r="AB320" s="188"/>
      <c r="AC320" s="188"/>
      <c r="AD320" s="188"/>
      <c r="AE320" s="188"/>
      <c r="AF320" s="188"/>
      <c r="AG320" s="188"/>
      <c r="AH320" s="188"/>
      <c r="AI320" s="188"/>
      <c r="AJ320" s="188"/>
      <c r="AK320" s="188"/>
      <c r="AL320" s="188"/>
      <c r="AM320" s="188"/>
      <c r="AN320" s="188"/>
      <c r="AO320" s="188"/>
      <c r="AP320" s="188"/>
      <c r="AQ320" s="188"/>
      <c r="AR320" s="188"/>
      <c r="AS320" s="188"/>
      <c r="AT320" s="202"/>
      <c r="AU320" s="190">
        <v>0</v>
      </c>
      <c r="AV320" s="191">
        <v>0</v>
      </c>
      <c r="AW320" s="191">
        <v>0</v>
      </c>
      <c r="AX320" s="191">
        <v>0</v>
      </c>
      <c r="AY320" s="192">
        <v>0</v>
      </c>
      <c r="BA320" s="34" t="str">
        <f t="shared" ca="1" si="54"/>
        <v>Southern</v>
      </c>
      <c r="BB320" s="34" t="str">
        <f t="shared" si="55"/>
        <v>Fixed Inputs</v>
      </c>
      <c r="BC320" s="34" t="str">
        <f t="shared" si="58"/>
        <v>Variant allowances</v>
      </c>
      <c r="BD320" s="34" t="str">
        <f t="shared" si="57"/>
        <v>Totex variant allowances allocation percentages</v>
      </c>
    </row>
    <row r="321" spans="5:56" x14ac:dyDescent="0.35">
      <c r="E321" s="193" t="str" cm="1">
        <f t="array" ref="E321">INDEX($E$99:$E$202,INT((ROW()-ROW($E$205))/5)+1)</f>
        <v>UIOLI_Cyber Resilience_NGN</v>
      </c>
      <c r="G321" s="33" t="s">
        <v>109</v>
      </c>
      <c r="H321" s="33" t="s">
        <v>169</v>
      </c>
      <c r="AU321" s="140">
        <v>1</v>
      </c>
      <c r="AV321" s="23">
        <v>1</v>
      </c>
      <c r="AW321" s="23">
        <v>1</v>
      </c>
      <c r="AX321" s="23">
        <v>1</v>
      </c>
      <c r="AY321" s="194">
        <v>1</v>
      </c>
      <c r="BA321" s="34" t="str">
        <f t="shared" ca="1" si="54"/>
        <v>Southern</v>
      </c>
      <c r="BB321" s="34" t="str">
        <f t="shared" si="55"/>
        <v>Fixed Inputs</v>
      </c>
      <c r="BC321" s="34" t="str">
        <f t="shared" si="58"/>
        <v>Variant allowances</v>
      </c>
      <c r="BD321" s="34" t="str">
        <f t="shared" si="57"/>
        <v>Totex variant allowances allocation percentages</v>
      </c>
    </row>
    <row r="322" spans="5:56" x14ac:dyDescent="0.35">
      <c r="E322" s="193" t="str" cm="1">
        <f t="array" ref="E322">INDEX($E$99:$E$202,INT((ROW()-ROW($E$205))/5)+1)</f>
        <v>UIOLI_Cyber Resilience_NGN</v>
      </c>
      <c r="G322" s="33" t="s">
        <v>109</v>
      </c>
      <c r="H322" s="33" t="s">
        <v>170</v>
      </c>
      <c r="AU322" s="140">
        <v>0</v>
      </c>
      <c r="AV322" s="23">
        <v>0</v>
      </c>
      <c r="AW322" s="23">
        <v>0</v>
      </c>
      <c r="AX322" s="23">
        <v>0</v>
      </c>
      <c r="AY322" s="194">
        <v>0</v>
      </c>
      <c r="BA322" s="34" t="str">
        <f t="shared" ca="1" si="54"/>
        <v>Southern</v>
      </c>
      <c r="BB322" s="34" t="str">
        <f t="shared" si="55"/>
        <v>Fixed Inputs</v>
      </c>
      <c r="BC322" s="34" t="str">
        <f t="shared" si="58"/>
        <v>Variant allowances</v>
      </c>
      <c r="BD322" s="34" t="str">
        <f t="shared" si="57"/>
        <v>Totex variant allowances allocation percentages</v>
      </c>
    </row>
    <row r="323" spans="5:56" x14ac:dyDescent="0.35">
      <c r="E323" s="193" t="str" cm="1">
        <f t="array" ref="E323">INDEX($E$99:$E$202,INT((ROW()-ROW($E$205))/5)+1)</f>
        <v>UIOLI_Cyber Resilience_NGN</v>
      </c>
      <c r="G323" s="33" t="s">
        <v>109</v>
      </c>
      <c r="H323" s="33" t="s">
        <v>171</v>
      </c>
      <c r="AU323" s="140">
        <v>0</v>
      </c>
      <c r="AV323" s="23">
        <v>0</v>
      </c>
      <c r="AW323" s="23">
        <v>0</v>
      </c>
      <c r="AX323" s="23">
        <v>0</v>
      </c>
      <c r="AY323" s="194">
        <v>0</v>
      </c>
      <c r="BA323" s="34" t="str">
        <f t="shared" ca="1" si="54"/>
        <v>Southern</v>
      </c>
      <c r="BB323" s="34" t="str">
        <f t="shared" si="55"/>
        <v>Fixed Inputs</v>
      </c>
      <c r="BC323" s="34" t="str">
        <f t="shared" si="58"/>
        <v>Variant allowances</v>
      </c>
      <c r="BD323" s="34" t="str">
        <f t="shared" si="57"/>
        <v>Totex variant allowances allocation percentages</v>
      </c>
    </row>
    <row r="324" spans="5:56" x14ac:dyDescent="0.35">
      <c r="E324" s="195" t="str" cm="1">
        <f t="array" ref="E324">INDEX($E$99:$E$202,INT((ROW()-ROW($E$205))/5)+1)</f>
        <v>UIOLI_Cyber Resilience_NGN</v>
      </c>
      <c r="F324" s="196"/>
      <c r="G324" s="196" t="s">
        <v>109</v>
      </c>
      <c r="H324" s="196" t="s">
        <v>172</v>
      </c>
      <c r="I324" s="196"/>
      <c r="J324" s="196"/>
      <c r="K324" s="196"/>
      <c r="L324" s="196"/>
      <c r="M324" s="196"/>
      <c r="N324" s="196"/>
      <c r="O324" s="196"/>
      <c r="P324" s="196"/>
      <c r="Q324" s="196"/>
      <c r="R324" s="196"/>
      <c r="S324" s="196"/>
      <c r="T324" s="196"/>
      <c r="U324" s="196"/>
      <c r="V324" s="196"/>
      <c r="W324" s="196"/>
      <c r="X324" s="196"/>
      <c r="Y324" s="196"/>
      <c r="Z324" s="196"/>
      <c r="AA324" s="196"/>
      <c r="AB324" s="196"/>
      <c r="AC324" s="196"/>
      <c r="AD324" s="196"/>
      <c r="AE324" s="196"/>
      <c r="AF324" s="196"/>
      <c r="AG324" s="196"/>
      <c r="AH324" s="196"/>
      <c r="AI324" s="196"/>
      <c r="AJ324" s="196"/>
      <c r="AK324" s="196"/>
      <c r="AL324" s="196"/>
      <c r="AM324" s="196"/>
      <c r="AN324" s="196"/>
      <c r="AO324" s="196"/>
      <c r="AP324" s="196"/>
      <c r="AQ324" s="196"/>
      <c r="AR324" s="196"/>
      <c r="AS324" s="196"/>
      <c r="AT324" s="208"/>
      <c r="AU324" s="198">
        <v>0</v>
      </c>
      <c r="AV324" s="199">
        <v>0</v>
      </c>
      <c r="AW324" s="199">
        <v>0</v>
      </c>
      <c r="AX324" s="199">
        <v>0</v>
      </c>
      <c r="AY324" s="200">
        <v>0</v>
      </c>
      <c r="BA324" s="34" t="str">
        <f t="shared" ca="1" si="54"/>
        <v>Southern</v>
      </c>
      <c r="BB324" s="34" t="str">
        <f t="shared" si="55"/>
        <v>Fixed Inputs</v>
      </c>
      <c r="BC324" s="34" t="str">
        <f t="shared" si="58"/>
        <v>Variant allowances</v>
      </c>
      <c r="BD324" s="34" t="str">
        <f t="shared" si="57"/>
        <v>Totex variant allowances allocation percentages</v>
      </c>
    </row>
    <row r="325" spans="5:56" x14ac:dyDescent="0.35">
      <c r="E325" s="187" t="str" cm="1">
        <f t="array" ref="E325">INDEX($E$99:$E$202,INT((ROW()-ROW($E$205))/5)+1)</f>
        <v>UIOLI_Cyber Resilience_All except NGN and WWU</v>
      </c>
      <c r="F325" s="188"/>
      <c r="G325" s="188" t="s">
        <v>109</v>
      </c>
      <c r="H325" s="188" t="s">
        <v>168</v>
      </c>
      <c r="I325" s="188"/>
      <c r="J325" s="188"/>
      <c r="K325" s="188"/>
      <c r="L325" s="188"/>
      <c r="M325" s="188"/>
      <c r="N325" s="188"/>
      <c r="O325" s="188"/>
      <c r="P325" s="188"/>
      <c r="Q325" s="188"/>
      <c r="R325" s="188"/>
      <c r="S325" s="188"/>
      <c r="T325" s="188"/>
      <c r="U325" s="188"/>
      <c r="V325" s="188"/>
      <c r="W325" s="188"/>
      <c r="X325" s="188"/>
      <c r="Y325" s="188"/>
      <c r="Z325" s="188"/>
      <c r="AA325" s="188"/>
      <c r="AB325" s="188"/>
      <c r="AC325" s="188"/>
      <c r="AD325" s="188"/>
      <c r="AE325" s="188"/>
      <c r="AF325" s="188"/>
      <c r="AG325" s="188"/>
      <c r="AH325" s="188"/>
      <c r="AI325" s="188"/>
      <c r="AJ325" s="188"/>
      <c r="AK325" s="188"/>
      <c r="AL325" s="188"/>
      <c r="AM325" s="188"/>
      <c r="AN325" s="188"/>
      <c r="AO325" s="188"/>
      <c r="AP325" s="188"/>
      <c r="AQ325" s="188"/>
      <c r="AR325" s="188"/>
      <c r="AS325" s="188"/>
      <c r="AT325" s="202"/>
      <c r="AU325" s="190">
        <v>0</v>
      </c>
      <c r="AV325" s="191">
        <v>0</v>
      </c>
      <c r="AW325" s="191">
        <v>0</v>
      </c>
      <c r="AX325" s="191">
        <v>0</v>
      </c>
      <c r="AY325" s="192">
        <v>0</v>
      </c>
      <c r="BA325" s="34" t="str">
        <f t="shared" ca="1" si="54"/>
        <v>Southern</v>
      </c>
      <c r="BB325" s="34" t="str">
        <f t="shared" si="55"/>
        <v>Fixed Inputs</v>
      </c>
      <c r="BC325" s="34" t="str">
        <f t="shared" si="58"/>
        <v>Variant allowances</v>
      </c>
      <c r="BD325" s="34" t="str">
        <f t="shared" si="57"/>
        <v>Totex variant allowances allocation percentages</v>
      </c>
    </row>
    <row r="326" spans="5:56" x14ac:dyDescent="0.35">
      <c r="E326" s="193" t="str" cm="1">
        <f t="array" ref="E326">INDEX($E$99:$E$202,INT((ROW()-ROW($E$205))/5)+1)</f>
        <v>UIOLI_Cyber Resilience_All except NGN and WWU</v>
      </c>
      <c r="G326" s="33" t="s">
        <v>109</v>
      </c>
      <c r="H326" s="33" t="s">
        <v>169</v>
      </c>
      <c r="AU326" s="140">
        <v>0</v>
      </c>
      <c r="AV326" s="23">
        <v>0</v>
      </c>
      <c r="AW326" s="23">
        <v>0</v>
      </c>
      <c r="AX326" s="23">
        <v>0</v>
      </c>
      <c r="AY326" s="194">
        <v>0</v>
      </c>
      <c r="BA326" s="34" t="str">
        <f t="shared" ca="1" si="54"/>
        <v>Southern</v>
      </c>
      <c r="BB326" s="34" t="str">
        <f t="shared" si="55"/>
        <v>Fixed Inputs</v>
      </c>
      <c r="BC326" s="34" t="str">
        <f t="shared" si="58"/>
        <v>Variant allowances</v>
      </c>
      <c r="BD326" s="34" t="str">
        <f t="shared" si="57"/>
        <v>Totex variant allowances allocation percentages</v>
      </c>
    </row>
    <row r="327" spans="5:56" x14ac:dyDescent="0.35">
      <c r="E327" s="193" t="str" cm="1">
        <f t="array" ref="E327">INDEX($E$99:$E$202,INT((ROW()-ROW($E$205))/5)+1)</f>
        <v>UIOLI_Cyber Resilience_All except NGN and WWU</v>
      </c>
      <c r="G327" s="33" t="s">
        <v>109</v>
      </c>
      <c r="H327" s="33" t="s">
        <v>170</v>
      </c>
      <c r="AU327" s="140">
        <v>1</v>
      </c>
      <c r="AV327" s="23">
        <v>1</v>
      </c>
      <c r="AW327" s="23">
        <v>1</v>
      </c>
      <c r="AX327" s="23">
        <v>1</v>
      </c>
      <c r="AY327" s="194">
        <v>1</v>
      </c>
      <c r="BA327" s="34" t="str">
        <f t="shared" ca="1" si="54"/>
        <v>Southern</v>
      </c>
      <c r="BB327" s="34" t="str">
        <f t="shared" si="55"/>
        <v>Fixed Inputs</v>
      </c>
      <c r="BC327" s="34" t="str">
        <f t="shared" si="58"/>
        <v>Variant allowances</v>
      </c>
      <c r="BD327" s="34" t="str">
        <f t="shared" si="57"/>
        <v>Totex variant allowances allocation percentages</v>
      </c>
    </row>
    <row r="328" spans="5:56" x14ac:dyDescent="0.35">
      <c r="E328" s="193" t="str" cm="1">
        <f t="array" ref="E328">INDEX($E$99:$E$202,INT((ROW()-ROW($E$205))/5)+1)</f>
        <v>UIOLI_Cyber Resilience_All except NGN and WWU</v>
      </c>
      <c r="G328" s="33" t="s">
        <v>109</v>
      </c>
      <c r="H328" s="33" t="s">
        <v>171</v>
      </c>
      <c r="AU328" s="140">
        <v>0</v>
      </c>
      <c r="AV328" s="23">
        <v>0</v>
      </c>
      <c r="AW328" s="23">
        <v>0</v>
      </c>
      <c r="AX328" s="23">
        <v>0</v>
      </c>
      <c r="AY328" s="194">
        <v>0</v>
      </c>
      <c r="BA328" s="34" t="str">
        <f t="shared" ca="1" si="54"/>
        <v>Southern</v>
      </c>
      <c r="BB328" s="34" t="str">
        <f t="shared" si="55"/>
        <v>Fixed Inputs</v>
      </c>
      <c r="BC328" s="34" t="str">
        <f t="shared" si="58"/>
        <v>Variant allowances</v>
      </c>
      <c r="BD328" s="34" t="str">
        <f t="shared" si="57"/>
        <v>Totex variant allowances allocation percentages</v>
      </c>
    </row>
    <row r="329" spans="5:56" x14ac:dyDescent="0.35">
      <c r="E329" s="195" t="str" cm="1">
        <f t="array" ref="E329">INDEX($E$99:$E$202,INT((ROW()-ROW($E$205))/5)+1)</f>
        <v>UIOLI_Cyber Resilience_All except NGN and WWU</v>
      </c>
      <c r="F329" s="196"/>
      <c r="G329" s="196" t="s">
        <v>109</v>
      </c>
      <c r="H329" s="196" t="s">
        <v>172</v>
      </c>
      <c r="I329" s="196"/>
      <c r="J329" s="196"/>
      <c r="K329" s="196"/>
      <c r="L329" s="196"/>
      <c r="M329" s="196"/>
      <c r="N329" s="196"/>
      <c r="O329" s="196"/>
      <c r="P329" s="196"/>
      <c r="Q329" s="196"/>
      <c r="R329" s="196"/>
      <c r="S329" s="196"/>
      <c r="T329" s="196"/>
      <c r="U329" s="196"/>
      <c r="V329" s="196"/>
      <c r="W329" s="196"/>
      <c r="X329" s="196"/>
      <c r="Y329" s="196"/>
      <c r="Z329" s="196"/>
      <c r="AA329" s="196"/>
      <c r="AB329" s="196"/>
      <c r="AC329" s="196"/>
      <c r="AD329" s="196"/>
      <c r="AE329" s="196"/>
      <c r="AF329" s="196"/>
      <c r="AG329" s="196"/>
      <c r="AH329" s="196"/>
      <c r="AI329" s="196"/>
      <c r="AJ329" s="196"/>
      <c r="AK329" s="196"/>
      <c r="AL329" s="196"/>
      <c r="AM329" s="196"/>
      <c r="AN329" s="196"/>
      <c r="AO329" s="196"/>
      <c r="AP329" s="196"/>
      <c r="AQ329" s="196"/>
      <c r="AR329" s="196"/>
      <c r="AS329" s="196"/>
      <c r="AT329" s="208"/>
      <c r="AU329" s="198">
        <v>0</v>
      </c>
      <c r="AV329" s="199">
        <v>0</v>
      </c>
      <c r="AW329" s="199">
        <v>0</v>
      </c>
      <c r="AX329" s="199">
        <v>0</v>
      </c>
      <c r="AY329" s="200">
        <v>0</v>
      </c>
      <c r="BA329" s="34" t="str">
        <f t="shared" ca="1" si="54"/>
        <v>Southern</v>
      </c>
      <c r="BB329" s="34" t="str">
        <f t="shared" si="55"/>
        <v>Fixed Inputs</v>
      </c>
      <c r="BC329" s="34" t="str">
        <f t="shared" si="58"/>
        <v>Variant allowances</v>
      </c>
      <c r="BD329" s="34" t="str">
        <f t="shared" si="57"/>
        <v>Totex variant allowances allocation percentages</v>
      </c>
    </row>
    <row r="330" spans="5:56" x14ac:dyDescent="0.35">
      <c r="E330" s="187" t="str" cm="1">
        <f t="array" ref="E330">INDEX($E$99:$E$202,INT((ROW()-ROW($E$205))/5)+1)</f>
        <v>UIOLI_Biomethane connections / Biomethane Distributed Entry Reinforcement</v>
      </c>
      <c r="F330" s="188"/>
      <c r="G330" s="188" t="s">
        <v>109</v>
      </c>
      <c r="H330" s="188" t="s">
        <v>168</v>
      </c>
      <c r="I330" s="188"/>
      <c r="J330" s="188"/>
      <c r="K330" s="188"/>
      <c r="L330" s="188"/>
      <c r="M330" s="188"/>
      <c r="N330" s="188"/>
      <c r="O330" s="188"/>
      <c r="P330" s="188"/>
      <c r="Q330" s="188"/>
      <c r="R330" s="188"/>
      <c r="S330" s="188"/>
      <c r="T330" s="188"/>
      <c r="U330" s="188"/>
      <c r="V330" s="188"/>
      <c r="W330" s="188"/>
      <c r="X330" s="188"/>
      <c r="Y330" s="188"/>
      <c r="Z330" s="188"/>
      <c r="AA330" s="188"/>
      <c r="AB330" s="188"/>
      <c r="AC330" s="188"/>
      <c r="AD330" s="188"/>
      <c r="AE330" s="188"/>
      <c r="AF330" s="188"/>
      <c r="AG330" s="188"/>
      <c r="AH330" s="188"/>
      <c r="AI330" s="188"/>
      <c r="AJ330" s="188"/>
      <c r="AK330" s="188"/>
      <c r="AL330" s="188"/>
      <c r="AM330" s="188"/>
      <c r="AN330" s="188"/>
      <c r="AO330" s="188"/>
      <c r="AP330" s="188"/>
      <c r="AQ330" s="188"/>
      <c r="AR330" s="188"/>
      <c r="AS330" s="188"/>
      <c r="AT330" s="202"/>
      <c r="AU330" s="190">
        <v>1</v>
      </c>
      <c r="AV330" s="191">
        <v>1</v>
      </c>
      <c r="AW330" s="191">
        <v>1</v>
      </c>
      <c r="AX330" s="191">
        <v>1</v>
      </c>
      <c r="AY330" s="192">
        <v>1</v>
      </c>
      <c r="BA330" s="34" t="str">
        <f t="shared" ca="1" si="54"/>
        <v>Southern</v>
      </c>
      <c r="BB330" s="34" t="str">
        <f t="shared" si="55"/>
        <v>Fixed Inputs</v>
      </c>
      <c r="BC330" s="34" t="str">
        <f t="shared" si="58"/>
        <v>Variant allowances</v>
      </c>
      <c r="BD330" s="34" t="str">
        <f t="shared" si="57"/>
        <v>Totex variant allowances allocation percentages</v>
      </c>
    </row>
    <row r="331" spans="5:56" x14ac:dyDescent="0.35">
      <c r="E331" s="193" t="str" cm="1">
        <f t="array" ref="E331">INDEX($E$99:$E$202,INT((ROW()-ROW($E$205))/5)+1)</f>
        <v>UIOLI_Biomethane connections / Biomethane Distributed Entry Reinforcement</v>
      </c>
      <c r="G331" s="33" t="s">
        <v>109</v>
      </c>
      <c r="H331" s="33" t="s">
        <v>169</v>
      </c>
      <c r="AU331" s="140">
        <v>0</v>
      </c>
      <c r="AV331" s="23">
        <v>0</v>
      </c>
      <c r="AW331" s="23">
        <v>0</v>
      </c>
      <c r="AX331" s="23">
        <v>0</v>
      </c>
      <c r="AY331" s="194">
        <v>0</v>
      </c>
      <c r="BA331" s="34" t="str">
        <f t="shared" ca="1" si="54"/>
        <v>Southern</v>
      </c>
      <c r="BB331" s="34" t="str">
        <f t="shared" si="55"/>
        <v>Fixed Inputs</v>
      </c>
      <c r="BC331" s="34" t="str">
        <f t="shared" si="58"/>
        <v>Variant allowances</v>
      </c>
      <c r="BD331" s="34" t="str">
        <f t="shared" si="57"/>
        <v>Totex variant allowances allocation percentages</v>
      </c>
    </row>
    <row r="332" spans="5:56" x14ac:dyDescent="0.35">
      <c r="E332" s="193" t="str" cm="1">
        <f t="array" ref="E332">INDEX($E$99:$E$202,INT((ROW()-ROW($E$205))/5)+1)</f>
        <v>UIOLI_Biomethane connections / Biomethane Distributed Entry Reinforcement</v>
      </c>
      <c r="G332" s="33" t="s">
        <v>109</v>
      </c>
      <c r="H332" s="33" t="s">
        <v>170</v>
      </c>
      <c r="AU332" s="140">
        <v>0</v>
      </c>
      <c r="AV332" s="23">
        <v>0</v>
      </c>
      <c r="AW332" s="23">
        <v>0</v>
      </c>
      <c r="AX332" s="23">
        <v>0</v>
      </c>
      <c r="AY332" s="194">
        <v>0</v>
      </c>
      <c r="BA332" s="34" t="str">
        <f t="shared" ca="1" si="54"/>
        <v>Southern</v>
      </c>
      <c r="BB332" s="34" t="str">
        <f t="shared" si="55"/>
        <v>Fixed Inputs</v>
      </c>
      <c r="BC332" s="34" t="str">
        <f t="shared" si="58"/>
        <v>Variant allowances</v>
      </c>
      <c r="BD332" s="34" t="str">
        <f t="shared" si="57"/>
        <v>Totex variant allowances allocation percentages</v>
      </c>
    </row>
    <row r="333" spans="5:56" x14ac:dyDescent="0.35">
      <c r="E333" s="193" t="str" cm="1">
        <f t="array" ref="E333">INDEX($E$99:$E$202,INT((ROW()-ROW($E$205))/5)+1)</f>
        <v>UIOLI_Biomethane connections / Biomethane Distributed Entry Reinforcement</v>
      </c>
      <c r="G333" s="33" t="s">
        <v>109</v>
      </c>
      <c r="H333" s="33" t="s">
        <v>171</v>
      </c>
      <c r="AU333" s="140">
        <v>0</v>
      </c>
      <c r="AV333" s="23">
        <v>0</v>
      </c>
      <c r="AW333" s="23">
        <v>0</v>
      </c>
      <c r="AX333" s="23">
        <v>0</v>
      </c>
      <c r="AY333" s="194">
        <v>0</v>
      </c>
      <c r="BA333" s="34" t="str">
        <f t="shared" ca="1" si="54"/>
        <v>Southern</v>
      </c>
      <c r="BB333" s="34" t="str">
        <f t="shared" si="55"/>
        <v>Fixed Inputs</v>
      </c>
      <c r="BC333" s="34" t="str">
        <f t="shared" ref="BC333:BC396" si="59">$B$151</f>
        <v>Variant allowances</v>
      </c>
      <c r="BD333" s="34" t="str">
        <f t="shared" si="57"/>
        <v>Totex variant allowances allocation percentages</v>
      </c>
    </row>
    <row r="334" spans="5:56" x14ac:dyDescent="0.35">
      <c r="E334" s="195" t="str" cm="1">
        <f t="array" ref="E334">INDEX($E$99:$E$202,INT((ROW()-ROW($E$205))/5)+1)</f>
        <v>UIOLI_Biomethane connections / Biomethane Distributed Entry Reinforcement</v>
      </c>
      <c r="F334" s="196"/>
      <c r="G334" s="196" t="s">
        <v>109</v>
      </c>
      <c r="H334" s="196" t="s">
        <v>172</v>
      </c>
      <c r="I334" s="196"/>
      <c r="J334" s="196"/>
      <c r="K334" s="196"/>
      <c r="L334" s="196"/>
      <c r="M334" s="196"/>
      <c r="N334" s="196"/>
      <c r="O334" s="196"/>
      <c r="P334" s="196"/>
      <c r="Q334" s="196"/>
      <c r="R334" s="196"/>
      <c r="S334" s="196"/>
      <c r="T334" s="196"/>
      <c r="U334" s="196"/>
      <c r="V334" s="196"/>
      <c r="W334" s="196"/>
      <c r="X334" s="196"/>
      <c r="Y334" s="196"/>
      <c r="Z334" s="196"/>
      <c r="AA334" s="196"/>
      <c r="AB334" s="196"/>
      <c r="AC334" s="196"/>
      <c r="AD334" s="196"/>
      <c r="AE334" s="196"/>
      <c r="AF334" s="196"/>
      <c r="AG334" s="196"/>
      <c r="AH334" s="196"/>
      <c r="AI334" s="196"/>
      <c r="AJ334" s="196"/>
      <c r="AK334" s="196"/>
      <c r="AL334" s="196"/>
      <c r="AM334" s="196"/>
      <c r="AN334" s="196"/>
      <c r="AO334" s="196"/>
      <c r="AP334" s="196"/>
      <c r="AQ334" s="196"/>
      <c r="AR334" s="196"/>
      <c r="AS334" s="196"/>
      <c r="AT334" s="208"/>
      <c r="AU334" s="198">
        <v>0</v>
      </c>
      <c r="AV334" s="199">
        <v>0</v>
      </c>
      <c r="AW334" s="199">
        <v>0</v>
      </c>
      <c r="AX334" s="199">
        <v>0</v>
      </c>
      <c r="AY334" s="200">
        <v>0</v>
      </c>
      <c r="BA334" s="34" t="str">
        <f t="shared" ca="1" si="54"/>
        <v>Southern</v>
      </c>
      <c r="BB334" s="34" t="str">
        <f t="shared" si="55"/>
        <v>Fixed Inputs</v>
      </c>
      <c r="BC334" s="34" t="str">
        <f t="shared" si="59"/>
        <v>Variant allowances</v>
      </c>
      <c r="BD334" s="34" t="str">
        <f t="shared" si="57"/>
        <v>Totex variant allowances allocation percentages</v>
      </c>
    </row>
    <row r="335" spans="5:56" x14ac:dyDescent="0.35">
      <c r="E335" s="187" t="str" cm="1">
        <f t="array" ref="E335">INDEX($E$99:$E$202,INT((ROW()-ROW($E$205))/5)+1)</f>
        <v>Re-opener_Climate change resilience work</v>
      </c>
      <c r="F335" s="188"/>
      <c r="G335" s="188" t="s">
        <v>109</v>
      </c>
      <c r="H335" s="188" t="s">
        <v>168</v>
      </c>
      <c r="I335" s="188"/>
      <c r="J335" s="188"/>
      <c r="K335" s="188"/>
      <c r="L335" s="188"/>
      <c r="M335" s="188"/>
      <c r="N335" s="188"/>
      <c r="O335" s="188"/>
      <c r="P335" s="188"/>
      <c r="Q335" s="188"/>
      <c r="R335" s="188"/>
      <c r="S335" s="188"/>
      <c r="T335" s="188"/>
      <c r="U335" s="188"/>
      <c r="V335" s="188"/>
      <c r="W335" s="188"/>
      <c r="X335" s="188"/>
      <c r="Y335" s="188"/>
      <c r="Z335" s="188"/>
      <c r="AA335" s="188"/>
      <c r="AB335" s="188"/>
      <c r="AC335" s="188"/>
      <c r="AD335" s="188"/>
      <c r="AE335" s="188"/>
      <c r="AF335" s="188"/>
      <c r="AG335" s="188"/>
      <c r="AH335" s="188"/>
      <c r="AI335" s="188"/>
      <c r="AJ335" s="188"/>
      <c r="AK335" s="188"/>
      <c r="AL335" s="188"/>
      <c r="AM335" s="188"/>
      <c r="AN335" s="188"/>
      <c r="AO335" s="188"/>
      <c r="AP335" s="188"/>
      <c r="AQ335" s="188"/>
      <c r="AR335" s="188"/>
      <c r="AS335" s="188"/>
      <c r="AT335" s="202"/>
      <c r="AU335" s="190">
        <v>0</v>
      </c>
      <c r="AV335" s="191">
        <v>0</v>
      </c>
      <c r="AW335" s="191">
        <v>0</v>
      </c>
      <c r="AX335" s="191">
        <v>0</v>
      </c>
      <c r="AY335" s="192">
        <v>0</v>
      </c>
      <c r="BA335" s="34" t="str">
        <f t="shared" ca="1" si="54"/>
        <v>Southern</v>
      </c>
      <c r="BB335" s="34" t="str">
        <f t="shared" si="55"/>
        <v>Fixed Inputs</v>
      </c>
      <c r="BC335" s="34" t="str">
        <f t="shared" si="59"/>
        <v>Variant allowances</v>
      </c>
      <c r="BD335" s="34" t="str">
        <f t="shared" si="57"/>
        <v>Totex variant allowances allocation percentages</v>
      </c>
    </row>
    <row r="336" spans="5:56" x14ac:dyDescent="0.35">
      <c r="E336" s="193" t="str" cm="1">
        <f t="array" ref="E336">INDEX($E$99:$E$202,INT((ROW()-ROW($E$205))/5)+1)</f>
        <v>Re-opener_Climate change resilience work</v>
      </c>
      <c r="G336" s="33" t="s">
        <v>109</v>
      </c>
      <c r="H336" s="33" t="s">
        <v>169</v>
      </c>
      <c r="AU336" s="140">
        <v>0</v>
      </c>
      <c r="AV336" s="23">
        <v>0</v>
      </c>
      <c r="AW336" s="23">
        <v>0</v>
      </c>
      <c r="AX336" s="23">
        <v>0</v>
      </c>
      <c r="AY336" s="194">
        <v>0</v>
      </c>
      <c r="BA336" s="34" t="str">
        <f t="shared" ca="1" si="54"/>
        <v>Southern</v>
      </c>
      <c r="BB336" s="34" t="str">
        <f t="shared" si="55"/>
        <v>Fixed Inputs</v>
      </c>
      <c r="BC336" s="34" t="str">
        <f t="shared" si="59"/>
        <v>Variant allowances</v>
      </c>
      <c r="BD336" s="34" t="str">
        <f t="shared" si="57"/>
        <v>Totex variant allowances allocation percentages</v>
      </c>
    </row>
    <row r="337" spans="5:56" x14ac:dyDescent="0.35">
      <c r="E337" s="193" t="str" cm="1">
        <f t="array" ref="E337">INDEX($E$99:$E$202,INT((ROW()-ROW($E$205))/5)+1)</f>
        <v>Re-opener_Climate change resilience work</v>
      </c>
      <c r="G337" s="33" t="s">
        <v>109</v>
      </c>
      <c r="H337" s="33" t="s">
        <v>170</v>
      </c>
      <c r="AU337" s="140">
        <v>0</v>
      </c>
      <c r="AV337" s="23">
        <v>0</v>
      </c>
      <c r="AW337" s="23">
        <v>0</v>
      </c>
      <c r="AX337" s="23">
        <v>0</v>
      </c>
      <c r="AY337" s="194">
        <v>0</v>
      </c>
      <c r="BA337" s="34" t="str">
        <f t="shared" ca="1" si="54"/>
        <v>Southern</v>
      </c>
      <c r="BB337" s="34" t="str">
        <f t="shared" si="55"/>
        <v>Fixed Inputs</v>
      </c>
      <c r="BC337" s="34" t="str">
        <f t="shared" si="59"/>
        <v>Variant allowances</v>
      </c>
      <c r="BD337" s="34" t="str">
        <f t="shared" si="57"/>
        <v>Totex variant allowances allocation percentages</v>
      </c>
    </row>
    <row r="338" spans="5:56" x14ac:dyDescent="0.35">
      <c r="E338" s="193" t="str" cm="1">
        <f t="array" ref="E338">INDEX($E$99:$E$202,INT((ROW()-ROW($E$205))/5)+1)</f>
        <v>Re-opener_Climate change resilience work</v>
      </c>
      <c r="G338" s="33" t="s">
        <v>109</v>
      </c>
      <c r="H338" s="33" t="s">
        <v>171</v>
      </c>
      <c r="AU338" s="140">
        <v>0</v>
      </c>
      <c r="AV338" s="23">
        <v>0</v>
      </c>
      <c r="AW338" s="23">
        <v>0</v>
      </c>
      <c r="AX338" s="23">
        <v>0</v>
      </c>
      <c r="AY338" s="194">
        <v>0</v>
      </c>
      <c r="BA338" s="34" t="str">
        <f t="shared" ca="1" si="54"/>
        <v>Southern</v>
      </c>
      <c r="BB338" s="34" t="str">
        <f t="shared" si="55"/>
        <v>Fixed Inputs</v>
      </c>
      <c r="BC338" s="34" t="str">
        <f t="shared" si="59"/>
        <v>Variant allowances</v>
      </c>
      <c r="BD338" s="34" t="str">
        <f t="shared" si="57"/>
        <v>Totex variant allowances allocation percentages</v>
      </c>
    </row>
    <row r="339" spans="5:56" x14ac:dyDescent="0.35">
      <c r="E339" s="195" t="str" cm="1">
        <f t="array" ref="E339">INDEX($E$99:$E$202,INT((ROW()-ROW($E$205))/5)+1)</f>
        <v>Re-opener_Climate change resilience work</v>
      </c>
      <c r="F339" s="196"/>
      <c r="G339" s="196" t="s">
        <v>109</v>
      </c>
      <c r="H339" s="196" t="s">
        <v>172</v>
      </c>
      <c r="I339" s="196"/>
      <c r="J339" s="196"/>
      <c r="K339" s="196"/>
      <c r="L339" s="196"/>
      <c r="M339" s="196"/>
      <c r="N339" s="196"/>
      <c r="O339" s="196"/>
      <c r="P339" s="196"/>
      <c r="Q339" s="196"/>
      <c r="R339" s="196"/>
      <c r="S339" s="196"/>
      <c r="T339" s="196"/>
      <c r="U339" s="196"/>
      <c r="V339" s="196"/>
      <c r="W339" s="196"/>
      <c r="X339" s="196"/>
      <c r="Y339" s="196"/>
      <c r="Z339" s="196"/>
      <c r="AA339" s="196"/>
      <c r="AB339" s="196"/>
      <c r="AC339" s="196"/>
      <c r="AD339" s="196"/>
      <c r="AE339" s="196"/>
      <c r="AF339" s="196"/>
      <c r="AG339" s="196"/>
      <c r="AH339" s="196"/>
      <c r="AI339" s="196"/>
      <c r="AJ339" s="196"/>
      <c r="AK339" s="196"/>
      <c r="AL339" s="196"/>
      <c r="AM339" s="196"/>
      <c r="AN339" s="196"/>
      <c r="AO339" s="196"/>
      <c r="AP339" s="196"/>
      <c r="AQ339" s="196"/>
      <c r="AR339" s="196"/>
      <c r="AS339" s="196"/>
      <c r="AT339" s="208"/>
      <c r="AU339" s="198">
        <v>0</v>
      </c>
      <c r="AV339" s="199">
        <v>0</v>
      </c>
      <c r="AW339" s="199">
        <v>0</v>
      </c>
      <c r="AX339" s="199">
        <v>0</v>
      </c>
      <c r="AY339" s="200">
        <v>0</v>
      </c>
      <c r="BA339" s="34" t="str">
        <f t="shared" ca="1" si="54"/>
        <v>Southern</v>
      </c>
      <c r="BB339" s="34" t="str">
        <f t="shared" si="55"/>
        <v>Fixed Inputs</v>
      </c>
      <c r="BC339" s="34" t="str">
        <f t="shared" si="59"/>
        <v>Variant allowances</v>
      </c>
      <c r="BD339" s="34" t="str">
        <f t="shared" si="57"/>
        <v>Totex variant allowances allocation percentages</v>
      </c>
    </row>
    <row r="340" spans="5:56" x14ac:dyDescent="0.35">
      <c r="E340" s="187" t="str" cm="1">
        <f t="array" ref="E340">INDEX($E$99:$E$202,INT((ROW()-ROW($E$205))/5)+1)</f>
        <v>Re-opener_Coordinated Adjustment Mechanism Re-opener</v>
      </c>
      <c r="F340" s="188"/>
      <c r="G340" s="188" t="s">
        <v>109</v>
      </c>
      <c r="H340" s="188" t="s">
        <v>168</v>
      </c>
      <c r="I340" s="188"/>
      <c r="J340" s="188"/>
      <c r="K340" s="188"/>
      <c r="L340" s="188"/>
      <c r="M340" s="188"/>
      <c r="N340" s="188"/>
      <c r="O340" s="188"/>
      <c r="P340" s="188"/>
      <c r="Q340" s="188"/>
      <c r="R340" s="188"/>
      <c r="S340" s="188"/>
      <c r="T340" s="188"/>
      <c r="U340" s="188"/>
      <c r="V340" s="188"/>
      <c r="W340" s="188"/>
      <c r="X340" s="188"/>
      <c r="Y340" s="188"/>
      <c r="Z340" s="188"/>
      <c r="AA340" s="188"/>
      <c r="AB340" s="188"/>
      <c r="AC340" s="188"/>
      <c r="AD340" s="188"/>
      <c r="AE340" s="188"/>
      <c r="AF340" s="188"/>
      <c r="AG340" s="188"/>
      <c r="AH340" s="188"/>
      <c r="AI340" s="188"/>
      <c r="AJ340" s="188"/>
      <c r="AK340" s="188"/>
      <c r="AL340" s="188"/>
      <c r="AM340" s="188"/>
      <c r="AN340" s="188"/>
      <c r="AO340" s="188"/>
      <c r="AP340" s="188"/>
      <c r="AQ340" s="188"/>
      <c r="AR340" s="188"/>
      <c r="AS340" s="188"/>
      <c r="AT340" s="202"/>
      <c r="AU340" s="190">
        <v>0</v>
      </c>
      <c r="AV340" s="191">
        <v>0</v>
      </c>
      <c r="AW340" s="191">
        <v>0</v>
      </c>
      <c r="AX340" s="191">
        <v>0</v>
      </c>
      <c r="AY340" s="192">
        <v>0</v>
      </c>
      <c r="BA340" s="34" t="str">
        <f t="shared" ca="1" si="54"/>
        <v>Southern</v>
      </c>
      <c r="BB340" s="34" t="str">
        <f t="shared" si="55"/>
        <v>Fixed Inputs</v>
      </c>
      <c r="BC340" s="34" t="str">
        <f t="shared" si="59"/>
        <v>Variant allowances</v>
      </c>
      <c r="BD340" s="34" t="str">
        <f t="shared" si="57"/>
        <v>Totex variant allowances allocation percentages</v>
      </c>
    </row>
    <row r="341" spans="5:56" x14ac:dyDescent="0.35">
      <c r="E341" s="193" t="str" cm="1">
        <f t="array" ref="E341">INDEX($E$99:$E$202,INT((ROW()-ROW($E$205))/5)+1)</f>
        <v>Re-opener_Coordinated Adjustment Mechanism Re-opener</v>
      </c>
      <c r="G341" s="33" t="s">
        <v>109</v>
      </c>
      <c r="H341" s="33" t="s">
        <v>169</v>
      </c>
      <c r="AU341" s="140">
        <v>0</v>
      </c>
      <c r="AV341" s="23">
        <v>0</v>
      </c>
      <c r="AW341" s="23">
        <v>0</v>
      </c>
      <c r="AX341" s="23">
        <v>0</v>
      </c>
      <c r="AY341" s="194">
        <v>0</v>
      </c>
      <c r="BA341" s="34" t="str">
        <f t="shared" ca="1" si="54"/>
        <v>Southern</v>
      </c>
      <c r="BB341" s="34" t="str">
        <f t="shared" si="55"/>
        <v>Fixed Inputs</v>
      </c>
      <c r="BC341" s="34" t="str">
        <f t="shared" si="59"/>
        <v>Variant allowances</v>
      </c>
      <c r="BD341" s="34" t="str">
        <f t="shared" si="57"/>
        <v>Totex variant allowances allocation percentages</v>
      </c>
    </row>
    <row r="342" spans="5:56" x14ac:dyDescent="0.35">
      <c r="E342" s="193" t="str" cm="1">
        <f t="array" ref="E342">INDEX($E$99:$E$202,INT((ROW()-ROW($E$205))/5)+1)</f>
        <v>Re-opener_Coordinated Adjustment Mechanism Re-opener</v>
      </c>
      <c r="G342" s="33" t="s">
        <v>109</v>
      </c>
      <c r="H342" s="33" t="s">
        <v>170</v>
      </c>
      <c r="AU342" s="140">
        <v>0</v>
      </c>
      <c r="AV342" s="23">
        <v>0</v>
      </c>
      <c r="AW342" s="23">
        <v>0</v>
      </c>
      <c r="AX342" s="23">
        <v>0</v>
      </c>
      <c r="AY342" s="194">
        <v>0</v>
      </c>
      <c r="BA342" s="34" t="str">
        <f t="shared" ca="1" si="54"/>
        <v>Southern</v>
      </c>
      <c r="BB342" s="34" t="str">
        <f t="shared" si="55"/>
        <v>Fixed Inputs</v>
      </c>
      <c r="BC342" s="34" t="str">
        <f t="shared" si="59"/>
        <v>Variant allowances</v>
      </c>
      <c r="BD342" s="34" t="str">
        <f t="shared" si="57"/>
        <v>Totex variant allowances allocation percentages</v>
      </c>
    </row>
    <row r="343" spans="5:56" x14ac:dyDescent="0.35">
      <c r="E343" s="193" t="str" cm="1">
        <f t="array" ref="E343">INDEX($E$99:$E$202,INT((ROW()-ROW($E$205))/5)+1)</f>
        <v>Re-opener_Coordinated Adjustment Mechanism Re-opener</v>
      </c>
      <c r="G343" s="33" t="s">
        <v>109</v>
      </c>
      <c r="H343" s="33" t="s">
        <v>171</v>
      </c>
      <c r="AU343" s="140">
        <v>0</v>
      </c>
      <c r="AV343" s="23">
        <v>0</v>
      </c>
      <c r="AW343" s="23">
        <v>0</v>
      </c>
      <c r="AX343" s="23">
        <v>0</v>
      </c>
      <c r="AY343" s="194">
        <v>0</v>
      </c>
      <c r="BA343" s="34" t="str">
        <f t="shared" ca="1" si="54"/>
        <v>Southern</v>
      </c>
      <c r="BB343" s="34" t="str">
        <f t="shared" si="55"/>
        <v>Fixed Inputs</v>
      </c>
      <c r="BC343" s="34" t="str">
        <f t="shared" si="59"/>
        <v>Variant allowances</v>
      </c>
      <c r="BD343" s="34" t="str">
        <f t="shared" si="57"/>
        <v>Totex variant allowances allocation percentages</v>
      </c>
    </row>
    <row r="344" spans="5:56" x14ac:dyDescent="0.35">
      <c r="E344" s="195" t="str" cm="1">
        <f t="array" ref="E344">INDEX($E$99:$E$202,INT((ROW()-ROW($E$205))/5)+1)</f>
        <v>Re-opener_Coordinated Adjustment Mechanism Re-opener</v>
      </c>
      <c r="F344" s="196"/>
      <c r="G344" s="196" t="s">
        <v>109</v>
      </c>
      <c r="H344" s="196" t="s">
        <v>172</v>
      </c>
      <c r="I344" s="196"/>
      <c r="J344" s="196"/>
      <c r="K344" s="196"/>
      <c r="L344" s="196"/>
      <c r="M344" s="196"/>
      <c r="N344" s="196"/>
      <c r="O344" s="196"/>
      <c r="P344" s="196"/>
      <c r="Q344" s="196"/>
      <c r="R344" s="196"/>
      <c r="S344" s="196"/>
      <c r="T344" s="196"/>
      <c r="U344" s="196"/>
      <c r="V344" s="196"/>
      <c r="W344" s="196"/>
      <c r="X344" s="196"/>
      <c r="Y344" s="196"/>
      <c r="Z344" s="196"/>
      <c r="AA344" s="196"/>
      <c r="AB344" s="196"/>
      <c r="AC344" s="196"/>
      <c r="AD344" s="196"/>
      <c r="AE344" s="196"/>
      <c r="AF344" s="196"/>
      <c r="AG344" s="196"/>
      <c r="AH344" s="196"/>
      <c r="AI344" s="196"/>
      <c r="AJ344" s="196"/>
      <c r="AK344" s="196"/>
      <c r="AL344" s="196"/>
      <c r="AM344" s="196"/>
      <c r="AN344" s="196"/>
      <c r="AO344" s="196"/>
      <c r="AP344" s="196"/>
      <c r="AQ344" s="196"/>
      <c r="AR344" s="196"/>
      <c r="AS344" s="196"/>
      <c r="AT344" s="208"/>
      <c r="AU344" s="198">
        <v>0</v>
      </c>
      <c r="AV344" s="199">
        <v>0</v>
      </c>
      <c r="AW344" s="199">
        <v>0</v>
      </c>
      <c r="AX344" s="199">
        <v>0</v>
      </c>
      <c r="AY344" s="200">
        <v>0</v>
      </c>
      <c r="BA344" s="34" t="str">
        <f t="shared" ca="1" si="54"/>
        <v>Southern</v>
      </c>
      <c r="BB344" s="34" t="str">
        <f t="shared" si="55"/>
        <v>Fixed Inputs</v>
      </c>
      <c r="BC344" s="34" t="str">
        <f t="shared" si="59"/>
        <v>Variant allowances</v>
      </c>
      <c r="BD344" s="34" t="str">
        <f t="shared" si="57"/>
        <v>Totex variant allowances allocation percentages</v>
      </c>
    </row>
    <row r="345" spans="5:56" x14ac:dyDescent="0.35">
      <c r="E345" s="187" t="str" cm="1">
        <f t="array" ref="E345">INDEX($E$99:$E$202,INT((ROW()-ROW($E$205))/5)+1)</f>
        <v>Re-opener_Cyber re-opener (Cadent_EoE) / Cyber resilience Re-Opener</v>
      </c>
      <c r="F345" s="188"/>
      <c r="G345" s="188" t="s">
        <v>109</v>
      </c>
      <c r="H345" s="188" t="s">
        <v>168</v>
      </c>
      <c r="I345" s="188"/>
      <c r="J345" s="188"/>
      <c r="K345" s="188"/>
      <c r="L345" s="188"/>
      <c r="M345" s="188"/>
      <c r="N345" s="188"/>
      <c r="O345" s="188"/>
      <c r="P345" s="188"/>
      <c r="Q345" s="188"/>
      <c r="R345" s="188"/>
      <c r="S345" s="188"/>
      <c r="T345" s="188"/>
      <c r="U345" s="188"/>
      <c r="V345" s="188"/>
      <c r="W345" s="188"/>
      <c r="X345" s="188"/>
      <c r="Y345" s="188"/>
      <c r="Z345" s="188"/>
      <c r="AA345" s="188"/>
      <c r="AB345" s="188"/>
      <c r="AC345" s="188"/>
      <c r="AD345" s="188"/>
      <c r="AE345" s="188"/>
      <c r="AF345" s="188"/>
      <c r="AG345" s="188"/>
      <c r="AH345" s="188"/>
      <c r="AI345" s="188"/>
      <c r="AJ345" s="188"/>
      <c r="AK345" s="188"/>
      <c r="AL345" s="188"/>
      <c r="AM345" s="188"/>
      <c r="AN345" s="188"/>
      <c r="AO345" s="188"/>
      <c r="AP345" s="188"/>
      <c r="AQ345" s="188"/>
      <c r="AR345" s="188"/>
      <c r="AS345" s="188"/>
      <c r="AT345" s="202"/>
      <c r="AU345" s="190">
        <v>0</v>
      </c>
      <c r="AV345" s="191">
        <v>0</v>
      </c>
      <c r="AW345" s="191">
        <v>0</v>
      </c>
      <c r="AX345" s="191">
        <v>0</v>
      </c>
      <c r="AY345" s="192">
        <v>0</v>
      </c>
      <c r="BA345" s="34" t="str">
        <f t="shared" ca="1" si="54"/>
        <v>Southern</v>
      </c>
      <c r="BB345" s="34" t="str">
        <f t="shared" si="55"/>
        <v>Fixed Inputs</v>
      </c>
      <c r="BC345" s="34" t="str">
        <f t="shared" si="59"/>
        <v>Variant allowances</v>
      </c>
      <c r="BD345" s="34" t="str">
        <f t="shared" si="57"/>
        <v>Totex variant allowances allocation percentages</v>
      </c>
    </row>
    <row r="346" spans="5:56" x14ac:dyDescent="0.35">
      <c r="E346" s="193" t="str" cm="1">
        <f t="array" ref="E346">INDEX($E$99:$E$202,INT((ROW()-ROW($E$205))/5)+1)</f>
        <v>Re-opener_Cyber re-opener (Cadent_EoE) / Cyber resilience Re-Opener</v>
      </c>
      <c r="G346" s="33" t="s">
        <v>109</v>
      </c>
      <c r="H346" s="33" t="s">
        <v>169</v>
      </c>
      <c r="AU346" s="140">
        <v>0.5</v>
      </c>
      <c r="AV346" s="23">
        <v>0.5</v>
      </c>
      <c r="AW346" s="23">
        <v>0.5</v>
      </c>
      <c r="AX346" s="23">
        <v>0.5</v>
      </c>
      <c r="AY346" s="194">
        <v>0.5</v>
      </c>
      <c r="BA346" s="34" t="str">
        <f t="shared" ca="1" si="54"/>
        <v>Southern</v>
      </c>
      <c r="BB346" s="34" t="str">
        <f t="shared" si="55"/>
        <v>Fixed Inputs</v>
      </c>
      <c r="BC346" s="34" t="str">
        <f t="shared" si="59"/>
        <v>Variant allowances</v>
      </c>
      <c r="BD346" s="34" t="str">
        <f t="shared" si="57"/>
        <v>Totex variant allowances allocation percentages</v>
      </c>
    </row>
    <row r="347" spans="5:56" x14ac:dyDescent="0.35">
      <c r="E347" s="193" t="str" cm="1">
        <f t="array" ref="E347">INDEX($E$99:$E$202,INT((ROW()-ROW($E$205))/5)+1)</f>
        <v>Re-opener_Cyber re-opener (Cadent_EoE) / Cyber resilience Re-Opener</v>
      </c>
      <c r="G347" s="33" t="s">
        <v>109</v>
      </c>
      <c r="H347" s="33" t="s">
        <v>170</v>
      </c>
      <c r="AU347" s="140">
        <v>0.5</v>
      </c>
      <c r="AV347" s="23">
        <v>0.5</v>
      </c>
      <c r="AW347" s="23">
        <v>0.5</v>
      </c>
      <c r="AX347" s="23">
        <v>0.5</v>
      </c>
      <c r="AY347" s="194">
        <v>0.5</v>
      </c>
      <c r="BA347" s="34" t="str">
        <f t="shared" ca="1" si="54"/>
        <v>Southern</v>
      </c>
      <c r="BB347" s="34" t="str">
        <f t="shared" si="55"/>
        <v>Fixed Inputs</v>
      </c>
      <c r="BC347" s="34" t="str">
        <f t="shared" si="59"/>
        <v>Variant allowances</v>
      </c>
      <c r="BD347" s="34" t="str">
        <f t="shared" si="57"/>
        <v>Totex variant allowances allocation percentages</v>
      </c>
    </row>
    <row r="348" spans="5:56" x14ac:dyDescent="0.35">
      <c r="E348" s="193" t="str" cm="1">
        <f t="array" ref="E348">INDEX($E$99:$E$202,INT((ROW()-ROW($E$205))/5)+1)</f>
        <v>Re-opener_Cyber re-opener (Cadent_EoE) / Cyber resilience Re-Opener</v>
      </c>
      <c r="G348" s="33" t="s">
        <v>109</v>
      </c>
      <c r="H348" s="33" t="s">
        <v>171</v>
      </c>
      <c r="AU348" s="140">
        <v>0</v>
      </c>
      <c r="AV348" s="23">
        <v>0</v>
      </c>
      <c r="AW348" s="23">
        <v>0</v>
      </c>
      <c r="AX348" s="23">
        <v>0</v>
      </c>
      <c r="AY348" s="194">
        <v>0</v>
      </c>
      <c r="BA348" s="34" t="str">
        <f t="shared" ca="1" si="54"/>
        <v>Southern</v>
      </c>
      <c r="BB348" s="34" t="str">
        <f t="shared" si="55"/>
        <v>Fixed Inputs</v>
      </c>
      <c r="BC348" s="34" t="str">
        <f t="shared" si="59"/>
        <v>Variant allowances</v>
      </c>
      <c r="BD348" s="34" t="str">
        <f t="shared" si="57"/>
        <v>Totex variant allowances allocation percentages</v>
      </c>
    </row>
    <row r="349" spans="5:56" x14ac:dyDescent="0.35">
      <c r="E349" s="195" t="str" cm="1">
        <f t="array" ref="E349">INDEX($E$99:$E$202,INT((ROW()-ROW($E$205))/5)+1)</f>
        <v>Re-opener_Cyber re-opener (Cadent_EoE) / Cyber resilience Re-Opener</v>
      </c>
      <c r="F349" s="196"/>
      <c r="G349" s="196" t="s">
        <v>109</v>
      </c>
      <c r="H349" s="196" t="s">
        <v>172</v>
      </c>
      <c r="I349" s="196"/>
      <c r="J349" s="196"/>
      <c r="K349" s="196"/>
      <c r="L349" s="196"/>
      <c r="M349" s="196"/>
      <c r="N349" s="196"/>
      <c r="O349" s="196"/>
      <c r="P349" s="196"/>
      <c r="Q349" s="196"/>
      <c r="R349" s="196"/>
      <c r="S349" s="196"/>
      <c r="T349" s="196"/>
      <c r="U349" s="196"/>
      <c r="V349" s="196"/>
      <c r="W349" s="196"/>
      <c r="X349" s="196"/>
      <c r="Y349" s="196"/>
      <c r="Z349" s="196"/>
      <c r="AA349" s="196"/>
      <c r="AB349" s="196"/>
      <c r="AC349" s="196"/>
      <c r="AD349" s="196"/>
      <c r="AE349" s="196"/>
      <c r="AF349" s="196"/>
      <c r="AG349" s="196"/>
      <c r="AH349" s="196"/>
      <c r="AI349" s="196"/>
      <c r="AJ349" s="196"/>
      <c r="AK349" s="196"/>
      <c r="AL349" s="196"/>
      <c r="AM349" s="196"/>
      <c r="AN349" s="196"/>
      <c r="AO349" s="196"/>
      <c r="AP349" s="196"/>
      <c r="AQ349" s="196"/>
      <c r="AR349" s="196"/>
      <c r="AS349" s="196"/>
      <c r="AT349" s="208"/>
      <c r="AU349" s="198">
        <v>0</v>
      </c>
      <c r="AV349" s="199">
        <v>0</v>
      </c>
      <c r="AW349" s="199">
        <v>0</v>
      </c>
      <c r="AX349" s="199">
        <v>0</v>
      </c>
      <c r="AY349" s="200">
        <v>0</v>
      </c>
      <c r="BA349" s="34" t="str">
        <f t="shared" ca="1" si="54"/>
        <v>Southern</v>
      </c>
      <c r="BB349" s="34" t="str">
        <f t="shared" si="55"/>
        <v>Fixed Inputs</v>
      </c>
      <c r="BC349" s="34" t="str">
        <f t="shared" si="59"/>
        <v>Variant allowances</v>
      </c>
      <c r="BD349" s="34" t="str">
        <f t="shared" si="57"/>
        <v>Totex variant allowances allocation percentages</v>
      </c>
    </row>
    <row r="350" spans="5:56" x14ac:dyDescent="0.35">
      <c r="E350" s="187" t="str" cm="1">
        <f t="array" ref="E350">INDEX($E$99:$E$202,INT((ROW()-ROW($E$205))/5)+1)</f>
        <v>Re-opener_Data and digitalisation</v>
      </c>
      <c r="F350" s="188"/>
      <c r="G350" s="188" t="s">
        <v>109</v>
      </c>
      <c r="H350" s="188" t="s">
        <v>168</v>
      </c>
      <c r="I350" s="188"/>
      <c r="J350" s="188"/>
      <c r="K350" s="188"/>
      <c r="L350" s="188"/>
      <c r="M350" s="188"/>
      <c r="N350" s="188"/>
      <c r="O350" s="188"/>
      <c r="P350" s="188"/>
      <c r="Q350" s="188"/>
      <c r="R350" s="188"/>
      <c r="S350" s="188"/>
      <c r="T350" s="188"/>
      <c r="U350" s="188"/>
      <c r="V350" s="188"/>
      <c r="W350" s="188"/>
      <c r="X350" s="188"/>
      <c r="Y350" s="188"/>
      <c r="Z350" s="188"/>
      <c r="AA350" s="188"/>
      <c r="AB350" s="188"/>
      <c r="AC350" s="188"/>
      <c r="AD350" s="188"/>
      <c r="AE350" s="188"/>
      <c r="AF350" s="188"/>
      <c r="AG350" s="188"/>
      <c r="AH350" s="188"/>
      <c r="AI350" s="188"/>
      <c r="AJ350" s="188"/>
      <c r="AK350" s="188"/>
      <c r="AL350" s="188"/>
      <c r="AM350" s="188"/>
      <c r="AN350" s="188"/>
      <c r="AO350" s="188"/>
      <c r="AP350" s="188"/>
      <c r="AQ350" s="188"/>
      <c r="AR350" s="188"/>
      <c r="AS350" s="188"/>
      <c r="AT350" s="202"/>
      <c r="AU350" s="190">
        <v>0</v>
      </c>
      <c r="AV350" s="191">
        <v>0</v>
      </c>
      <c r="AW350" s="191">
        <v>0</v>
      </c>
      <c r="AX350" s="191">
        <v>0</v>
      </c>
      <c r="AY350" s="192">
        <v>0</v>
      </c>
      <c r="BA350" s="34" t="str">
        <f t="shared" ca="1" si="54"/>
        <v>Southern</v>
      </c>
      <c r="BB350" s="34" t="str">
        <f t="shared" si="55"/>
        <v>Fixed Inputs</v>
      </c>
      <c r="BC350" s="34" t="str">
        <f t="shared" si="59"/>
        <v>Variant allowances</v>
      </c>
      <c r="BD350" s="34" t="str">
        <f t="shared" si="57"/>
        <v>Totex variant allowances allocation percentages</v>
      </c>
    </row>
    <row r="351" spans="5:56" x14ac:dyDescent="0.35">
      <c r="E351" s="193" t="str" cm="1">
        <f t="array" ref="E351">INDEX($E$99:$E$202,INT((ROW()-ROW($E$205))/5)+1)</f>
        <v>Re-opener_Data and digitalisation</v>
      </c>
      <c r="G351" s="33" t="s">
        <v>109</v>
      </c>
      <c r="H351" s="33" t="s">
        <v>169</v>
      </c>
      <c r="AU351" s="140">
        <v>0</v>
      </c>
      <c r="AV351" s="23">
        <v>0</v>
      </c>
      <c r="AW351" s="23">
        <v>0</v>
      </c>
      <c r="AX351" s="23">
        <v>0</v>
      </c>
      <c r="AY351" s="194">
        <v>0</v>
      </c>
      <c r="BA351" s="34" t="str">
        <f t="shared" ca="1" si="54"/>
        <v>Southern</v>
      </c>
      <c r="BB351" s="34" t="str">
        <f t="shared" si="55"/>
        <v>Fixed Inputs</v>
      </c>
      <c r="BC351" s="34" t="str">
        <f t="shared" si="59"/>
        <v>Variant allowances</v>
      </c>
      <c r="BD351" s="34" t="str">
        <f t="shared" si="57"/>
        <v>Totex variant allowances allocation percentages</v>
      </c>
    </row>
    <row r="352" spans="5:56" x14ac:dyDescent="0.35">
      <c r="E352" s="193" t="str" cm="1">
        <f t="array" ref="E352">INDEX($E$99:$E$202,INT((ROW()-ROW($E$205))/5)+1)</f>
        <v>Re-opener_Data and digitalisation</v>
      </c>
      <c r="G352" s="33" t="s">
        <v>109</v>
      </c>
      <c r="H352" s="33" t="s">
        <v>170</v>
      </c>
      <c r="AU352" s="140">
        <v>0</v>
      </c>
      <c r="AV352" s="23">
        <v>0</v>
      </c>
      <c r="AW352" s="23">
        <v>0</v>
      </c>
      <c r="AX352" s="23">
        <v>0</v>
      </c>
      <c r="AY352" s="194">
        <v>0</v>
      </c>
      <c r="BA352" s="34" t="str">
        <f t="shared" ca="1" si="54"/>
        <v>Southern</v>
      </c>
      <c r="BB352" s="34" t="str">
        <f t="shared" si="55"/>
        <v>Fixed Inputs</v>
      </c>
      <c r="BC352" s="34" t="str">
        <f t="shared" si="59"/>
        <v>Variant allowances</v>
      </c>
      <c r="BD352" s="34" t="str">
        <f t="shared" si="57"/>
        <v>Totex variant allowances allocation percentages</v>
      </c>
    </row>
    <row r="353" spans="5:56" x14ac:dyDescent="0.35">
      <c r="E353" s="193" t="str" cm="1">
        <f t="array" ref="E353">INDEX($E$99:$E$202,INT((ROW()-ROW($E$205))/5)+1)</f>
        <v>Re-opener_Data and digitalisation</v>
      </c>
      <c r="G353" s="33" t="s">
        <v>109</v>
      </c>
      <c r="H353" s="33" t="s">
        <v>171</v>
      </c>
      <c r="AU353" s="140">
        <v>0</v>
      </c>
      <c r="AV353" s="23">
        <v>0</v>
      </c>
      <c r="AW353" s="23">
        <v>0</v>
      </c>
      <c r="AX353" s="23">
        <v>0</v>
      </c>
      <c r="AY353" s="194">
        <v>0</v>
      </c>
      <c r="BA353" s="34" t="str">
        <f t="shared" ca="1" si="54"/>
        <v>Southern</v>
      </c>
      <c r="BB353" s="34" t="str">
        <f t="shared" si="55"/>
        <v>Fixed Inputs</v>
      </c>
      <c r="BC353" s="34" t="str">
        <f t="shared" si="59"/>
        <v>Variant allowances</v>
      </c>
      <c r="BD353" s="34" t="str">
        <f t="shared" si="57"/>
        <v>Totex variant allowances allocation percentages</v>
      </c>
    </row>
    <row r="354" spans="5:56" x14ac:dyDescent="0.35">
      <c r="E354" s="195" t="str" cm="1">
        <f t="array" ref="E354">INDEX($E$99:$E$202,INT((ROW()-ROW($E$205))/5)+1)</f>
        <v>Re-opener_Data and digitalisation</v>
      </c>
      <c r="F354" s="196"/>
      <c r="G354" s="196" t="s">
        <v>109</v>
      </c>
      <c r="H354" s="196" t="s">
        <v>172</v>
      </c>
      <c r="I354" s="196"/>
      <c r="J354" s="196"/>
      <c r="K354" s="196"/>
      <c r="L354" s="196"/>
      <c r="M354" s="196"/>
      <c r="N354" s="196"/>
      <c r="O354" s="196"/>
      <c r="P354" s="196"/>
      <c r="Q354" s="196"/>
      <c r="R354" s="196"/>
      <c r="S354" s="196"/>
      <c r="T354" s="196"/>
      <c r="U354" s="196"/>
      <c r="V354" s="196"/>
      <c r="W354" s="196"/>
      <c r="X354" s="196"/>
      <c r="Y354" s="196"/>
      <c r="Z354" s="196"/>
      <c r="AA354" s="196"/>
      <c r="AB354" s="196"/>
      <c r="AC354" s="196"/>
      <c r="AD354" s="196"/>
      <c r="AE354" s="196"/>
      <c r="AF354" s="196"/>
      <c r="AG354" s="196"/>
      <c r="AH354" s="196"/>
      <c r="AI354" s="196"/>
      <c r="AJ354" s="196"/>
      <c r="AK354" s="196"/>
      <c r="AL354" s="196"/>
      <c r="AM354" s="196"/>
      <c r="AN354" s="196"/>
      <c r="AO354" s="196"/>
      <c r="AP354" s="196"/>
      <c r="AQ354" s="196"/>
      <c r="AR354" s="196"/>
      <c r="AS354" s="196"/>
      <c r="AT354" s="208"/>
      <c r="AU354" s="198">
        <v>0</v>
      </c>
      <c r="AV354" s="199">
        <v>0</v>
      </c>
      <c r="AW354" s="199">
        <v>0</v>
      </c>
      <c r="AX354" s="199">
        <v>0</v>
      </c>
      <c r="AY354" s="200">
        <v>0</v>
      </c>
      <c r="BA354" s="34" t="str">
        <f t="shared" ca="1" si="54"/>
        <v>Southern</v>
      </c>
      <c r="BB354" s="34" t="str">
        <f t="shared" si="55"/>
        <v>Fixed Inputs</v>
      </c>
      <c r="BC354" s="34" t="str">
        <f t="shared" si="59"/>
        <v>Variant allowances</v>
      </c>
      <c r="BD354" s="34" t="str">
        <f t="shared" si="57"/>
        <v>Totex variant allowances allocation percentages</v>
      </c>
    </row>
    <row r="355" spans="5:56" x14ac:dyDescent="0.35">
      <c r="E355" s="187" t="str" cm="1">
        <f t="array" ref="E355">INDEX($E$99:$E$202,INT((ROW()-ROW($E$205))/5)+1)</f>
        <v>Re-opener_Digitalisation re-opener</v>
      </c>
      <c r="F355" s="188"/>
      <c r="G355" s="188" t="s">
        <v>109</v>
      </c>
      <c r="H355" s="188" t="s">
        <v>168</v>
      </c>
      <c r="I355" s="188"/>
      <c r="J355" s="188"/>
      <c r="K355" s="188"/>
      <c r="L355" s="188"/>
      <c r="M355" s="188"/>
      <c r="N355" s="188"/>
      <c r="O355" s="188"/>
      <c r="P355" s="188"/>
      <c r="Q355" s="188"/>
      <c r="R355" s="188"/>
      <c r="S355" s="188"/>
      <c r="T355" s="188"/>
      <c r="U355" s="188"/>
      <c r="V355" s="188"/>
      <c r="W355" s="188"/>
      <c r="X355" s="188"/>
      <c r="Y355" s="188"/>
      <c r="Z355" s="188"/>
      <c r="AA355" s="188"/>
      <c r="AB355" s="188"/>
      <c r="AC355" s="188"/>
      <c r="AD355" s="188"/>
      <c r="AE355" s="188"/>
      <c r="AF355" s="188"/>
      <c r="AG355" s="188"/>
      <c r="AH355" s="188"/>
      <c r="AI355" s="188"/>
      <c r="AJ355" s="188"/>
      <c r="AK355" s="188"/>
      <c r="AL355" s="188"/>
      <c r="AM355" s="188"/>
      <c r="AN355" s="188"/>
      <c r="AO355" s="188"/>
      <c r="AP355" s="188"/>
      <c r="AQ355" s="188"/>
      <c r="AR355" s="188"/>
      <c r="AS355" s="188"/>
      <c r="AT355" s="202"/>
      <c r="AU355" s="190">
        <v>0</v>
      </c>
      <c r="AV355" s="191">
        <v>0</v>
      </c>
      <c r="AW355" s="191">
        <v>0</v>
      </c>
      <c r="AX355" s="191">
        <v>0</v>
      </c>
      <c r="AY355" s="192">
        <v>0</v>
      </c>
      <c r="BA355" s="34" t="str">
        <f t="shared" ca="1" si="54"/>
        <v>Southern</v>
      </c>
      <c r="BB355" s="34" t="str">
        <f t="shared" si="55"/>
        <v>Fixed Inputs</v>
      </c>
      <c r="BC355" s="34" t="str">
        <f t="shared" si="59"/>
        <v>Variant allowances</v>
      </c>
      <c r="BD355" s="34" t="str">
        <f t="shared" si="57"/>
        <v>Totex variant allowances allocation percentages</v>
      </c>
    </row>
    <row r="356" spans="5:56" x14ac:dyDescent="0.35">
      <c r="E356" s="193" t="str" cm="1">
        <f t="array" ref="E356">INDEX($E$99:$E$202,INT((ROW()-ROW($E$205))/5)+1)</f>
        <v>Re-opener_Digitalisation re-opener</v>
      </c>
      <c r="G356" s="33" t="s">
        <v>109</v>
      </c>
      <c r="H356" s="33" t="s">
        <v>169</v>
      </c>
      <c r="AU356" s="140">
        <v>0</v>
      </c>
      <c r="AV356" s="23">
        <v>0</v>
      </c>
      <c r="AW356" s="23">
        <v>0</v>
      </c>
      <c r="AX356" s="23">
        <v>0</v>
      </c>
      <c r="AY356" s="194">
        <v>0</v>
      </c>
      <c r="BA356" s="34" t="str">
        <f t="shared" ca="1" si="54"/>
        <v>Southern</v>
      </c>
      <c r="BB356" s="34" t="str">
        <f t="shared" si="55"/>
        <v>Fixed Inputs</v>
      </c>
      <c r="BC356" s="34" t="str">
        <f t="shared" si="59"/>
        <v>Variant allowances</v>
      </c>
      <c r="BD356" s="34" t="str">
        <f t="shared" si="57"/>
        <v>Totex variant allowances allocation percentages</v>
      </c>
    </row>
    <row r="357" spans="5:56" x14ac:dyDescent="0.35">
      <c r="E357" s="193" t="str" cm="1">
        <f t="array" ref="E357">INDEX($E$99:$E$202,INT((ROW()-ROW($E$205))/5)+1)</f>
        <v>Re-opener_Digitalisation re-opener</v>
      </c>
      <c r="G357" s="33" t="s">
        <v>109</v>
      </c>
      <c r="H357" s="33" t="s">
        <v>170</v>
      </c>
      <c r="AU357" s="140">
        <v>0</v>
      </c>
      <c r="AV357" s="23">
        <v>0</v>
      </c>
      <c r="AW357" s="23">
        <v>0</v>
      </c>
      <c r="AX357" s="23">
        <v>0</v>
      </c>
      <c r="AY357" s="194">
        <v>0</v>
      </c>
      <c r="BA357" s="34" t="str">
        <f t="shared" ca="1" si="54"/>
        <v>Southern</v>
      </c>
      <c r="BB357" s="34" t="str">
        <f t="shared" si="55"/>
        <v>Fixed Inputs</v>
      </c>
      <c r="BC357" s="34" t="str">
        <f t="shared" si="59"/>
        <v>Variant allowances</v>
      </c>
      <c r="BD357" s="34" t="str">
        <f t="shared" si="57"/>
        <v>Totex variant allowances allocation percentages</v>
      </c>
    </row>
    <row r="358" spans="5:56" x14ac:dyDescent="0.35">
      <c r="E358" s="193" t="str" cm="1">
        <f t="array" ref="E358">INDEX($E$99:$E$202,INT((ROW()-ROW($E$205))/5)+1)</f>
        <v>Re-opener_Digitalisation re-opener</v>
      </c>
      <c r="G358" s="33" t="s">
        <v>109</v>
      </c>
      <c r="H358" s="33" t="s">
        <v>171</v>
      </c>
      <c r="AU358" s="140">
        <v>0</v>
      </c>
      <c r="AV358" s="23">
        <v>0</v>
      </c>
      <c r="AW358" s="23">
        <v>0</v>
      </c>
      <c r="AX358" s="23">
        <v>0</v>
      </c>
      <c r="AY358" s="194">
        <v>0</v>
      </c>
      <c r="BA358" s="34" t="str">
        <f t="shared" ca="1" si="54"/>
        <v>Southern</v>
      </c>
      <c r="BB358" s="34" t="str">
        <f t="shared" si="55"/>
        <v>Fixed Inputs</v>
      </c>
      <c r="BC358" s="34" t="str">
        <f t="shared" si="59"/>
        <v>Variant allowances</v>
      </c>
      <c r="BD358" s="34" t="str">
        <f t="shared" si="57"/>
        <v>Totex variant allowances allocation percentages</v>
      </c>
    </row>
    <row r="359" spans="5:56" x14ac:dyDescent="0.35">
      <c r="E359" s="195" t="str" cm="1">
        <f t="array" ref="E359">INDEX($E$99:$E$202,INT((ROW()-ROW($E$205))/5)+1)</f>
        <v>Re-opener_Digitalisation re-opener</v>
      </c>
      <c r="F359" s="196"/>
      <c r="G359" s="196" t="s">
        <v>109</v>
      </c>
      <c r="H359" s="196" t="s">
        <v>172</v>
      </c>
      <c r="I359" s="196"/>
      <c r="J359" s="196"/>
      <c r="K359" s="196"/>
      <c r="L359" s="196"/>
      <c r="M359" s="196"/>
      <c r="N359" s="196"/>
      <c r="O359" s="196"/>
      <c r="P359" s="196"/>
      <c r="Q359" s="196"/>
      <c r="R359" s="196"/>
      <c r="S359" s="196"/>
      <c r="T359" s="196"/>
      <c r="U359" s="196"/>
      <c r="V359" s="196"/>
      <c r="W359" s="196"/>
      <c r="X359" s="196"/>
      <c r="Y359" s="196"/>
      <c r="Z359" s="196"/>
      <c r="AA359" s="196"/>
      <c r="AB359" s="196"/>
      <c r="AC359" s="196"/>
      <c r="AD359" s="196"/>
      <c r="AE359" s="196"/>
      <c r="AF359" s="196"/>
      <c r="AG359" s="196"/>
      <c r="AH359" s="196"/>
      <c r="AI359" s="196"/>
      <c r="AJ359" s="196"/>
      <c r="AK359" s="196"/>
      <c r="AL359" s="196"/>
      <c r="AM359" s="196"/>
      <c r="AN359" s="196"/>
      <c r="AO359" s="196"/>
      <c r="AP359" s="196"/>
      <c r="AQ359" s="196"/>
      <c r="AR359" s="196"/>
      <c r="AS359" s="196"/>
      <c r="AT359" s="208"/>
      <c r="AU359" s="198">
        <v>0</v>
      </c>
      <c r="AV359" s="199">
        <v>0</v>
      </c>
      <c r="AW359" s="199">
        <v>0</v>
      </c>
      <c r="AX359" s="199">
        <v>0</v>
      </c>
      <c r="AY359" s="200">
        <v>0</v>
      </c>
      <c r="BA359" s="34" t="str">
        <f t="shared" ca="1" si="54"/>
        <v>Southern</v>
      </c>
      <c r="BB359" s="34" t="str">
        <f t="shared" si="55"/>
        <v>Fixed Inputs</v>
      </c>
      <c r="BC359" s="34" t="str">
        <f t="shared" si="59"/>
        <v>Variant allowances</v>
      </c>
      <c r="BD359" s="34" t="str">
        <f t="shared" si="57"/>
        <v>Totex variant allowances allocation percentages</v>
      </c>
    </row>
    <row r="360" spans="5:56" x14ac:dyDescent="0.35">
      <c r="E360" s="187" t="str" cm="1">
        <f t="array" ref="E360">INDEX($E$99:$E$202,INT((ROW()-ROW($E$205))/5)+1)</f>
        <v>Re-opener_Diversions and Loss of Development Claims Re-opener</v>
      </c>
      <c r="F360" s="188"/>
      <c r="G360" s="188" t="s">
        <v>109</v>
      </c>
      <c r="H360" s="188" t="s">
        <v>168</v>
      </c>
      <c r="I360" s="188"/>
      <c r="J360" s="188"/>
      <c r="K360" s="188"/>
      <c r="L360" s="188"/>
      <c r="M360" s="188"/>
      <c r="N360" s="188"/>
      <c r="O360" s="188"/>
      <c r="P360" s="188"/>
      <c r="Q360" s="188"/>
      <c r="R360" s="188"/>
      <c r="S360" s="188"/>
      <c r="T360" s="188"/>
      <c r="U360" s="188"/>
      <c r="V360" s="188"/>
      <c r="W360" s="188"/>
      <c r="X360" s="188"/>
      <c r="Y360" s="188"/>
      <c r="Z360" s="188"/>
      <c r="AA360" s="188"/>
      <c r="AB360" s="188"/>
      <c r="AC360" s="188"/>
      <c r="AD360" s="188"/>
      <c r="AE360" s="188"/>
      <c r="AF360" s="188"/>
      <c r="AG360" s="188"/>
      <c r="AH360" s="188"/>
      <c r="AI360" s="188"/>
      <c r="AJ360" s="188"/>
      <c r="AK360" s="188"/>
      <c r="AL360" s="188"/>
      <c r="AM360" s="188"/>
      <c r="AN360" s="188"/>
      <c r="AO360" s="188"/>
      <c r="AP360" s="188"/>
      <c r="AQ360" s="188"/>
      <c r="AR360" s="188"/>
      <c r="AS360" s="188"/>
      <c r="AT360" s="202"/>
      <c r="AU360" s="190">
        <v>0</v>
      </c>
      <c r="AV360" s="191">
        <v>0</v>
      </c>
      <c r="AW360" s="191">
        <v>0</v>
      </c>
      <c r="AX360" s="191">
        <v>0</v>
      </c>
      <c r="AY360" s="192">
        <v>0</v>
      </c>
      <c r="BA360" s="34" t="str">
        <f t="shared" ca="1" si="54"/>
        <v>Southern</v>
      </c>
      <c r="BB360" s="34" t="str">
        <f t="shared" si="55"/>
        <v>Fixed Inputs</v>
      </c>
      <c r="BC360" s="34" t="str">
        <f t="shared" si="59"/>
        <v>Variant allowances</v>
      </c>
      <c r="BD360" s="34" t="str">
        <f t="shared" si="57"/>
        <v>Totex variant allowances allocation percentages</v>
      </c>
    </row>
    <row r="361" spans="5:56" x14ac:dyDescent="0.35">
      <c r="E361" s="193" t="str" cm="1">
        <f t="array" ref="E361">INDEX($E$99:$E$202,INT((ROW()-ROW($E$205))/5)+1)</f>
        <v>Re-opener_Diversions and Loss of Development Claims Re-opener</v>
      </c>
      <c r="G361" s="33" t="s">
        <v>109</v>
      </c>
      <c r="H361" s="33" t="s">
        <v>169</v>
      </c>
      <c r="AU361" s="140">
        <v>1</v>
      </c>
      <c r="AV361" s="23">
        <v>1</v>
      </c>
      <c r="AW361" s="23">
        <v>1</v>
      </c>
      <c r="AX361" s="23">
        <v>1</v>
      </c>
      <c r="AY361" s="194">
        <v>1</v>
      </c>
      <c r="BA361" s="34" t="str">
        <f t="shared" ca="1" si="54"/>
        <v>Southern</v>
      </c>
      <c r="BB361" s="34" t="str">
        <f t="shared" si="55"/>
        <v>Fixed Inputs</v>
      </c>
      <c r="BC361" s="34" t="str">
        <f t="shared" si="59"/>
        <v>Variant allowances</v>
      </c>
      <c r="BD361" s="34" t="str">
        <f t="shared" si="57"/>
        <v>Totex variant allowances allocation percentages</v>
      </c>
    </row>
    <row r="362" spans="5:56" x14ac:dyDescent="0.35">
      <c r="E362" s="193" t="str" cm="1">
        <f t="array" ref="E362">INDEX($E$99:$E$202,INT((ROW()-ROW($E$205))/5)+1)</f>
        <v>Re-opener_Diversions and Loss of Development Claims Re-opener</v>
      </c>
      <c r="G362" s="33" t="s">
        <v>109</v>
      </c>
      <c r="H362" s="33" t="s">
        <v>170</v>
      </c>
      <c r="AU362" s="140">
        <v>0</v>
      </c>
      <c r="AV362" s="23">
        <v>0</v>
      </c>
      <c r="AW362" s="23">
        <v>0</v>
      </c>
      <c r="AX362" s="23">
        <v>0</v>
      </c>
      <c r="AY362" s="194">
        <v>0</v>
      </c>
      <c r="BA362" s="34" t="str">
        <f t="shared" ca="1" si="54"/>
        <v>Southern</v>
      </c>
      <c r="BB362" s="34" t="str">
        <f t="shared" si="55"/>
        <v>Fixed Inputs</v>
      </c>
      <c r="BC362" s="34" t="str">
        <f t="shared" si="59"/>
        <v>Variant allowances</v>
      </c>
      <c r="BD362" s="34" t="str">
        <f t="shared" si="57"/>
        <v>Totex variant allowances allocation percentages</v>
      </c>
    </row>
    <row r="363" spans="5:56" x14ac:dyDescent="0.35">
      <c r="E363" s="193" t="str" cm="1">
        <f t="array" ref="E363">INDEX($E$99:$E$202,INT((ROW()-ROW($E$205))/5)+1)</f>
        <v>Re-opener_Diversions and Loss of Development Claims Re-opener</v>
      </c>
      <c r="G363" s="33" t="s">
        <v>109</v>
      </c>
      <c r="H363" s="33" t="s">
        <v>171</v>
      </c>
      <c r="AU363" s="140">
        <v>0</v>
      </c>
      <c r="AV363" s="23">
        <v>0</v>
      </c>
      <c r="AW363" s="23">
        <v>0</v>
      </c>
      <c r="AX363" s="23">
        <v>0</v>
      </c>
      <c r="AY363" s="194">
        <v>0</v>
      </c>
      <c r="BA363" s="34" t="str">
        <f t="shared" ca="1" si="54"/>
        <v>Southern</v>
      </c>
      <c r="BB363" s="34" t="str">
        <f t="shared" si="55"/>
        <v>Fixed Inputs</v>
      </c>
      <c r="BC363" s="34" t="str">
        <f t="shared" si="59"/>
        <v>Variant allowances</v>
      </c>
      <c r="BD363" s="34" t="str">
        <f t="shared" si="57"/>
        <v>Totex variant allowances allocation percentages</v>
      </c>
    </row>
    <row r="364" spans="5:56" x14ac:dyDescent="0.35">
      <c r="E364" s="195" t="str" cm="1">
        <f t="array" ref="E364">INDEX($E$99:$E$202,INT((ROW()-ROW($E$205))/5)+1)</f>
        <v>Re-opener_Diversions and Loss of Development Claims Re-opener</v>
      </c>
      <c r="F364" s="196"/>
      <c r="G364" s="196" t="s">
        <v>109</v>
      </c>
      <c r="H364" s="196" t="s">
        <v>172</v>
      </c>
      <c r="I364" s="196"/>
      <c r="J364" s="196"/>
      <c r="K364" s="196"/>
      <c r="L364" s="196"/>
      <c r="M364" s="196"/>
      <c r="N364" s="196"/>
      <c r="O364" s="196"/>
      <c r="P364" s="196"/>
      <c r="Q364" s="196"/>
      <c r="R364" s="196"/>
      <c r="S364" s="196"/>
      <c r="T364" s="196"/>
      <c r="U364" s="196"/>
      <c r="V364" s="196"/>
      <c r="W364" s="196"/>
      <c r="X364" s="196"/>
      <c r="Y364" s="196"/>
      <c r="Z364" s="196"/>
      <c r="AA364" s="196"/>
      <c r="AB364" s="196"/>
      <c r="AC364" s="196"/>
      <c r="AD364" s="196"/>
      <c r="AE364" s="196"/>
      <c r="AF364" s="196"/>
      <c r="AG364" s="196"/>
      <c r="AH364" s="196"/>
      <c r="AI364" s="196"/>
      <c r="AJ364" s="196"/>
      <c r="AK364" s="196"/>
      <c r="AL364" s="196"/>
      <c r="AM364" s="196"/>
      <c r="AN364" s="196"/>
      <c r="AO364" s="196"/>
      <c r="AP364" s="196"/>
      <c r="AQ364" s="196"/>
      <c r="AR364" s="196"/>
      <c r="AS364" s="196"/>
      <c r="AT364" s="208"/>
      <c r="AU364" s="198">
        <v>0</v>
      </c>
      <c r="AV364" s="199">
        <v>0</v>
      </c>
      <c r="AW364" s="199">
        <v>0</v>
      </c>
      <c r="AX364" s="199">
        <v>0</v>
      </c>
      <c r="AY364" s="200">
        <v>0</v>
      </c>
      <c r="BA364" s="34" t="str">
        <f t="shared" ca="1" si="54"/>
        <v>Southern</v>
      </c>
      <c r="BB364" s="34" t="str">
        <f t="shared" si="55"/>
        <v>Fixed Inputs</v>
      </c>
      <c r="BC364" s="34" t="str">
        <f t="shared" si="59"/>
        <v>Variant allowances</v>
      </c>
      <c r="BD364" s="34" t="str">
        <f t="shared" si="57"/>
        <v>Totex variant allowances allocation percentages</v>
      </c>
    </row>
    <row r="365" spans="5:56" x14ac:dyDescent="0.35">
      <c r="E365" s="187" t="str" cm="1">
        <f t="array" ref="E365">INDEX($E$99:$E$202,INT((ROW()-ROW($E$205))/5)+1)</f>
        <v>Re-opener_Heat Policy re-opener</v>
      </c>
      <c r="F365" s="188"/>
      <c r="G365" s="188" t="s">
        <v>109</v>
      </c>
      <c r="H365" s="188" t="s">
        <v>168</v>
      </c>
      <c r="I365" s="188"/>
      <c r="J365" s="188"/>
      <c r="K365" s="188"/>
      <c r="L365" s="188"/>
      <c r="M365" s="188"/>
      <c r="N365" s="188"/>
      <c r="O365" s="188"/>
      <c r="P365" s="188"/>
      <c r="Q365" s="188"/>
      <c r="R365" s="188"/>
      <c r="S365" s="188"/>
      <c r="T365" s="188"/>
      <c r="U365" s="188"/>
      <c r="V365" s="188"/>
      <c r="W365" s="188"/>
      <c r="X365" s="188"/>
      <c r="Y365" s="188"/>
      <c r="Z365" s="188"/>
      <c r="AA365" s="188"/>
      <c r="AB365" s="188"/>
      <c r="AC365" s="188"/>
      <c r="AD365" s="188"/>
      <c r="AE365" s="188"/>
      <c r="AF365" s="188"/>
      <c r="AG365" s="188"/>
      <c r="AH365" s="188"/>
      <c r="AI365" s="188"/>
      <c r="AJ365" s="188"/>
      <c r="AK365" s="188"/>
      <c r="AL365" s="188"/>
      <c r="AM365" s="188"/>
      <c r="AN365" s="188"/>
      <c r="AO365" s="188"/>
      <c r="AP365" s="188"/>
      <c r="AQ365" s="188"/>
      <c r="AR365" s="188"/>
      <c r="AS365" s="188"/>
      <c r="AT365" s="202"/>
      <c r="AU365" s="190">
        <v>0</v>
      </c>
      <c r="AV365" s="191">
        <v>0</v>
      </c>
      <c r="AW365" s="191">
        <v>0</v>
      </c>
      <c r="AX365" s="191">
        <v>0</v>
      </c>
      <c r="AY365" s="192">
        <v>0</v>
      </c>
      <c r="BA365" s="34" t="str">
        <f t="shared" ca="1" si="54"/>
        <v>Southern</v>
      </c>
      <c r="BB365" s="34" t="str">
        <f t="shared" si="55"/>
        <v>Fixed Inputs</v>
      </c>
      <c r="BC365" s="34" t="str">
        <f t="shared" si="59"/>
        <v>Variant allowances</v>
      </c>
      <c r="BD365" s="34" t="str">
        <f t="shared" si="57"/>
        <v>Totex variant allowances allocation percentages</v>
      </c>
    </row>
    <row r="366" spans="5:56" x14ac:dyDescent="0.35">
      <c r="E366" s="193" t="str" cm="1">
        <f t="array" ref="E366">INDEX($E$99:$E$202,INT((ROW()-ROW($E$205))/5)+1)</f>
        <v>Re-opener_Heat Policy re-opener</v>
      </c>
      <c r="G366" s="33" t="s">
        <v>109</v>
      </c>
      <c r="H366" s="33" t="s">
        <v>169</v>
      </c>
      <c r="AU366" s="140">
        <v>0</v>
      </c>
      <c r="AV366" s="23">
        <v>0</v>
      </c>
      <c r="AW366" s="23">
        <v>0</v>
      </c>
      <c r="AX366" s="23">
        <v>0</v>
      </c>
      <c r="AY366" s="194">
        <v>0</v>
      </c>
      <c r="BA366" s="34" t="str">
        <f t="shared" ca="1" si="54"/>
        <v>Southern</v>
      </c>
      <c r="BB366" s="34" t="str">
        <f t="shared" si="55"/>
        <v>Fixed Inputs</v>
      </c>
      <c r="BC366" s="34" t="str">
        <f t="shared" si="59"/>
        <v>Variant allowances</v>
      </c>
      <c r="BD366" s="34" t="str">
        <f t="shared" si="57"/>
        <v>Totex variant allowances allocation percentages</v>
      </c>
    </row>
    <row r="367" spans="5:56" x14ac:dyDescent="0.35">
      <c r="E367" s="193" t="str" cm="1">
        <f t="array" ref="E367">INDEX($E$99:$E$202,INT((ROW()-ROW($E$205))/5)+1)</f>
        <v>Re-opener_Heat Policy re-opener</v>
      </c>
      <c r="G367" s="33" t="s">
        <v>109</v>
      </c>
      <c r="H367" s="33" t="s">
        <v>170</v>
      </c>
      <c r="AU367" s="140">
        <v>0</v>
      </c>
      <c r="AV367" s="23">
        <v>0</v>
      </c>
      <c r="AW367" s="23">
        <v>0</v>
      </c>
      <c r="AX367" s="23">
        <v>0</v>
      </c>
      <c r="AY367" s="194">
        <v>0</v>
      </c>
      <c r="BA367" s="34" t="str">
        <f t="shared" ca="1" si="54"/>
        <v>Southern</v>
      </c>
      <c r="BB367" s="34" t="str">
        <f t="shared" si="55"/>
        <v>Fixed Inputs</v>
      </c>
      <c r="BC367" s="34" t="str">
        <f t="shared" si="59"/>
        <v>Variant allowances</v>
      </c>
      <c r="BD367" s="34" t="str">
        <f t="shared" si="57"/>
        <v>Totex variant allowances allocation percentages</v>
      </c>
    </row>
    <row r="368" spans="5:56" x14ac:dyDescent="0.35">
      <c r="E368" s="193" t="str" cm="1">
        <f t="array" ref="E368">INDEX($E$99:$E$202,INT((ROW()-ROW($E$205))/5)+1)</f>
        <v>Re-opener_Heat Policy re-opener</v>
      </c>
      <c r="G368" s="33" t="s">
        <v>109</v>
      </c>
      <c r="H368" s="33" t="s">
        <v>171</v>
      </c>
      <c r="AU368" s="140">
        <v>0</v>
      </c>
      <c r="AV368" s="23">
        <v>0</v>
      </c>
      <c r="AW368" s="23">
        <v>0</v>
      </c>
      <c r="AX368" s="23">
        <v>0</v>
      </c>
      <c r="AY368" s="194">
        <v>0</v>
      </c>
      <c r="BA368" s="34" t="str">
        <f t="shared" ca="1" si="54"/>
        <v>Southern</v>
      </c>
      <c r="BB368" s="34" t="str">
        <f t="shared" si="55"/>
        <v>Fixed Inputs</v>
      </c>
      <c r="BC368" s="34" t="str">
        <f t="shared" si="59"/>
        <v>Variant allowances</v>
      </c>
      <c r="BD368" s="34" t="str">
        <f t="shared" si="57"/>
        <v>Totex variant allowances allocation percentages</v>
      </c>
    </row>
    <row r="369" spans="5:56" x14ac:dyDescent="0.35">
      <c r="E369" s="195" t="str" cm="1">
        <f t="array" ref="E369">INDEX($E$99:$E$202,INT((ROW()-ROW($E$205))/5)+1)</f>
        <v>Re-opener_Heat Policy re-opener</v>
      </c>
      <c r="F369" s="196"/>
      <c r="G369" s="196" t="s">
        <v>109</v>
      </c>
      <c r="H369" s="196" t="s">
        <v>172</v>
      </c>
      <c r="I369" s="196"/>
      <c r="J369" s="196"/>
      <c r="K369" s="196"/>
      <c r="L369" s="196"/>
      <c r="M369" s="196"/>
      <c r="N369" s="196"/>
      <c r="O369" s="196"/>
      <c r="P369" s="196"/>
      <c r="Q369" s="196"/>
      <c r="R369" s="196"/>
      <c r="S369" s="196"/>
      <c r="T369" s="196"/>
      <c r="U369" s="196"/>
      <c r="V369" s="196"/>
      <c r="W369" s="196"/>
      <c r="X369" s="196"/>
      <c r="Y369" s="196"/>
      <c r="Z369" s="196"/>
      <c r="AA369" s="196"/>
      <c r="AB369" s="196"/>
      <c r="AC369" s="196"/>
      <c r="AD369" s="196"/>
      <c r="AE369" s="196"/>
      <c r="AF369" s="196"/>
      <c r="AG369" s="196"/>
      <c r="AH369" s="196"/>
      <c r="AI369" s="196"/>
      <c r="AJ369" s="196"/>
      <c r="AK369" s="196"/>
      <c r="AL369" s="196"/>
      <c r="AM369" s="196"/>
      <c r="AN369" s="196"/>
      <c r="AO369" s="196"/>
      <c r="AP369" s="196"/>
      <c r="AQ369" s="196"/>
      <c r="AR369" s="196"/>
      <c r="AS369" s="196"/>
      <c r="AT369" s="208"/>
      <c r="AU369" s="198">
        <v>0</v>
      </c>
      <c r="AV369" s="199">
        <v>0</v>
      </c>
      <c r="AW369" s="199">
        <v>0</v>
      </c>
      <c r="AX369" s="199">
        <v>0</v>
      </c>
      <c r="AY369" s="200">
        <v>0</v>
      </c>
      <c r="BA369" s="34" t="str">
        <f t="shared" ca="1" si="54"/>
        <v>Southern</v>
      </c>
      <c r="BB369" s="34" t="str">
        <f t="shared" si="55"/>
        <v>Fixed Inputs</v>
      </c>
      <c r="BC369" s="34" t="str">
        <f t="shared" si="59"/>
        <v>Variant allowances</v>
      </c>
      <c r="BD369" s="34" t="str">
        <f t="shared" si="57"/>
        <v>Totex variant allowances allocation percentages</v>
      </c>
    </row>
    <row r="370" spans="5:56" x14ac:dyDescent="0.35">
      <c r="E370" s="187" t="str" cm="1">
        <f t="array" ref="E370">INDEX($E$99:$E$202,INT((ROW()-ROW($E$205))/5)+1)</f>
        <v>Re-opener_HSE Policy Re-opener</v>
      </c>
      <c r="F370" s="188"/>
      <c r="G370" s="188" t="s">
        <v>109</v>
      </c>
      <c r="H370" s="188" t="s">
        <v>168</v>
      </c>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202"/>
      <c r="AU370" s="190">
        <v>0</v>
      </c>
      <c r="AV370" s="191">
        <v>0</v>
      </c>
      <c r="AW370" s="191">
        <v>0</v>
      </c>
      <c r="AX370" s="191">
        <v>0</v>
      </c>
      <c r="AY370" s="192">
        <v>0</v>
      </c>
      <c r="BA370" s="34" t="str">
        <f t="shared" ca="1" si="54"/>
        <v>Southern</v>
      </c>
      <c r="BB370" s="34" t="str">
        <f t="shared" si="55"/>
        <v>Fixed Inputs</v>
      </c>
      <c r="BC370" s="34" t="str">
        <f t="shared" si="59"/>
        <v>Variant allowances</v>
      </c>
      <c r="BD370" s="34" t="str">
        <f t="shared" si="57"/>
        <v>Totex variant allowances allocation percentages</v>
      </c>
    </row>
    <row r="371" spans="5:56" x14ac:dyDescent="0.35">
      <c r="E371" s="193" t="str" cm="1">
        <f t="array" ref="E371">INDEX($E$99:$E$202,INT((ROW()-ROW($E$205))/5)+1)</f>
        <v>Re-opener_HSE Policy Re-opener</v>
      </c>
      <c r="G371" s="33" t="s">
        <v>109</v>
      </c>
      <c r="H371" s="33" t="s">
        <v>169</v>
      </c>
      <c r="AU371" s="140">
        <v>0</v>
      </c>
      <c r="AV371" s="23">
        <v>0</v>
      </c>
      <c r="AW371" s="23">
        <v>0</v>
      </c>
      <c r="AX371" s="23">
        <v>0</v>
      </c>
      <c r="AY371" s="194">
        <v>0</v>
      </c>
      <c r="BA371" s="34" t="str">
        <f t="shared" ca="1" si="54"/>
        <v>Southern</v>
      </c>
      <c r="BB371" s="34" t="str">
        <f t="shared" si="55"/>
        <v>Fixed Inputs</v>
      </c>
      <c r="BC371" s="34" t="str">
        <f t="shared" si="59"/>
        <v>Variant allowances</v>
      </c>
      <c r="BD371" s="34" t="str">
        <f t="shared" si="57"/>
        <v>Totex variant allowances allocation percentages</v>
      </c>
    </row>
    <row r="372" spans="5:56" x14ac:dyDescent="0.35">
      <c r="E372" s="193" t="str" cm="1">
        <f t="array" ref="E372">INDEX($E$99:$E$202,INT((ROW()-ROW($E$205))/5)+1)</f>
        <v>Re-opener_HSE Policy Re-opener</v>
      </c>
      <c r="G372" s="33" t="s">
        <v>109</v>
      </c>
      <c r="H372" s="33" t="s">
        <v>170</v>
      </c>
      <c r="AU372" s="140">
        <v>0</v>
      </c>
      <c r="AV372" s="23">
        <v>0</v>
      </c>
      <c r="AW372" s="23">
        <v>0</v>
      </c>
      <c r="AX372" s="23">
        <v>0</v>
      </c>
      <c r="AY372" s="194">
        <v>0</v>
      </c>
      <c r="BA372" s="34" t="str">
        <f t="shared" ca="1" si="54"/>
        <v>Southern</v>
      </c>
      <c r="BB372" s="34" t="str">
        <f t="shared" si="55"/>
        <v>Fixed Inputs</v>
      </c>
      <c r="BC372" s="34" t="str">
        <f t="shared" si="59"/>
        <v>Variant allowances</v>
      </c>
      <c r="BD372" s="34" t="str">
        <f t="shared" si="57"/>
        <v>Totex variant allowances allocation percentages</v>
      </c>
    </row>
    <row r="373" spans="5:56" x14ac:dyDescent="0.35">
      <c r="E373" s="193" t="str" cm="1">
        <f t="array" ref="E373">INDEX($E$99:$E$202,INT((ROW()-ROW($E$205))/5)+1)</f>
        <v>Re-opener_HSE Policy Re-opener</v>
      </c>
      <c r="G373" s="33" t="s">
        <v>109</v>
      </c>
      <c r="H373" s="33" t="s">
        <v>171</v>
      </c>
      <c r="AU373" s="140">
        <v>0</v>
      </c>
      <c r="AV373" s="23">
        <v>0</v>
      </c>
      <c r="AW373" s="23">
        <v>0</v>
      </c>
      <c r="AX373" s="23">
        <v>0</v>
      </c>
      <c r="AY373" s="194">
        <v>0</v>
      </c>
      <c r="BA373" s="34" t="str">
        <f t="shared" ca="1" si="54"/>
        <v>Southern</v>
      </c>
      <c r="BB373" s="34" t="str">
        <f t="shared" si="55"/>
        <v>Fixed Inputs</v>
      </c>
      <c r="BC373" s="34" t="str">
        <f t="shared" si="59"/>
        <v>Variant allowances</v>
      </c>
      <c r="BD373" s="34" t="str">
        <f t="shared" si="57"/>
        <v>Totex variant allowances allocation percentages</v>
      </c>
    </row>
    <row r="374" spans="5:56" x14ac:dyDescent="0.35">
      <c r="E374" s="195" t="str" cm="1">
        <f t="array" ref="E374">INDEX($E$99:$E$202,INT((ROW()-ROW($E$205))/5)+1)</f>
        <v>Re-opener_HSE Policy Re-opener</v>
      </c>
      <c r="F374" s="196"/>
      <c r="G374" s="196" t="s">
        <v>109</v>
      </c>
      <c r="H374" s="196" t="s">
        <v>172</v>
      </c>
      <c r="I374" s="196"/>
      <c r="J374" s="196"/>
      <c r="K374" s="196"/>
      <c r="L374" s="196"/>
      <c r="M374" s="196"/>
      <c r="N374" s="196"/>
      <c r="O374" s="196"/>
      <c r="P374" s="196"/>
      <c r="Q374" s="196"/>
      <c r="R374" s="196"/>
      <c r="S374" s="196"/>
      <c r="T374" s="196"/>
      <c r="U374" s="196"/>
      <c r="V374" s="196"/>
      <c r="W374" s="196"/>
      <c r="X374" s="196"/>
      <c r="Y374" s="196"/>
      <c r="Z374" s="196"/>
      <c r="AA374" s="196"/>
      <c r="AB374" s="196"/>
      <c r="AC374" s="196"/>
      <c r="AD374" s="196"/>
      <c r="AE374" s="196"/>
      <c r="AF374" s="196"/>
      <c r="AG374" s="196"/>
      <c r="AH374" s="196"/>
      <c r="AI374" s="196"/>
      <c r="AJ374" s="196"/>
      <c r="AK374" s="196"/>
      <c r="AL374" s="196"/>
      <c r="AM374" s="196"/>
      <c r="AN374" s="196"/>
      <c r="AO374" s="196"/>
      <c r="AP374" s="196"/>
      <c r="AQ374" s="196"/>
      <c r="AR374" s="196"/>
      <c r="AS374" s="196"/>
      <c r="AT374" s="208"/>
      <c r="AU374" s="198">
        <v>0</v>
      </c>
      <c r="AV374" s="199">
        <v>0</v>
      </c>
      <c r="AW374" s="199">
        <v>0</v>
      </c>
      <c r="AX374" s="199">
        <v>0</v>
      </c>
      <c r="AY374" s="200">
        <v>0</v>
      </c>
      <c r="BA374" s="34" t="str">
        <f t="shared" ca="1" si="54"/>
        <v>Southern</v>
      </c>
      <c r="BB374" s="34" t="str">
        <f t="shared" si="55"/>
        <v>Fixed Inputs</v>
      </c>
      <c r="BC374" s="34" t="str">
        <f t="shared" si="59"/>
        <v>Variant allowances</v>
      </c>
      <c r="BD374" s="34" t="str">
        <f t="shared" si="57"/>
        <v>Totex variant allowances allocation percentages</v>
      </c>
    </row>
    <row r="375" spans="5:56" x14ac:dyDescent="0.35">
      <c r="E375" s="187" t="str" cm="1">
        <f t="array" ref="E375">INDEX($E$99:$E$202,INT((ROW()-ROW($E$205))/5)+1)</f>
        <v>Re-opener_London Subways and Tunnels</v>
      </c>
      <c r="F375" s="188"/>
      <c r="G375" s="188" t="s">
        <v>109</v>
      </c>
      <c r="H375" s="188" t="s">
        <v>168</v>
      </c>
      <c r="I375" s="188"/>
      <c r="J375" s="188"/>
      <c r="K375" s="188"/>
      <c r="L375" s="188"/>
      <c r="M375" s="188"/>
      <c r="N375" s="188"/>
      <c r="O375" s="188"/>
      <c r="P375" s="188"/>
      <c r="Q375" s="188"/>
      <c r="R375" s="188"/>
      <c r="S375" s="188"/>
      <c r="T375" s="188"/>
      <c r="U375" s="188"/>
      <c r="V375" s="188"/>
      <c r="W375" s="188"/>
      <c r="X375" s="188"/>
      <c r="Y375" s="188"/>
      <c r="Z375" s="188"/>
      <c r="AA375" s="188"/>
      <c r="AB375" s="188"/>
      <c r="AC375" s="188"/>
      <c r="AD375" s="188"/>
      <c r="AE375" s="188"/>
      <c r="AF375" s="188"/>
      <c r="AG375" s="188"/>
      <c r="AH375" s="188"/>
      <c r="AI375" s="188"/>
      <c r="AJ375" s="188"/>
      <c r="AK375" s="188"/>
      <c r="AL375" s="188"/>
      <c r="AM375" s="188"/>
      <c r="AN375" s="188"/>
      <c r="AO375" s="188"/>
      <c r="AP375" s="188"/>
      <c r="AQ375" s="188"/>
      <c r="AR375" s="188"/>
      <c r="AS375" s="188"/>
      <c r="AT375" s="202"/>
      <c r="AU375" s="21">
        <v>0</v>
      </c>
      <c r="AV375" s="21">
        <v>0</v>
      </c>
      <c r="AW375" s="21">
        <v>0</v>
      </c>
      <c r="AX375" s="21">
        <v>0</v>
      </c>
      <c r="AY375" s="21">
        <v>0</v>
      </c>
      <c r="BA375" s="34" t="str">
        <f t="shared" ca="1" si="54"/>
        <v>Southern</v>
      </c>
      <c r="BB375" s="34" t="str">
        <f t="shared" si="55"/>
        <v>Fixed Inputs</v>
      </c>
      <c r="BC375" s="34" t="str">
        <f t="shared" si="59"/>
        <v>Variant allowances</v>
      </c>
      <c r="BD375" s="34" t="str">
        <f t="shared" si="57"/>
        <v>Totex variant allowances allocation percentages</v>
      </c>
    </row>
    <row r="376" spans="5:56" x14ac:dyDescent="0.35">
      <c r="E376" s="193" t="str" cm="1">
        <f t="array" ref="E376">INDEX($E$99:$E$202,INT((ROW()-ROW($E$205))/5)+1)</f>
        <v>Re-opener_London Subways and Tunnels</v>
      </c>
      <c r="G376" s="33" t="s">
        <v>109</v>
      </c>
      <c r="H376" s="33" t="s">
        <v>169</v>
      </c>
      <c r="AU376" s="21">
        <v>0</v>
      </c>
      <c r="AV376" s="21">
        <v>0</v>
      </c>
      <c r="AW376" s="21">
        <v>0</v>
      </c>
      <c r="AX376" s="21">
        <v>0</v>
      </c>
      <c r="AY376" s="21">
        <v>0</v>
      </c>
      <c r="BA376" s="34" t="str">
        <f t="shared" ca="1" si="54"/>
        <v>Southern</v>
      </c>
      <c r="BB376" s="34" t="str">
        <f t="shared" si="55"/>
        <v>Fixed Inputs</v>
      </c>
      <c r="BC376" s="34" t="str">
        <f t="shared" si="59"/>
        <v>Variant allowances</v>
      </c>
      <c r="BD376" s="34" t="str">
        <f t="shared" si="57"/>
        <v>Totex variant allowances allocation percentages</v>
      </c>
    </row>
    <row r="377" spans="5:56" x14ac:dyDescent="0.35">
      <c r="E377" s="193" t="str" cm="1">
        <f t="array" ref="E377">INDEX($E$99:$E$202,INT((ROW()-ROW($E$205))/5)+1)</f>
        <v>Re-opener_London Subways and Tunnels</v>
      </c>
      <c r="G377" s="33" t="s">
        <v>109</v>
      </c>
      <c r="H377" s="33" t="s">
        <v>170</v>
      </c>
      <c r="AU377" s="21">
        <v>0</v>
      </c>
      <c r="AV377" s="21">
        <v>0</v>
      </c>
      <c r="AW377" s="21">
        <v>0</v>
      </c>
      <c r="AX377" s="21">
        <v>0</v>
      </c>
      <c r="AY377" s="21">
        <v>0</v>
      </c>
      <c r="BA377" s="34" t="str">
        <f t="shared" ca="1" si="54"/>
        <v>Southern</v>
      </c>
      <c r="BB377" s="34" t="str">
        <f t="shared" si="55"/>
        <v>Fixed Inputs</v>
      </c>
      <c r="BC377" s="34" t="str">
        <f t="shared" si="59"/>
        <v>Variant allowances</v>
      </c>
      <c r="BD377" s="34" t="str">
        <f t="shared" si="57"/>
        <v>Totex variant allowances allocation percentages</v>
      </c>
    </row>
    <row r="378" spans="5:56" x14ac:dyDescent="0.35">
      <c r="E378" s="193" t="str" cm="1">
        <f t="array" ref="E378">INDEX($E$99:$E$202,INT((ROW()-ROW($E$205))/5)+1)</f>
        <v>Re-opener_London Subways and Tunnels</v>
      </c>
      <c r="G378" s="33" t="s">
        <v>109</v>
      </c>
      <c r="H378" s="33" t="s">
        <v>171</v>
      </c>
      <c r="AU378" s="21">
        <v>0</v>
      </c>
      <c r="AV378" s="21">
        <v>0</v>
      </c>
      <c r="AW378" s="21">
        <v>0</v>
      </c>
      <c r="AX378" s="21">
        <v>0</v>
      </c>
      <c r="AY378" s="21">
        <v>0</v>
      </c>
      <c r="BA378" s="34" t="str">
        <f t="shared" ca="1" si="54"/>
        <v>Southern</v>
      </c>
      <c r="BB378" s="34" t="str">
        <f t="shared" si="55"/>
        <v>Fixed Inputs</v>
      </c>
      <c r="BC378" s="34" t="str">
        <f t="shared" si="59"/>
        <v>Variant allowances</v>
      </c>
      <c r="BD378" s="34" t="str">
        <f t="shared" si="57"/>
        <v>Totex variant allowances allocation percentages</v>
      </c>
    </row>
    <row r="379" spans="5:56" x14ac:dyDescent="0.35">
      <c r="E379" s="195" t="str" cm="1">
        <f t="array" ref="E379">INDEX($E$99:$E$202,INT((ROW()-ROW($E$205))/5)+1)</f>
        <v>Re-opener_London Subways and Tunnels</v>
      </c>
      <c r="F379" s="196"/>
      <c r="G379" s="196" t="s">
        <v>109</v>
      </c>
      <c r="H379" s="196" t="s">
        <v>172</v>
      </c>
      <c r="I379" s="196"/>
      <c r="J379" s="196"/>
      <c r="K379" s="196"/>
      <c r="L379" s="196"/>
      <c r="M379" s="196"/>
      <c r="N379" s="196"/>
      <c r="O379" s="196"/>
      <c r="P379" s="196"/>
      <c r="Q379" s="196"/>
      <c r="R379" s="196"/>
      <c r="S379" s="196"/>
      <c r="T379" s="196"/>
      <c r="U379" s="196"/>
      <c r="V379" s="196"/>
      <c r="W379" s="196"/>
      <c r="X379" s="196"/>
      <c r="Y379" s="196"/>
      <c r="Z379" s="196"/>
      <c r="AA379" s="196"/>
      <c r="AB379" s="196"/>
      <c r="AC379" s="196"/>
      <c r="AD379" s="196"/>
      <c r="AE379" s="196"/>
      <c r="AF379" s="196"/>
      <c r="AG379" s="196"/>
      <c r="AH379" s="196"/>
      <c r="AI379" s="196"/>
      <c r="AJ379" s="196"/>
      <c r="AK379" s="196"/>
      <c r="AL379" s="196"/>
      <c r="AM379" s="196"/>
      <c r="AN379" s="196"/>
      <c r="AO379" s="196"/>
      <c r="AP379" s="196"/>
      <c r="AQ379" s="196"/>
      <c r="AR379" s="196"/>
      <c r="AS379" s="196"/>
      <c r="AT379" s="208"/>
      <c r="AU379" s="21">
        <v>0</v>
      </c>
      <c r="AV379" s="21">
        <v>0</v>
      </c>
      <c r="AW379" s="21">
        <v>0</v>
      </c>
      <c r="AX379" s="21">
        <v>0</v>
      </c>
      <c r="AY379" s="21">
        <v>0</v>
      </c>
      <c r="BA379" s="34" t="str">
        <f t="shared" ca="1" si="54"/>
        <v>Southern</v>
      </c>
      <c r="BB379" s="34" t="str">
        <f t="shared" si="55"/>
        <v>Fixed Inputs</v>
      </c>
      <c r="BC379" s="34" t="str">
        <f t="shared" si="59"/>
        <v>Variant allowances</v>
      </c>
      <c r="BD379" s="34" t="str">
        <f t="shared" si="57"/>
        <v>Totex variant allowances allocation percentages</v>
      </c>
    </row>
    <row r="380" spans="5:56" x14ac:dyDescent="0.35">
      <c r="E380" s="187" t="str" cm="1">
        <f t="array" ref="E380">INDEX($E$99:$E$202,INT((ROW()-ROW($E$205))/5)+1)</f>
        <v>Re-opener_Net Zero Pre-construction Works and Small Net Zero Projects Re-opener / Small Decarbonisation Projects Re-opener</v>
      </c>
      <c r="F380" s="188"/>
      <c r="G380" s="188" t="s">
        <v>109</v>
      </c>
      <c r="H380" s="188" t="s">
        <v>168</v>
      </c>
      <c r="I380" s="188"/>
      <c r="J380" s="188"/>
      <c r="K380" s="188"/>
      <c r="L380" s="188"/>
      <c r="M380" s="188"/>
      <c r="N380" s="188"/>
      <c r="O380" s="188"/>
      <c r="P380" s="188"/>
      <c r="Q380" s="188"/>
      <c r="R380" s="188"/>
      <c r="S380" s="188"/>
      <c r="T380" s="188"/>
      <c r="U380" s="188"/>
      <c r="V380" s="188"/>
      <c r="W380" s="188"/>
      <c r="X380" s="188"/>
      <c r="Y380" s="188"/>
      <c r="Z380" s="188"/>
      <c r="AA380" s="188"/>
      <c r="AB380" s="188"/>
      <c r="AC380" s="188"/>
      <c r="AD380" s="188"/>
      <c r="AE380" s="188"/>
      <c r="AF380" s="188"/>
      <c r="AG380" s="188"/>
      <c r="AH380" s="188"/>
      <c r="AI380" s="188"/>
      <c r="AJ380" s="188"/>
      <c r="AK380" s="188"/>
      <c r="AL380" s="188"/>
      <c r="AM380" s="188"/>
      <c r="AN380" s="188"/>
      <c r="AO380" s="188"/>
      <c r="AP380" s="188"/>
      <c r="AQ380" s="188"/>
      <c r="AR380" s="188"/>
      <c r="AS380" s="188"/>
      <c r="AT380" s="202"/>
      <c r="AU380" s="21">
        <v>0</v>
      </c>
      <c r="AV380" s="21">
        <v>0</v>
      </c>
      <c r="AW380" s="21">
        <v>0</v>
      </c>
      <c r="AX380" s="21">
        <v>0</v>
      </c>
      <c r="AY380" s="21">
        <v>0</v>
      </c>
      <c r="BA380" s="34" t="str">
        <f t="shared" ca="1" si="54"/>
        <v>Southern</v>
      </c>
      <c r="BB380" s="34" t="str">
        <f t="shared" si="55"/>
        <v>Fixed Inputs</v>
      </c>
      <c r="BC380" s="34" t="str">
        <f t="shared" si="59"/>
        <v>Variant allowances</v>
      </c>
      <c r="BD380" s="34" t="str">
        <f t="shared" si="57"/>
        <v>Totex variant allowances allocation percentages</v>
      </c>
    </row>
    <row r="381" spans="5:56" x14ac:dyDescent="0.35">
      <c r="E381" s="193" t="str" cm="1">
        <f t="array" ref="E381">INDEX($E$99:$E$202,INT((ROW()-ROW($E$205))/5)+1)</f>
        <v>Re-opener_Net Zero Pre-construction Works and Small Net Zero Projects Re-opener / Small Decarbonisation Projects Re-opener</v>
      </c>
      <c r="G381" s="33" t="s">
        <v>109</v>
      </c>
      <c r="H381" s="33" t="s">
        <v>169</v>
      </c>
      <c r="AU381" s="21">
        <v>0</v>
      </c>
      <c r="AV381" s="21">
        <v>0</v>
      </c>
      <c r="AW381" s="21">
        <v>0</v>
      </c>
      <c r="AX381" s="21">
        <v>0</v>
      </c>
      <c r="AY381" s="21">
        <v>0</v>
      </c>
      <c r="BA381" s="34" t="str">
        <f t="shared" ca="1" si="54"/>
        <v>Southern</v>
      </c>
      <c r="BB381" s="34" t="str">
        <f t="shared" si="55"/>
        <v>Fixed Inputs</v>
      </c>
      <c r="BC381" s="34" t="str">
        <f t="shared" si="59"/>
        <v>Variant allowances</v>
      </c>
      <c r="BD381" s="34" t="str">
        <f t="shared" si="57"/>
        <v>Totex variant allowances allocation percentages</v>
      </c>
    </row>
    <row r="382" spans="5:56" x14ac:dyDescent="0.35">
      <c r="E382" s="193" t="str" cm="1">
        <f t="array" ref="E382">INDEX($E$99:$E$202,INT((ROW()-ROW($E$205))/5)+1)</f>
        <v>Re-opener_Net Zero Pre-construction Works and Small Net Zero Projects Re-opener / Small Decarbonisation Projects Re-opener</v>
      </c>
      <c r="G382" s="33" t="s">
        <v>109</v>
      </c>
      <c r="H382" s="33" t="s">
        <v>170</v>
      </c>
      <c r="AU382" s="21">
        <v>0</v>
      </c>
      <c r="AV382" s="21">
        <v>0</v>
      </c>
      <c r="AW382" s="21">
        <v>0</v>
      </c>
      <c r="AX382" s="21">
        <v>0</v>
      </c>
      <c r="AY382" s="21">
        <v>0</v>
      </c>
      <c r="BA382" s="34" t="str">
        <f t="shared" ca="1" si="54"/>
        <v>Southern</v>
      </c>
      <c r="BB382" s="34" t="str">
        <f t="shared" si="55"/>
        <v>Fixed Inputs</v>
      </c>
      <c r="BC382" s="34" t="str">
        <f t="shared" si="59"/>
        <v>Variant allowances</v>
      </c>
      <c r="BD382" s="34" t="str">
        <f t="shared" si="57"/>
        <v>Totex variant allowances allocation percentages</v>
      </c>
    </row>
    <row r="383" spans="5:56" x14ac:dyDescent="0.35">
      <c r="E383" s="193" t="str" cm="1">
        <f t="array" ref="E383">INDEX($E$99:$E$202,INT((ROW()-ROW($E$205))/5)+1)</f>
        <v>Re-opener_Net Zero Pre-construction Works and Small Net Zero Projects Re-opener / Small Decarbonisation Projects Re-opener</v>
      </c>
      <c r="G383" s="33" t="s">
        <v>109</v>
      </c>
      <c r="H383" s="33" t="s">
        <v>171</v>
      </c>
      <c r="AU383" s="21">
        <v>0</v>
      </c>
      <c r="AV383" s="21">
        <v>0</v>
      </c>
      <c r="AW383" s="21">
        <v>0</v>
      </c>
      <c r="AX383" s="21">
        <v>0</v>
      </c>
      <c r="AY383" s="21">
        <v>0</v>
      </c>
      <c r="BA383" s="34" t="str">
        <f t="shared" ca="1" si="54"/>
        <v>Southern</v>
      </c>
      <c r="BB383" s="34" t="str">
        <f t="shared" si="55"/>
        <v>Fixed Inputs</v>
      </c>
      <c r="BC383" s="34" t="str">
        <f t="shared" si="59"/>
        <v>Variant allowances</v>
      </c>
      <c r="BD383" s="34" t="str">
        <f t="shared" si="57"/>
        <v>Totex variant allowances allocation percentages</v>
      </c>
    </row>
    <row r="384" spans="5:56" x14ac:dyDescent="0.35">
      <c r="E384" s="195" t="str" cm="1">
        <f t="array" ref="E384">INDEX($E$99:$E$202,INT((ROW()-ROW($E$205))/5)+1)</f>
        <v>Re-opener_Net Zero Pre-construction Works and Small Net Zero Projects Re-opener / Small Decarbonisation Projects Re-opener</v>
      </c>
      <c r="F384" s="196"/>
      <c r="G384" s="196" t="s">
        <v>109</v>
      </c>
      <c r="H384" s="196" t="s">
        <v>172</v>
      </c>
      <c r="I384" s="196"/>
      <c r="J384" s="196"/>
      <c r="K384" s="196"/>
      <c r="L384" s="196"/>
      <c r="M384" s="196"/>
      <c r="N384" s="196"/>
      <c r="O384" s="196"/>
      <c r="P384" s="196"/>
      <c r="Q384" s="196"/>
      <c r="R384" s="196"/>
      <c r="S384" s="196"/>
      <c r="T384" s="196"/>
      <c r="U384" s="196"/>
      <c r="V384" s="196"/>
      <c r="W384" s="196"/>
      <c r="X384" s="196"/>
      <c r="Y384" s="196"/>
      <c r="Z384" s="196"/>
      <c r="AA384" s="196"/>
      <c r="AB384" s="196"/>
      <c r="AC384" s="196"/>
      <c r="AD384" s="196"/>
      <c r="AE384" s="196"/>
      <c r="AF384" s="196"/>
      <c r="AG384" s="196"/>
      <c r="AH384" s="196"/>
      <c r="AI384" s="196"/>
      <c r="AJ384" s="196"/>
      <c r="AK384" s="196"/>
      <c r="AL384" s="196"/>
      <c r="AM384" s="196"/>
      <c r="AN384" s="196"/>
      <c r="AO384" s="196"/>
      <c r="AP384" s="196"/>
      <c r="AQ384" s="196"/>
      <c r="AR384" s="196"/>
      <c r="AS384" s="196"/>
      <c r="AT384" s="208"/>
      <c r="AU384" s="21">
        <v>0</v>
      </c>
      <c r="AV384" s="21">
        <v>0</v>
      </c>
      <c r="AW384" s="21">
        <v>0</v>
      </c>
      <c r="AX384" s="21">
        <v>0</v>
      </c>
      <c r="AY384" s="21">
        <v>0</v>
      </c>
      <c r="BA384" s="34" t="str">
        <f t="shared" ca="1" si="54"/>
        <v>Southern</v>
      </c>
      <c r="BB384" s="34" t="str">
        <f t="shared" si="55"/>
        <v>Fixed Inputs</v>
      </c>
      <c r="BC384" s="34" t="str">
        <f t="shared" si="59"/>
        <v>Variant allowances</v>
      </c>
      <c r="BD384" s="34" t="str">
        <f t="shared" si="57"/>
        <v>Totex variant allowances allocation percentages</v>
      </c>
    </row>
    <row r="385" spans="5:56" x14ac:dyDescent="0.35">
      <c r="E385" s="187" t="str" cm="1">
        <f t="array" ref="E385">INDEX($E$99:$E$202,INT((ROW()-ROW($E$205))/5)+1)</f>
        <v>Re-opener_Net zero re-opener / Decarbonisation and Environmental Policy Re-opener</v>
      </c>
      <c r="F385" s="188"/>
      <c r="G385" s="188" t="s">
        <v>109</v>
      </c>
      <c r="H385" s="188" t="s">
        <v>168</v>
      </c>
      <c r="I385" s="188"/>
      <c r="J385" s="188"/>
      <c r="K385" s="188"/>
      <c r="L385" s="188"/>
      <c r="M385" s="188"/>
      <c r="N385" s="188"/>
      <c r="O385" s="188"/>
      <c r="P385" s="188"/>
      <c r="Q385" s="188"/>
      <c r="R385" s="188"/>
      <c r="S385" s="188"/>
      <c r="T385" s="188"/>
      <c r="U385" s="188"/>
      <c r="V385" s="188"/>
      <c r="W385" s="188"/>
      <c r="X385" s="188"/>
      <c r="Y385" s="188"/>
      <c r="Z385" s="188"/>
      <c r="AA385" s="188"/>
      <c r="AB385" s="188"/>
      <c r="AC385" s="188"/>
      <c r="AD385" s="188"/>
      <c r="AE385" s="188"/>
      <c r="AF385" s="188"/>
      <c r="AG385" s="188"/>
      <c r="AH385" s="188"/>
      <c r="AI385" s="188"/>
      <c r="AJ385" s="188"/>
      <c r="AK385" s="188"/>
      <c r="AL385" s="188"/>
      <c r="AM385" s="188"/>
      <c r="AN385" s="188"/>
      <c r="AO385" s="188"/>
      <c r="AP385" s="188"/>
      <c r="AQ385" s="188"/>
      <c r="AR385" s="188"/>
      <c r="AS385" s="188"/>
      <c r="AT385" s="202"/>
      <c r="AU385" s="21">
        <v>0</v>
      </c>
      <c r="AV385" s="21">
        <v>0</v>
      </c>
      <c r="AW385" s="21">
        <v>0</v>
      </c>
      <c r="AX385" s="21">
        <v>0</v>
      </c>
      <c r="AY385" s="21">
        <v>0</v>
      </c>
      <c r="BA385" s="34" t="str">
        <f t="shared" ca="1" si="54"/>
        <v>Southern</v>
      </c>
      <c r="BB385" s="34" t="str">
        <f t="shared" si="55"/>
        <v>Fixed Inputs</v>
      </c>
      <c r="BC385" s="34" t="str">
        <f t="shared" si="59"/>
        <v>Variant allowances</v>
      </c>
      <c r="BD385" s="34" t="str">
        <f t="shared" si="57"/>
        <v>Totex variant allowances allocation percentages</v>
      </c>
    </row>
    <row r="386" spans="5:56" x14ac:dyDescent="0.35">
      <c r="E386" s="193" t="str" cm="1">
        <f t="array" ref="E386">INDEX($E$99:$E$202,INT((ROW()-ROW($E$205))/5)+1)</f>
        <v>Re-opener_Net zero re-opener / Decarbonisation and Environmental Policy Re-opener</v>
      </c>
      <c r="G386" s="33" t="s">
        <v>109</v>
      </c>
      <c r="H386" s="33" t="s">
        <v>169</v>
      </c>
      <c r="AU386" s="21">
        <v>0</v>
      </c>
      <c r="AV386" s="21">
        <v>0</v>
      </c>
      <c r="AW386" s="21">
        <v>0</v>
      </c>
      <c r="AX386" s="21">
        <v>0</v>
      </c>
      <c r="AY386" s="21">
        <v>0</v>
      </c>
      <c r="BA386" s="34" t="str">
        <f t="shared" ca="1" si="54"/>
        <v>Southern</v>
      </c>
      <c r="BB386" s="34" t="str">
        <f t="shared" si="55"/>
        <v>Fixed Inputs</v>
      </c>
      <c r="BC386" s="34" t="str">
        <f t="shared" si="59"/>
        <v>Variant allowances</v>
      </c>
      <c r="BD386" s="34" t="str">
        <f t="shared" si="57"/>
        <v>Totex variant allowances allocation percentages</v>
      </c>
    </row>
    <row r="387" spans="5:56" x14ac:dyDescent="0.35">
      <c r="E387" s="193" t="str" cm="1">
        <f t="array" ref="E387">INDEX($E$99:$E$202,INT((ROW()-ROW($E$205))/5)+1)</f>
        <v>Re-opener_Net zero re-opener / Decarbonisation and Environmental Policy Re-opener</v>
      </c>
      <c r="G387" s="33" t="s">
        <v>109</v>
      </c>
      <c r="H387" s="33" t="s">
        <v>170</v>
      </c>
      <c r="AU387" s="21">
        <v>0</v>
      </c>
      <c r="AV387" s="21">
        <v>0</v>
      </c>
      <c r="AW387" s="21">
        <v>0</v>
      </c>
      <c r="AX387" s="21">
        <v>0</v>
      </c>
      <c r="AY387" s="21">
        <v>0</v>
      </c>
      <c r="BA387" s="34" t="str">
        <f t="shared" ca="1" si="54"/>
        <v>Southern</v>
      </c>
      <c r="BB387" s="34" t="str">
        <f t="shared" si="55"/>
        <v>Fixed Inputs</v>
      </c>
      <c r="BC387" s="34" t="str">
        <f t="shared" si="59"/>
        <v>Variant allowances</v>
      </c>
      <c r="BD387" s="34" t="str">
        <f t="shared" si="57"/>
        <v>Totex variant allowances allocation percentages</v>
      </c>
    </row>
    <row r="388" spans="5:56" x14ac:dyDescent="0.35">
      <c r="E388" s="193" t="str" cm="1">
        <f t="array" ref="E388">INDEX($E$99:$E$202,INT((ROW()-ROW($E$205))/5)+1)</f>
        <v>Re-opener_Net zero re-opener / Decarbonisation and Environmental Policy Re-opener</v>
      </c>
      <c r="G388" s="33" t="s">
        <v>109</v>
      </c>
      <c r="H388" s="33" t="s">
        <v>171</v>
      </c>
      <c r="AU388" s="21">
        <v>0</v>
      </c>
      <c r="AV388" s="21">
        <v>0</v>
      </c>
      <c r="AW388" s="21">
        <v>0</v>
      </c>
      <c r="AX388" s="21">
        <v>0</v>
      </c>
      <c r="AY388" s="21">
        <v>0</v>
      </c>
      <c r="BA388" s="34" t="str">
        <f t="shared" ca="1" si="54"/>
        <v>Southern</v>
      </c>
      <c r="BB388" s="34" t="str">
        <f t="shared" si="55"/>
        <v>Fixed Inputs</v>
      </c>
      <c r="BC388" s="34" t="str">
        <f t="shared" si="59"/>
        <v>Variant allowances</v>
      </c>
      <c r="BD388" s="34" t="str">
        <f t="shared" si="57"/>
        <v>Totex variant allowances allocation percentages</v>
      </c>
    </row>
    <row r="389" spans="5:56" x14ac:dyDescent="0.35">
      <c r="E389" s="195" t="str" cm="1">
        <f t="array" ref="E389">INDEX($E$99:$E$202,INT((ROW()-ROW($E$205))/5)+1)</f>
        <v>Re-opener_Net zero re-opener / Decarbonisation and Environmental Policy Re-opener</v>
      </c>
      <c r="F389" s="196"/>
      <c r="G389" s="196" t="s">
        <v>109</v>
      </c>
      <c r="H389" s="196" t="s">
        <v>172</v>
      </c>
      <c r="I389" s="196"/>
      <c r="J389" s="196"/>
      <c r="K389" s="196"/>
      <c r="L389" s="196"/>
      <c r="M389" s="196"/>
      <c r="N389" s="196"/>
      <c r="O389" s="196"/>
      <c r="P389" s="196"/>
      <c r="Q389" s="196"/>
      <c r="R389" s="196"/>
      <c r="S389" s="196"/>
      <c r="T389" s="196"/>
      <c r="U389" s="196"/>
      <c r="V389" s="196"/>
      <c r="W389" s="196"/>
      <c r="X389" s="196"/>
      <c r="Y389" s="196"/>
      <c r="Z389" s="196"/>
      <c r="AA389" s="196"/>
      <c r="AB389" s="196"/>
      <c r="AC389" s="196"/>
      <c r="AD389" s="196"/>
      <c r="AE389" s="196"/>
      <c r="AF389" s="196"/>
      <c r="AG389" s="196"/>
      <c r="AH389" s="196"/>
      <c r="AI389" s="196"/>
      <c r="AJ389" s="196"/>
      <c r="AK389" s="196"/>
      <c r="AL389" s="196"/>
      <c r="AM389" s="196"/>
      <c r="AN389" s="196"/>
      <c r="AO389" s="196"/>
      <c r="AP389" s="196"/>
      <c r="AQ389" s="196"/>
      <c r="AR389" s="196"/>
      <c r="AS389" s="196"/>
      <c r="AT389" s="208"/>
      <c r="AU389" s="21">
        <v>0</v>
      </c>
      <c r="AV389" s="21">
        <v>0</v>
      </c>
      <c r="AW389" s="21">
        <v>0</v>
      </c>
      <c r="AX389" s="21">
        <v>0</v>
      </c>
      <c r="AY389" s="21">
        <v>0</v>
      </c>
      <c r="BA389" s="34" t="str">
        <f t="shared" ca="1" si="54"/>
        <v>Southern</v>
      </c>
      <c r="BB389" s="34" t="str">
        <f t="shared" si="55"/>
        <v>Fixed Inputs</v>
      </c>
      <c r="BC389" s="34" t="str">
        <f t="shared" si="59"/>
        <v>Variant allowances</v>
      </c>
      <c r="BD389" s="34" t="str">
        <f t="shared" si="57"/>
        <v>Totex variant allowances allocation percentages</v>
      </c>
    </row>
    <row r="390" spans="5:56" x14ac:dyDescent="0.35">
      <c r="E390" s="187" t="str" cm="1">
        <f t="array" ref="E390">INDEX($E$99:$E$202,INT((ROW()-ROW($E$205))/5)+1)</f>
        <v>Re-opener_New Large Load Connections Re-opener</v>
      </c>
      <c r="F390" s="188"/>
      <c r="G390" s="188" t="s">
        <v>109</v>
      </c>
      <c r="H390" s="188" t="s">
        <v>168</v>
      </c>
      <c r="I390" s="188"/>
      <c r="J390" s="188"/>
      <c r="K390" s="188"/>
      <c r="L390" s="188"/>
      <c r="M390" s="188"/>
      <c r="N390" s="188"/>
      <c r="O390" s="188"/>
      <c r="P390" s="188"/>
      <c r="Q390" s="188"/>
      <c r="R390" s="188"/>
      <c r="S390" s="188"/>
      <c r="T390" s="188"/>
      <c r="U390" s="188"/>
      <c r="V390" s="188"/>
      <c r="W390" s="188"/>
      <c r="X390" s="188"/>
      <c r="Y390" s="188"/>
      <c r="Z390" s="188"/>
      <c r="AA390" s="188"/>
      <c r="AB390" s="188"/>
      <c r="AC390" s="188"/>
      <c r="AD390" s="188"/>
      <c r="AE390" s="188"/>
      <c r="AF390" s="188"/>
      <c r="AG390" s="188"/>
      <c r="AH390" s="188"/>
      <c r="AI390" s="188"/>
      <c r="AJ390" s="188"/>
      <c r="AK390" s="188"/>
      <c r="AL390" s="188"/>
      <c r="AM390" s="188"/>
      <c r="AN390" s="188"/>
      <c r="AO390" s="188"/>
      <c r="AP390" s="188"/>
      <c r="AQ390" s="188"/>
      <c r="AR390" s="188"/>
      <c r="AS390" s="188"/>
      <c r="AT390" s="202"/>
      <c r="AU390" s="190">
        <v>0</v>
      </c>
      <c r="AV390" s="191">
        <v>0</v>
      </c>
      <c r="AW390" s="191">
        <v>0</v>
      </c>
      <c r="AX390" s="191">
        <v>0</v>
      </c>
      <c r="AY390" s="192">
        <v>0</v>
      </c>
      <c r="BA390" s="34" t="str">
        <f t="shared" ca="1" si="54"/>
        <v>Southern</v>
      </c>
      <c r="BB390" s="34" t="str">
        <f t="shared" si="55"/>
        <v>Fixed Inputs</v>
      </c>
      <c r="BC390" s="34" t="str">
        <f t="shared" si="59"/>
        <v>Variant allowances</v>
      </c>
      <c r="BD390" s="34" t="str">
        <f t="shared" si="57"/>
        <v>Totex variant allowances allocation percentages</v>
      </c>
    </row>
    <row r="391" spans="5:56" x14ac:dyDescent="0.35">
      <c r="E391" s="193" t="str" cm="1">
        <f t="array" ref="E391">INDEX($E$99:$E$202,INT((ROW()-ROW($E$205))/5)+1)</f>
        <v>Re-opener_New Large Load Connections Re-opener</v>
      </c>
      <c r="G391" s="33" t="s">
        <v>109</v>
      </c>
      <c r="H391" s="33" t="s">
        <v>169</v>
      </c>
      <c r="AU391" s="140">
        <v>0</v>
      </c>
      <c r="AV391" s="23">
        <v>0</v>
      </c>
      <c r="AW391" s="23">
        <v>0</v>
      </c>
      <c r="AX391" s="23">
        <v>0</v>
      </c>
      <c r="AY391" s="194">
        <v>0</v>
      </c>
      <c r="BA391" s="34" t="str">
        <f t="shared" ca="1" si="54"/>
        <v>Southern</v>
      </c>
      <c r="BB391" s="34" t="str">
        <f t="shared" si="55"/>
        <v>Fixed Inputs</v>
      </c>
      <c r="BC391" s="34" t="str">
        <f t="shared" si="59"/>
        <v>Variant allowances</v>
      </c>
      <c r="BD391" s="34" t="str">
        <f t="shared" si="57"/>
        <v>Totex variant allowances allocation percentages</v>
      </c>
    </row>
    <row r="392" spans="5:56" x14ac:dyDescent="0.35">
      <c r="E392" s="193" t="str" cm="1">
        <f t="array" ref="E392">INDEX($E$99:$E$202,INT((ROW()-ROW($E$205))/5)+1)</f>
        <v>Re-opener_New Large Load Connections Re-opener</v>
      </c>
      <c r="G392" s="33" t="s">
        <v>109</v>
      </c>
      <c r="H392" s="33" t="s">
        <v>170</v>
      </c>
      <c r="AU392" s="140">
        <v>0</v>
      </c>
      <c r="AV392" s="23">
        <v>0</v>
      </c>
      <c r="AW392" s="23">
        <v>0</v>
      </c>
      <c r="AX392" s="23">
        <v>0</v>
      </c>
      <c r="AY392" s="194">
        <v>0</v>
      </c>
      <c r="BA392" s="34" t="str">
        <f t="shared" ca="1" si="54"/>
        <v>Southern</v>
      </c>
      <c r="BB392" s="34" t="str">
        <f t="shared" si="55"/>
        <v>Fixed Inputs</v>
      </c>
      <c r="BC392" s="34" t="str">
        <f t="shared" si="59"/>
        <v>Variant allowances</v>
      </c>
      <c r="BD392" s="34" t="str">
        <f t="shared" si="57"/>
        <v>Totex variant allowances allocation percentages</v>
      </c>
    </row>
    <row r="393" spans="5:56" x14ac:dyDescent="0.35">
      <c r="E393" s="193" t="str" cm="1">
        <f t="array" ref="E393">INDEX($E$99:$E$202,INT((ROW()-ROW($E$205))/5)+1)</f>
        <v>Re-opener_New Large Load Connections Re-opener</v>
      </c>
      <c r="G393" s="33" t="s">
        <v>109</v>
      </c>
      <c r="H393" s="33" t="s">
        <v>171</v>
      </c>
      <c r="AU393" s="140">
        <v>0</v>
      </c>
      <c r="AV393" s="23">
        <v>0</v>
      </c>
      <c r="AW393" s="23">
        <v>0</v>
      </c>
      <c r="AX393" s="23">
        <v>0</v>
      </c>
      <c r="AY393" s="194">
        <v>0</v>
      </c>
      <c r="BA393" s="34" t="str">
        <f t="shared" ca="1" si="54"/>
        <v>Southern</v>
      </c>
      <c r="BB393" s="34" t="str">
        <f t="shared" si="55"/>
        <v>Fixed Inputs</v>
      </c>
      <c r="BC393" s="34" t="str">
        <f t="shared" si="59"/>
        <v>Variant allowances</v>
      </c>
      <c r="BD393" s="34" t="str">
        <f t="shared" si="57"/>
        <v>Totex variant allowances allocation percentages</v>
      </c>
    </row>
    <row r="394" spans="5:56" x14ac:dyDescent="0.35">
      <c r="E394" s="195" t="str" cm="1">
        <f t="array" ref="E394">INDEX($E$99:$E$202,INT((ROW()-ROW($E$205))/5)+1)</f>
        <v>Re-opener_New Large Load Connections Re-opener</v>
      </c>
      <c r="F394" s="196"/>
      <c r="G394" s="196" t="s">
        <v>109</v>
      </c>
      <c r="H394" s="196" t="s">
        <v>172</v>
      </c>
      <c r="I394" s="196"/>
      <c r="J394" s="196"/>
      <c r="K394" s="196"/>
      <c r="L394" s="196"/>
      <c r="M394" s="196"/>
      <c r="N394" s="196"/>
      <c r="O394" s="196"/>
      <c r="P394" s="196"/>
      <c r="Q394" s="196"/>
      <c r="R394" s="196"/>
      <c r="S394" s="196"/>
      <c r="T394" s="196"/>
      <c r="U394" s="196"/>
      <c r="V394" s="196"/>
      <c r="W394" s="196"/>
      <c r="X394" s="196"/>
      <c r="Y394" s="196"/>
      <c r="Z394" s="196"/>
      <c r="AA394" s="196"/>
      <c r="AB394" s="196"/>
      <c r="AC394" s="196"/>
      <c r="AD394" s="196"/>
      <c r="AE394" s="196"/>
      <c r="AF394" s="196"/>
      <c r="AG394" s="196"/>
      <c r="AH394" s="196"/>
      <c r="AI394" s="196"/>
      <c r="AJ394" s="196"/>
      <c r="AK394" s="196"/>
      <c r="AL394" s="196"/>
      <c r="AM394" s="196"/>
      <c r="AN394" s="196"/>
      <c r="AO394" s="196"/>
      <c r="AP394" s="196"/>
      <c r="AQ394" s="196"/>
      <c r="AR394" s="196"/>
      <c r="AS394" s="196"/>
      <c r="AT394" s="208"/>
      <c r="AU394" s="198">
        <v>0</v>
      </c>
      <c r="AV394" s="199">
        <v>0</v>
      </c>
      <c r="AW394" s="199">
        <v>0</v>
      </c>
      <c r="AX394" s="199">
        <v>0</v>
      </c>
      <c r="AY394" s="200">
        <v>0</v>
      </c>
      <c r="BA394" s="34" t="str">
        <f t="shared" ca="1" si="54"/>
        <v>Southern</v>
      </c>
      <c r="BB394" s="34" t="str">
        <f t="shared" si="55"/>
        <v>Fixed Inputs</v>
      </c>
      <c r="BC394" s="34" t="str">
        <f t="shared" si="59"/>
        <v>Variant allowances</v>
      </c>
      <c r="BD394" s="34" t="str">
        <f t="shared" si="57"/>
        <v>Totex variant allowances allocation percentages</v>
      </c>
    </row>
    <row r="395" spans="5:56" x14ac:dyDescent="0.35">
      <c r="E395" s="187" t="str" cm="1">
        <f t="array" ref="E395">INDEX($E$99:$E$202,INT((ROW()-ROW($E$205))/5)+1)</f>
        <v>Re-opener_Resilience re-opener / Resilience Activity Re-opener</v>
      </c>
      <c r="F395" s="188"/>
      <c r="G395" s="188" t="s">
        <v>109</v>
      </c>
      <c r="H395" s="188" t="s">
        <v>168</v>
      </c>
      <c r="I395" s="188"/>
      <c r="J395" s="188"/>
      <c r="K395" s="188"/>
      <c r="L395" s="188"/>
      <c r="M395" s="188"/>
      <c r="N395" s="188"/>
      <c r="O395" s="188"/>
      <c r="P395" s="188"/>
      <c r="Q395" s="188"/>
      <c r="R395" s="188"/>
      <c r="S395" s="188"/>
      <c r="T395" s="188"/>
      <c r="U395" s="188"/>
      <c r="V395" s="188"/>
      <c r="W395" s="188"/>
      <c r="X395" s="188"/>
      <c r="Y395" s="188"/>
      <c r="Z395" s="188"/>
      <c r="AA395" s="188"/>
      <c r="AB395" s="188"/>
      <c r="AC395" s="188"/>
      <c r="AD395" s="188"/>
      <c r="AE395" s="188"/>
      <c r="AF395" s="188"/>
      <c r="AG395" s="188"/>
      <c r="AH395" s="188"/>
      <c r="AI395" s="188"/>
      <c r="AJ395" s="188"/>
      <c r="AK395" s="188"/>
      <c r="AL395" s="188"/>
      <c r="AM395" s="188"/>
      <c r="AN395" s="188"/>
      <c r="AO395" s="188"/>
      <c r="AP395" s="188"/>
      <c r="AQ395" s="188"/>
      <c r="AR395" s="188"/>
      <c r="AS395" s="188"/>
      <c r="AT395" s="202"/>
      <c r="AU395" s="190">
        <v>0</v>
      </c>
      <c r="AV395" s="191">
        <v>0</v>
      </c>
      <c r="AW395" s="191">
        <v>0</v>
      </c>
      <c r="AX395" s="191">
        <v>0</v>
      </c>
      <c r="AY395" s="192">
        <v>0</v>
      </c>
      <c r="BA395" s="34" t="str">
        <f t="shared" ca="1" si="54"/>
        <v>Southern</v>
      </c>
      <c r="BB395" s="34" t="str">
        <f t="shared" si="55"/>
        <v>Fixed Inputs</v>
      </c>
      <c r="BC395" s="34" t="str">
        <f t="shared" si="59"/>
        <v>Variant allowances</v>
      </c>
      <c r="BD395" s="34" t="str">
        <f t="shared" si="57"/>
        <v>Totex variant allowances allocation percentages</v>
      </c>
    </row>
    <row r="396" spans="5:56" x14ac:dyDescent="0.35">
      <c r="E396" s="193" t="str" cm="1">
        <f t="array" ref="E396">INDEX($E$99:$E$202,INT((ROW()-ROW($E$205))/5)+1)</f>
        <v>Re-opener_Resilience re-opener / Resilience Activity Re-opener</v>
      </c>
      <c r="G396" s="33" t="s">
        <v>109</v>
      </c>
      <c r="H396" s="33" t="s">
        <v>169</v>
      </c>
      <c r="AU396" s="140">
        <v>0</v>
      </c>
      <c r="AV396" s="23">
        <v>0</v>
      </c>
      <c r="AW396" s="23">
        <v>0</v>
      </c>
      <c r="AX396" s="23">
        <v>0</v>
      </c>
      <c r="AY396" s="194">
        <v>0</v>
      </c>
      <c r="BA396" s="34" t="str">
        <f t="shared" ca="1" si="54"/>
        <v>Southern</v>
      </c>
      <c r="BB396" s="34" t="str">
        <f t="shared" si="55"/>
        <v>Fixed Inputs</v>
      </c>
      <c r="BC396" s="34" t="str">
        <f t="shared" si="59"/>
        <v>Variant allowances</v>
      </c>
      <c r="BD396" s="34" t="str">
        <f t="shared" si="57"/>
        <v>Totex variant allowances allocation percentages</v>
      </c>
    </row>
    <row r="397" spans="5:56" x14ac:dyDescent="0.35">
      <c r="E397" s="193" t="str" cm="1">
        <f t="array" ref="E397">INDEX($E$99:$E$202,INT((ROW()-ROW($E$205))/5)+1)</f>
        <v>Re-opener_Resilience re-opener / Resilience Activity Re-opener</v>
      </c>
      <c r="G397" s="33" t="s">
        <v>109</v>
      </c>
      <c r="H397" s="33" t="s">
        <v>170</v>
      </c>
      <c r="AU397" s="140">
        <v>0</v>
      </c>
      <c r="AV397" s="23">
        <v>0</v>
      </c>
      <c r="AW397" s="23">
        <v>0</v>
      </c>
      <c r="AX397" s="23">
        <v>0</v>
      </c>
      <c r="AY397" s="194">
        <v>0</v>
      </c>
      <c r="BA397" s="34" t="str">
        <f t="shared" ca="1" si="54"/>
        <v>Southern</v>
      </c>
      <c r="BB397" s="34" t="str">
        <f t="shared" si="55"/>
        <v>Fixed Inputs</v>
      </c>
      <c r="BC397" s="34" t="str">
        <f t="shared" ref="BC397:BC454" si="60">$B$151</f>
        <v>Variant allowances</v>
      </c>
      <c r="BD397" s="34" t="str">
        <f t="shared" si="57"/>
        <v>Totex variant allowances allocation percentages</v>
      </c>
    </row>
    <row r="398" spans="5:56" x14ac:dyDescent="0.35">
      <c r="E398" s="193" t="str" cm="1">
        <f t="array" ref="E398">INDEX($E$99:$E$202,INT((ROW()-ROW($E$205))/5)+1)</f>
        <v>Re-opener_Resilience re-opener / Resilience Activity Re-opener</v>
      </c>
      <c r="G398" s="33" t="s">
        <v>109</v>
      </c>
      <c r="H398" s="33" t="s">
        <v>171</v>
      </c>
      <c r="AU398" s="140">
        <v>0</v>
      </c>
      <c r="AV398" s="23">
        <v>0</v>
      </c>
      <c r="AW398" s="23">
        <v>0</v>
      </c>
      <c r="AX398" s="23">
        <v>0</v>
      </c>
      <c r="AY398" s="194">
        <v>0</v>
      </c>
      <c r="BA398" s="34" t="str">
        <f t="shared" ca="1" si="54"/>
        <v>Southern</v>
      </c>
      <c r="BB398" s="34" t="str">
        <f t="shared" si="55"/>
        <v>Fixed Inputs</v>
      </c>
      <c r="BC398" s="34" t="str">
        <f t="shared" si="60"/>
        <v>Variant allowances</v>
      </c>
      <c r="BD398" s="34" t="str">
        <f t="shared" si="57"/>
        <v>Totex variant allowances allocation percentages</v>
      </c>
    </row>
    <row r="399" spans="5:56" x14ac:dyDescent="0.35">
      <c r="E399" s="195" t="str" cm="1">
        <f t="array" ref="E399">INDEX($E$99:$E$202,INT((ROW()-ROW($E$205))/5)+1)</f>
        <v>Re-opener_Resilience re-opener / Resilience Activity Re-opener</v>
      </c>
      <c r="F399" s="196"/>
      <c r="G399" s="196" t="s">
        <v>109</v>
      </c>
      <c r="H399" s="196" t="s">
        <v>172</v>
      </c>
      <c r="I399" s="196"/>
      <c r="J399" s="196"/>
      <c r="K399" s="196"/>
      <c r="L399" s="196"/>
      <c r="M399" s="196"/>
      <c r="N399" s="196"/>
      <c r="O399" s="196"/>
      <c r="P399" s="196"/>
      <c r="Q399" s="196"/>
      <c r="R399" s="196"/>
      <c r="S399" s="196"/>
      <c r="T399" s="196"/>
      <c r="U399" s="196"/>
      <c r="V399" s="196"/>
      <c r="W399" s="196"/>
      <c r="X399" s="196"/>
      <c r="Y399" s="196"/>
      <c r="Z399" s="196"/>
      <c r="AA399" s="196"/>
      <c r="AB399" s="196"/>
      <c r="AC399" s="196"/>
      <c r="AD399" s="196"/>
      <c r="AE399" s="196"/>
      <c r="AF399" s="196"/>
      <c r="AG399" s="196"/>
      <c r="AH399" s="196"/>
      <c r="AI399" s="196"/>
      <c r="AJ399" s="196"/>
      <c r="AK399" s="196"/>
      <c r="AL399" s="196"/>
      <c r="AM399" s="196"/>
      <c r="AN399" s="196"/>
      <c r="AO399" s="196"/>
      <c r="AP399" s="196"/>
      <c r="AQ399" s="196"/>
      <c r="AR399" s="196"/>
      <c r="AS399" s="196"/>
      <c r="AT399" s="208"/>
      <c r="AU399" s="198">
        <v>0</v>
      </c>
      <c r="AV399" s="199">
        <v>0</v>
      </c>
      <c r="AW399" s="199">
        <v>0</v>
      </c>
      <c r="AX399" s="199">
        <v>0</v>
      </c>
      <c r="AY399" s="200">
        <v>0</v>
      </c>
      <c r="BA399" s="34" t="str">
        <f t="shared" ca="1" si="54"/>
        <v>Southern</v>
      </c>
      <c r="BB399" s="34" t="str">
        <f t="shared" si="55"/>
        <v>Fixed Inputs</v>
      </c>
      <c r="BC399" s="34" t="str">
        <f t="shared" si="60"/>
        <v>Variant allowances</v>
      </c>
      <c r="BD399" s="34" t="str">
        <f t="shared" si="57"/>
        <v>Totex variant allowances allocation percentages</v>
      </c>
    </row>
    <row r="400" spans="5:56" x14ac:dyDescent="0.35">
      <c r="E400" s="187" t="str" cm="1">
        <f t="array" ref="E400">INDEX($E$99:$E$202,INT((ROW()-ROW($E$205))/5)+1)</f>
        <v>Re-opener_Specified Streetworks Costs Re-opener</v>
      </c>
      <c r="F400" s="188"/>
      <c r="G400" s="188" t="s">
        <v>109</v>
      </c>
      <c r="H400" s="188" t="s">
        <v>168</v>
      </c>
      <c r="I400" s="188"/>
      <c r="J400" s="188"/>
      <c r="K400" s="188"/>
      <c r="L400" s="188"/>
      <c r="M400" s="188"/>
      <c r="N400" s="188"/>
      <c r="O400" s="188"/>
      <c r="P400" s="188"/>
      <c r="Q400" s="188"/>
      <c r="R400" s="188"/>
      <c r="S400" s="188"/>
      <c r="T400" s="188"/>
      <c r="U400" s="188"/>
      <c r="V400" s="188"/>
      <c r="W400" s="188"/>
      <c r="X400" s="188"/>
      <c r="Y400" s="188"/>
      <c r="Z400" s="188"/>
      <c r="AA400" s="188"/>
      <c r="AB400" s="188"/>
      <c r="AC400" s="188"/>
      <c r="AD400" s="188"/>
      <c r="AE400" s="188"/>
      <c r="AF400" s="188"/>
      <c r="AG400" s="188"/>
      <c r="AH400" s="188"/>
      <c r="AI400" s="188"/>
      <c r="AJ400" s="188"/>
      <c r="AK400" s="188"/>
      <c r="AL400" s="188"/>
      <c r="AM400" s="188"/>
      <c r="AN400" s="188"/>
      <c r="AO400" s="188"/>
      <c r="AP400" s="188"/>
      <c r="AQ400" s="188"/>
      <c r="AR400" s="188"/>
      <c r="AS400" s="188"/>
      <c r="AT400" s="202"/>
      <c r="AU400" s="190">
        <v>0</v>
      </c>
      <c r="AV400" s="191">
        <v>0</v>
      </c>
      <c r="AW400" s="191">
        <v>0</v>
      </c>
      <c r="AX400" s="191">
        <v>0</v>
      </c>
      <c r="AY400" s="192">
        <v>0</v>
      </c>
      <c r="BA400" s="34" t="str">
        <f t="shared" ca="1" si="54"/>
        <v>Southern</v>
      </c>
      <c r="BB400" s="34" t="str">
        <f t="shared" si="55"/>
        <v>Fixed Inputs</v>
      </c>
      <c r="BC400" s="34" t="str">
        <f t="shared" si="60"/>
        <v>Variant allowances</v>
      </c>
      <c r="BD400" s="34" t="str">
        <f t="shared" si="57"/>
        <v>Totex variant allowances allocation percentages</v>
      </c>
    </row>
    <row r="401" spans="5:56" x14ac:dyDescent="0.35">
      <c r="E401" s="193" t="str" cm="1">
        <f t="array" ref="E401">INDEX($E$99:$E$202,INT((ROW()-ROW($E$205))/5)+1)</f>
        <v>Re-opener_Specified Streetworks Costs Re-opener</v>
      </c>
      <c r="G401" s="33" t="s">
        <v>109</v>
      </c>
      <c r="H401" s="33" t="s">
        <v>169</v>
      </c>
      <c r="AU401" s="140">
        <v>0</v>
      </c>
      <c r="AV401" s="23">
        <v>0</v>
      </c>
      <c r="AW401" s="23">
        <v>0</v>
      </c>
      <c r="AX401" s="23">
        <v>0</v>
      </c>
      <c r="AY401" s="194">
        <v>0</v>
      </c>
      <c r="BA401" s="34" t="str">
        <f t="shared" ca="1" si="54"/>
        <v>Southern</v>
      </c>
      <c r="BB401" s="34" t="str">
        <f t="shared" si="55"/>
        <v>Fixed Inputs</v>
      </c>
      <c r="BC401" s="34" t="str">
        <f t="shared" si="60"/>
        <v>Variant allowances</v>
      </c>
      <c r="BD401" s="34" t="str">
        <f t="shared" si="57"/>
        <v>Totex variant allowances allocation percentages</v>
      </c>
    </row>
    <row r="402" spans="5:56" x14ac:dyDescent="0.35">
      <c r="E402" s="193" t="str" cm="1">
        <f t="array" ref="E402">INDEX($E$99:$E$202,INT((ROW()-ROW($E$205))/5)+1)</f>
        <v>Re-opener_Specified Streetworks Costs Re-opener</v>
      </c>
      <c r="G402" s="33" t="s">
        <v>109</v>
      </c>
      <c r="H402" s="33" t="s">
        <v>170</v>
      </c>
      <c r="AU402" s="140">
        <v>0</v>
      </c>
      <c r="AV402" s="23">
        <v>0</v>
      </c>
      <c r="AW402" s="23">
        <v>0</v>
      </c>
      <c r="AX402" s="23">
        <v>0</v>
      </c>
      <c r="AY402" s="194">
        <v>0</v>
      </c>
      <c r="BA402" s="34" t="str">
        <f t="shared" ca="1" si="54"/>
        <v>Southern</v>
      </c>
      <c r="BB402" s="34" t="str">
        <f t="shared" si="55"/>
        <v>Fixed Inputs</v>
      </c>
      <c r="BC402" s="34" t="str">
        <f t="shared" si="60"/>
        <v>Variant allowances</v>
      </c>
      <c r="BD402" s="34" t="str">
        <f t="shared" si="57"/>
        <v>Totex variant allowances allocation percentages</v>
      </c>
    </row>
    <row r="403" spans="5:56" x14ac:dyDescent="0.35">
      <c r="E403" s="193" t="str" cm="1">
        <f t="array" ref="E403">INDEX($E$99:$E$202,INT((ROW()-ROW($E$205))/5)+1)</f>
        <v>Re-opener_Specified Streetworks Costs Re-opener</v>
      </c>
      <c r="G403" s="33" t="s">
        <v>109</v>
      </c>
      <c r="H403" s="33" t="s">
        <v>171</v>
      </c>
      <c r="AU403" s="140">
        <v>0</v>
      </c>
      <c r="AV403" s="23">
        <v>0</v>
      </c>
      <c r="AW403" s="23">
        <v>0</v>
      </c>
      <c r="AX403" s="23">
        <v>0</v>
      </c>
      <c r="AY403" s="194">
        <v>0</v>
      </c>
      <c r="BA403" s="34" t="str">
        <f t="shared" ca="1" si="54"/>
        <v>Southern</v>
      </c>
      <c r="BB403" s="34" t="str">
        <f t="shared" si="55"/>
        <v>Fixed Inputs</v>
      </c>
      <c r="BC403" s="34" t="str">
        <f t="shared" si="60"/>
        <v>Variant allowances</v>
      </c>
      <c r="BD403" s="34" t="str">
        <f t="shared" si="57"/>
        <v>Totex variant allowances allocation percentages</v>
      </c>
    </row>
    <row r="404" spans="5:56" x14ac:dyDescent="0.35">
      <c r="E404" s="195" t="str" cm="1">
        <f t="array" ref="E404">INDEX($E$99:$E$202,INT((ROW()-ROW($E$205))/5)+1)</f>
        <v>Re-opener_Specified Streetworks Costs Re-opener</v>
      </c>
      <c r="F404" s="196"/>
      <c r="G404" s="196" t="s">
        <v>109</v>
      </c>
      <c r="H404" s="196" t="s">
        <v>172</v>
      </c>
      <c r="I404" s="196"/>
      <c r="J404" s="196"/>
      <c r="K404" s="196"/>
      <c r="L404" s="196"/>
      <c r="M404" s="196"/>
      <c r="N404" s="196"/>
      <c r="O404" s="196"/>
      <c r="P404" s="196"/>
      <c r="Q404" s="196"/>
      <c r="R404" s="196"/>
      <c r="S404" s="196"/>
      <c r="T404" s="196"/>
      <c r="U404" s="196"/>
      <c r="V404" s="196"/>
      <c r="W404" s="196"/>
      <c r="X404" s="196"/>
      <c r="Y404" s="196"/>
      <c r="Z404" s="196"/>
      <c r="AA404" s="196"/>
      <c r="AB404" s="196"/>
      <c r="AC404" s="196"/>
      <c r="AD404" s="196"/>
      <c r="AE404" s="196"/>
      <c r="AF404" s="196"/>
      <c r="AG404" s="196"/>
      <c r="AH404" s="196"/>
      <c r="AI404" s="196"/>
      <c r="AJ404" s="196"/>
      <c r="AK404" s="196"/>
      <c r="AL404" s="196"/>
      <c r="AM404" s="196"/>
      <c r="AN404" s="196"/>
      <c r="AO404" s="196"/>
      <c r="AP404" s="196"/>
      <c r="AQ404" s="196"/>
      <c r="AR404" s="196"/>
      <c r="AS404" s="196"/>
      <c r="AT404" s="208"/>
      <c r="AU404" s="198">
        <v>0</v>
      </c>
      <c r="AV404" s="199">
        <v>0</v>
      </c>
      <c r="AW404" s="199">
        <v>0</v>
      </c>
      <c r="AX404" s="199">
        <v>0</v>
      </c>
      <c r="AY404" s="200">
        <v>0</v>
      </c>
      <c r="BA404" s="34" t="str">
        <f t="shared" ca="1" si="54"/>
        <v>Southern</v>
      </c>
      <c r="BB404" s="34" t="str">
        <f t="shared" si="55"/>
        <v>Fixed Inputs</v>
      </c>
      <c r="BC404" s="34" t="str">
        <f t="shared" si="60"/>
        <v>Variant allowances</v>
      </c>
      <c r="BD404" s="34" t="str">
        <f t="shared" si="57"/>
        <v>Totex variant allowances allocation percentages</v>
      </c>
    </row>
    <row r="405" spans="5:56" x14ac:dyDescent="0.35">
      <c r="E405" s="187" t="str" cm="1">
        <f t="array" ref="E405">INDEX($E$99:$E$202,INT((ROW()-ROW($E$205))/5)+1)</f>
        <v>Re-opener_Physical Security Re-opener</v>
      </c>
      <c r="F405" s="188"/>
      <c r="G405" s="188" t="s">
        <v>109</v>
      </c>
      <c r="H405" s="188" t="s">
        <v>168</v>
      </c>
      <c r="I405" s="188"/>
      <c r="J405" s="188"/>
      <c r="K405" s="188"/>
      <c r="L405" s="188"/>
      <c r="M405" s="188"/>
      <c r="N405" s="188"/>
      <c r="O405" s="188"/>
      <c r="P405" s="188"/>
      <c r="Q405" s="188"/>
      <c r="R405" s="188"/>
      <c r="S405" s="188"/>
      <c r="T405" s="188"/>
      <c r="U405" s="188"/>
      <c r="V405" s="188"/>
      <c r="W405" s="188"/>
      <c r="X405" s="188"/>
      <c r="Y405" s="188"/>
      <c r="Z405" s="188"/>
      <c r="AA405" s="188"/>
      <c r="AB405" s="188"/>
      <c r="AC405" s="188"/>
      <c r="AD405" s="188"/>
      <c r="AE405" s="188"/>
      <c r="AF405" s="188"/>
      <c r="AG405" s="188"/>
      <c r="AH405" s="188"/>
      <c r="AI405" s="188"/>
      <c r="AJ405" s="188"/>
      <c r="AK405" s="188"/>
      <c r="AL405" s="188"/>
      <c r="AM405" s="188"/>
      <c r="AN405" s="188"/>
      <c r="AO405" s="188"/>
      <c r="AP405" s="188"/>
      <c r="AQ405" s="188"/>
      <c r="AR405" s="188"/>
      <c r="AS405" s="188"/>
      <c r="AT405" s="202"/>
      <c r="AU405" s="190">
        <v>0</v>
      </c>
      <c r="AV405" s="191">
        <v>0</v>
      </c>
      <c r="AW405" s="191">
        <v>0</v>
      </c>
      <c r="AX405" s="191">
        <v>0</v>
      </c>
      <c r="AY405" s="192">
        <v>0</v>
      </c>
      <c r="BA405" s="34" t="str">
        <f t="shared" ca="1" si="54"/>
        <v>Southern</v>
      </c>
      <c r="BB405" s="34" t="str">
        <f t="shared" si="55"/>
        <v>Fixed Inputs</v>
      </c>
      <c r="BC405" s="34" t="str">
        <f t="shared" si="60"/>
        <v>Variant allowances</v>
      </c>
      <c r="BD405" s="34" t="str">
        <f t="shared" si="57"/>
        <v>Totex variant allowances allocation percentages</v>
      </c>
    </row>
    <row r="406" spans="5:56" x14ac:dyDescent="0.35">
      <c r="E406" s="193" t="str" cm="1">
        <f t="array" ref="E406">INDEX($E$99:$E$202,INT((ROW()-ROW($E$205))/5)+1)</f>
        <v>Re-opener_Physical Security Re-opener</v>
      </c>
      <c r="G406" s="33" t="s">
        <v>109</v>
      </c>
      <c r="H406" s="33" t="s">
        <v>169</v>
      </c>
      <c r="AU406" s="140">
        <v>0</v>
      </c>
      <c r="AV406" s="23">
        <v>0</v>
      </c>
      <c r="AW406" s="23">
        <v>0</v>
      </c>
      <c r="AX406" s="23">
        <v>0</v>
      </c>
      <c r="AY406" s="194">
        <v>0</v>
      </c>
      <c r="BA406" s="34" t="str">
        <f t="shared" ca="1" si="54"/>
        <v>Southern</v>
      </c>
      <c r="BB406" s="34" t="str">
        <f t="shared" si="55"/>
        <v>Fixed Inputs</v>
      </c>
      <c r="BC406" s="34" t="str">
        <f t="shared" si="60"/>
        <v>Variant allowances</v>
      </c>
      <c r="BD406" s="34" t="str">
        <f t="shared" si="57"/>
        <v>Totex variant allowances allocation percentages</v>
      </c>
    </row>
    <row r="407" spans="5:56" x14ac:dyDescent="0.35">
      <c r="E407" s="193" t="str" cm="1">
        <f t="array" ref="E407">INDEX($E$99:$E$202,INT((ROW()-ROW($E$205))/5)+1)</f>
        <v>Re-opener_Physical Security Re-opener</v>
      </c>
      <c r="G407" s="33" t="s">
        <v>109</v>
      </c>
      <c r="H407" s="33" t="s">
        <v>170</v>
      </c>
      <c r="AU407" s="140">
        <v>0</v>
      </c>
      <c r="AV407" s="23">
        <v>0</v>
      </c>
      <c r="AW407" s="23">
        <v>0</v>
      </c>
      <c r="AX407" s="23">
        <v>0</v>
      </c>
      <c r="AY407" s="194">
        <v>0</v>
      </c>
      <c r="BA407" s="34" t="str">
        <f t="shared" ca="1" si="54"/>
        <v>Southern</v>
      </c>
      <c r="BB407" s="34" t="str">
        <f t="shared" si="55"/>
        <v>Fixed Inputs</v>
      </c>
      <c r="BC407" s="34" t="str">
        <f t="shared" si="60"/>
        <v>Variant allowances</v>
      </c>
      <c r="BD407" s="34" t="str">
        <f t="shared" si="57"/>
        <v>Totex variant allowances allocation percentages</v>
      </c>
    </row>
    <row r="408" spans="5:56" x14ac:dyDescent="0.35">
      <c r="E408" s="193" t="str" cm="1">
        <f t="array" ref="E408">INDEX($E$99:$E$202,INT((ROW()-ROW($E$205))/5)+1)</f>
        <v>Re-opener_Physical Security Re-opener</v>
      </c>
      <c r="G408" s="33" t="s">
        <v>109</v>
      </c>
      <c r="H408" s="33" t="s">
        <v>171</v>
      </c>
      <c r="AU408" s="140">
        <v>0</v>
      </c>
      <c r="AV408" s="23">
        <v>0</v>
      </c>
      <c r="AW408" s="23">
        <v>0</v>
      </c>
      <c r="AX408" s="23">
        <v>0</v>
      </c>
      <c r="AY408" s="194">
        <v>0</v>
      </c>
      <c r="BA408" s="34" t="str">
        <f t="shared" ca="1" si="54"/>
        <v>Southern</v>
      </c>
      <c r="BB408" s="34" t="str">
        <f t="shared" si="55"/>
        <v>Fixed Inputs</v>
      </c>
      <c r="BC408" s="34" t="str">
        <f t="shared" si="60"/>
        <v>Variant allowances</v>
      </c>
      <c r="BD408" s="34" t="str">
        <f t="shared" si="57"/>
        <v>Totex variant allowances allocation percentages</v>
      </c>
    </row>
    <row r="409" spans="5:56" x14ac:dyDescent="0.35">
      <c r="E409" s="195" t="str" cm="1">
        <f t="array" ref="E409">INDEX($E$99:$E$202,INT((ROW()-ROW($E$205))/5)+1)</f>
        <v>Re-opener_Physical Security Re-opener</v>
      </c>
      <c r="F409" s="196"/>
      <c r="G409" s="196" t="s">
        <v>109</v>
      </c>
      <c r="H409" s="196" t="s">
        <v>172</v>
      </c>
      <c r="I409" s="196"/>
      <c r="J409" s="196"/>
      <c r="K409" s="196"/>
      <c r="L409" s="196"/>
      <c r="M409" s="196"/>
      <c r="N409" s="196"/>
      <c r="O409" s="196"/>
      <c r="P409" s="196"/>
      <c r="Q409" s="196"/>
      <c r="R409" s="196"/>
      <c r="S409" s="196"/>
      <c r="T409" s="196"/>
      <c r="U409" s="196"/>
      <c r="V409" s="196"/>
      <c r="W409" s="196"/>
      <c r="X409" s="196"/>
      <c r="Y409" s="196"/>
      <c r="Z409" s="196"/>
      <c r="AA409" s="196"/>
      <c r="AB409" s="196"/>
      <c r="AC409" s="196"/>
      <c r="AD409" s="196"/>
      <c r="AE409" s="196"/>
      <c r="AF409" s="196"/>
      <c r="AG409" s="196"/>
      <c r="AH409" s="196"/>
      <c r="AI409" s="196"/>
      <c r="AJ409" s="196"/>
      <c r="AK409" s="196"/>
      <c r="AL409" s="196"/>
      <c r="AM409" s="196"/>
      <c r="AN409" s="196"/>
      <c r="AO409" s="196"/>
      <c r="AP409" s="196"/>
      <c r="AQ409" s="196"/>
      <c r="AR409" s="196"/>
      <c r="AS409" s="196"/>
      <c r="AT409" s="208"/>
      <c r="AU409" s="198">
        <v>0</v>
      </c>
      <c r="AV409" s="199">
        <v>0</v>
      </c>
      <c r="AW409" s="199">
        <v>0</v>
      </c>
      <c r="AX409" s="199">
        <v>0</v>
      </c>
      <c r="AY409" s="200">
        <v>0</v>
      </c>
      <c r="BA409" s="34" t="str">
        <f t="shared" ca="1" si="54"/>
        <v>Southern</v>
      </c>
      <c r="BB409" s="34" t="str">
        <f t="shared" si="55"/>
        <v>Fixed Inputs</v>
      </c>
      <c r="BC409" s="34" t="str">
        <f t="shared" si="60"/>
        <v>Variant allowances</v>
      </c>
      <c r="BD409" s="34" t="str">
        <f t="shared" si="57"/>
        <v>Totex variant allowances allocation percentages</v>
      </c>
    </row>
    <row r="410" spans="5:56" x14ac:dyDescent="0.35">
      <c r="E410" s="187" t="str" cm="1">
        <f t="array" ref="E410">INDEX($E$99:$E$202,INT((ROW()-ROW($E$205))/5)+1)</f>
        <v>Re-opener_East Coast Hydrogen NZASP Re-Opener (EoE and NGN) / GD2/GD3 Crossover Adjustment</v>
      </c>
      <c r="F410" s="188"/>
      <c r="G410" s="188" t="s">
        <v>109</v>
      </c>
      <c r="H410" s="188" t="s">
        <v>168</v>
      </c>
      <c r="I410" s="188"/>
      <c r="J410" s="188"/>
      <c r="K410" s="188"/>
      <c r="L410" s="188"/>
      <c r="M410" s="188"/>
      <c r="N410" s="188"/>
      <c r="O410" s="188"/>
      <c r="P410" s="188"/>
      <c r="Q410" s="188"/>
      <c r="R410" s="188"/>
      <c r="S410" s="188"/>
      <c r="T410" s="188"/>
      <c r="U410" s="188"/>
      <c r="V410" s="188"/>
      <c r="W410" s="188"/>
      <c r="X410" s="188"/>
      <c r="Y410" s="188"/>
      <c r="Z410" s="188"/>
      <c r="AA410" s="188"/>
      <c r="AB410" s="188"/>
      <c r="AC410" s="188"/>
      <c r="AD410" s="188"/>
      <c r="AE410" s="188"/>
      <c r="AF410" s="188"/>
      <c r="AG410" s="188"/>
      <c r="AH410" s="188"/>
      <c r="AI410" s="188"/>
      <c r="AJ410" s="188"/>
      <c r="AK410" s="188"/>
      <c r="AL410" s="188"/>
      <c r="AM410" s="188"/>
      <c r="AN410" s="188"/>
      <c r="AO410" s="188"/>
      <c r="AP410" s="188"/>
      <c r="AQ410" s="188"/>
      <c r="AR410" s="188"/>
      <c r="AS410" s="188"/>
      <c r="AT410" s="202"/>
      <c r="AU410" s="190">
        <v>0</v>
      </c>
      <c r="AV410" s="191">
        <v>0</v>
      </c>
      <c r="AW410" s="191">
        <v>0</v>
      </c>
      <c r="AX410" s="191">
        <v>0</v>
      </c>
      <c r="AY410" s="192">
        <v>0</v>
      </c>
      <c r="BA410" s="34" t="str">
        <f t="shared" ca="1" si="54"/>
        <v>Southern</v>
      </c>
      <c r="BB410" s="34" t="str">
        <f t="shared" si="55"/>
        <v>Fixed Inputs</v>
      </c>
      <c r="BC410" s="34" t="str">
        <f t="shared" si="60"/>
        <v>Variant allowances</v>
      </c>
      <c r="BD410" s="34" t="str">
        <f t="shared" si="57"/>
        <v>Totex variant allowances allocation percentages</v>
      </c>
    </row>
    <row r="411" spans="5:56" x14ac:dyDescent="0.35">
      <c r="E411" s="193" t="str" cm="1">
        <f t="array" ref="E411">INDEX($E$99:$E$202,INT((ROW()-ROW($E$205))/5)+1)</f>
        <v>Re-opener_East Coast Hydrogen NZASP Re-Opener (EoE and NGN) / GD2/GD3 Crossover Adjustment</v>
      </c>
      <c r="G411" s="33" t="s">
        <v>109</v>
      </c>
      <c r="H411" s="33" t="s">
        <v>169</v>
      </c>
      <c r="AU411" s="140">
        <v>0</v>
      </c>
      <c r="AV411" s="23">
        <v>0</v>
      </c>
      <c r="AW411" s="23">
        <v>0</v>
      </c>
      <c r="AX411" s="23">
        <v>0</v>
      </c>
      <c r="AY411" s="194">
        <v>0</v>
      </c>
      <c r="BA411" s="34" t="str">
        <f t="shared" ca="1" si="54"/>
        <v>Southern</v>
      </c>
      <c r="BB411" s="34" t="str">
        <f t="shared" si="55"/>
        <v>Fixed Inputs</v>
      </c>
      <c r="BC411" s="34" t="str">
        <f t="shared" si="60"/>
        <v>Variant allowances</v>
      </c>
      <c r="BD411" s="34" t="str">
        <f t="shared" si="57"/>
        <v>Totex variant allowances allocation percentages</v>
      </c>
    </row>
    <row r="412" spans="5:56" x14ac:dyDescent="0.35">
      <c r="E412" s="193" t="str" cm="1">
        <f t="array" ref="E412">INDEX($E$99:$E$202,INT((ROW()-ROW($E$205))/5)+1)</f>
        <v>Re-opener_East Coast Hydrogen NZASP Re-Opener (EoE and NGN) / GD2/GD3 Crossover Adjustment</v>
      </c>
      <c r="G412" s="33" t="s">
        <v>109</v>
      </c>
      <c r="H412" s="33" t="s">
        <v>170</v>
      </c>
      <c r="AU412" s="140">
        <v>0.6</v>
      </c>
      <c r="AV412" s="23">
        <v>0.6</v>
      </c>
      <c r="AW412" s="23">
        <v>0.6</v>
      </c>
      <c r="AX412" s="23">
        <v>0.6</v>
      </c>
      <c r="AY412" s="194">
        <v>0.6</v>
      </c>
      <c r="BA412" s="34" t="str">
        <f t="shared" ca="1" si="54"/>
        <v>Southern</v>
      </c>
      <c r="BB412" s="34" t="str">
        <f t="shared" si="55"/>
        <v>Fixed Inputs</v>
      </c>
      <c r="BC412" s="34" t="str">
        <f t="shared" si="60"/>
        <v>Variant allowances</v>
      </c>
      <c r="BD412" s="34" t="str">
        <f t="shared" si="57"/>
        <v>Totex variant allowances allocation percentages</v>
      </c>
    </row>
    <row r="413" spans="5:56" x14ac:dyDescent="0.35">
      <c r="E413" s="193" t="str" cm="1">
        <f t="array" ref="E413">INDEX($E$99:$E$202,INT((ROW()-ROW($E$205))/5)+1)</f>
        <v>Re-opener_East Coast Hydrogen NZASP Re-Opener (EoE and NGN) / GD2/GD3 Crossover Adjustment</v>
      </c>
      <c r="G413" s="33" t="s">
        <v>109</v>
      </c>
      <c r="H413" s="33" t="s">
        <v>171</v>
      </c>
      <c r="AU413" s="140">
        <v>0.4</v>
      </c>
      <c r="AV413" s="23">
        <v>0.4</v>
      </c>
      <c r="AW413" s="23">
        <v>0.4</v>
      </c>
      <c r="AX413" s="23">
        <v>0.4</v>
      </c>
      <c r="AY413" s="194">
        <v>0.4</v>
      </c>
      <c r="BA413" s="34" t="str">
        <f t="shared" ca="1" si="54"/>
        <v>Southern</v>
      </c>
      <c r="BB413" s="34" t="str">
        <f t="shared" si="55"/>
        <v>Fixed Inputs</v>
      </c>
      <c r="BC413" s="34" t="str">
        <f t="shared" si="60"/>
        <v>Variant allowances</v>
      </c>
      <c r="BD413" s="34" t="str">
        <f t="shared" si="57"/>
        <v>Totex variant allowances allocation percentages</v>
      </c>
    </row>
    <row r="414" spans="5:56" x14ac:dyDescent="0.35">
      <c r="E414" s="195" t="str" cm="1">
        <f t="array" ref="E414">INDEX($E$99:$E$202,INT((ROW()-ROW($E$205))/5)+1)</f>
        <v>Re-opener_East Coast Hydrogen NZASP Re-Opener (EoE and NGN) / GD2/GD3 Crossover Adjustment</v>
      </c>
      <c r="F414" s="196"/>
      <c r="G414" s="196" t="s">
        <v>109</v>
      </c>
      <c r="H414" s="196" t="s">
        <v>172</v>
      </c>
      <c r="I414" s="196"/>
      <c r="J414" s="196"/>
      <c r="K414" s="196"/>
      <c r="L414" s="196"/>
      <c r="M414" s="196"/>
      <c r="N414" s="196"/>
      <c r="O414" s="196"/>
      <c r="P414" s="196"/>
      <c r="Q414" s="196"/>
      <c r="R414" s="196"/>
      <c r="S414" s="196"/>
      <c r="T414" s="196"/>
      <c r="U414" s="196"/>
      <c r="V414" s="196"/>
      <c r="W414" s="196"/>
      <c r="X414" s="196"/>
      <c r="Y414" s="196"/>
      <c r="Z414" s="196"/>
      <c r="AA414" s="196"/>
      <c r="AB414" s="196"/>
      <c r="AC414" s="196"/>
      <c r="AD414" s="196"/>
      <c r="AE414" s="196"/>
      <c r="AF414" s="196"/>
      <c r="AG414" s="196"/>
      <c r="AH414" s="196"/>
      <c r="AI414" s="196"/>
      <c r="AJ414" s="196"/>
      <c r="AK414" s="196"/>
      <c r="AL414" s="196"/>
      <c r="AM414" s="196"/>
      <c r="AN414" s="196"/>
      <c r="AO414" s="196"/>
      <c r="AP414" s="196"/>
      <c r="AQ414" s="196"/>
      <c r="AR414" s="196"/>
      <c r="AS414" s="196"/>
      <c r="AT414" s="208"/>
      <c r="AU414" s="198">
        <v>0</v>
      </c>
      <c r="AV414" s="199">
        <v>0</v>
      </c>
      <c r="AW414" s="199">
        <v>0</v>
      </c>
      <c r="AX414" s="199">
        <v>0</v>
      </c>
      <c r="AY414" s="200">
        <v>0</v>
      </c>
      <c r="BA414" s="34" t="str">
        <f t="shared" ca="1" si="54"/>
        <v>Southern</v>
      </c>
      <c r="BB414" s="34" t="str">
        <f t="shared" si="55"/>
        <v>Fixed Inputs</v>
      </c>
      <c r="BC414" s="34" t="str">
        <f t="shared" si="60"/>
        <v>Variant allowances</v>
      </c>
      <c r="BD414" s="34" t="str">
        <f t="shared" si="57"/>
        <v>Totex variant allowances allocation percentages</v>
      </c>
    </row>
    <row r="415" spans="5:56" x14ac:dyDescent="0.35">
      <c r="E415" s="187" t="str" cm="1">
        <f t="array" ref="E415">INDEX($E$99:$E$202,INT((ROW()-ROW($E$205))/5)+1)</f>
        <v>Re-opener_Complex Distributions Systems Re-opener</v>
      </c>
      <c r="F415" s="188"/>
      <c r="G415" s="188" t="s">
        <v>109</v>
      </c>
      <c r="H415" s="188" t="s">
        <v>168</v>
      </c>
      <c r="I415" s="188"/>
      <c r="J415" s="188"/>
      <c r="K415" s="188"/>
      <c r="L415" s="188"/>
      <c r="M415" s="188"/>
      <c r="N415" s="188"/>
      <c r="O415" s="188"/>
      <c r="P415" s="188"/>
      <c r="Q415" s="188"/>
      <c r="R415" s="188"/>
      <c r="S415" s="188"/>
      <c r="T415" s="188"/>
      <c r="U415" s="188"/>
      <c r="V415" s="188"/>
      <c r="W415" s="188"/>
      <c r="X415" s="188"/>
      <c r="Y415" s="188"/>
      <c r="Z415" s="188"/>
      <c r="AA415" s="188"/>
      <c r="AB415" s="188"/>
      <c r="AC415" s="188"/>
      <c r="AD415" s="188"/>
      <c r="AE415" s="188"/>
      <c r="AF415" s="188"/>
      <c r="AG415" s="188"/>
      <c r="AH415" s="188"/>
      <c r="AI415" s="188"/>
      <c r="AJ415" s="188"/>
      <c r="AK415" s="188"/>
      <c r="AL415" s="188"/>
      <c r="AM415" s="188"/>
      <c r="AN415" s="188"/>
      <c r="AO415" s="188"/>
      <c r="AP415" s="188"/>
      <c r="AQ415" s="188"/>
      <c r="AR415" s="188"/>
      <c r="AS415" s="188"/>
      <c r="AT415" s="202"/>
      <c r="AU415" s="190">
        <v>0</v>
      </c>
      <c r="AV415" s="191">
        <v>0</v>
      </c>
      <c r="AW415" s="191">
        <v>0</v>
      </c>
      <c r="AX415" s="191">
        <v>0</v>
      </c>
      <c r="AY415" s="192">
        <v>0</v>
      </c>
      <c r="BA415" s="34" t="str">
        <f t="shared" ca="1" si="54"/>
        <v>Southern</v>
      </c>
      <c r="BB415" s="34" t="str">
        <f t="shared" si="55"/>
        <v>Fixed Inputs</v>
      </c>
      <c r="BC415" s="34" t="str">
        <f t="shared" si="60"/>
        <v>Variant allowances</v>
      </c>
      <c r="BD415" s="34" t="str">
        <f t="shared" si="57"/>
        <v>Totex variant allowances allocation percentages</v>
      </c>
    </row>
    <row r="416" spans="5:56" x14ac:dyDescent="0.35">
      <c r="E416" s="193" t="str" cm="1">
        <f t="array" ref="E416">INDEX($E$99:$E$202,INT((ROW()-ROW($E$205))/5)+1)</f>
        <v>Re-opener_Complex Distributions Systems Re-opener</v>
      </c>
      <c r="G416" s="33" t="s">
        <v>109</v>
      </c>
      <c r="H416" s="33" t="s">
        <v>169</v>
      </c>
      <c r="AU416" s="140">
        <v>0</v>
      </c>
      <c r="AV416" s="23">
        <v>0</v>
      </c>
      <c r="AW416" s="23">
        <v>0</v>
      </c>
      <c r="AX416" s="23">
        <v>0</v>
      </c>
      <c r="AY416" s="194">
        <v>0</v>
      </c>
      <c r="BA416" s="34" t="str">
        <f t="shared" ca="1" si="54"/>
        <v>Southern</v>
      </c>
      <c r="BB416" s="34" t="str">
        <f t="shared" si="55"/>
        <v>Fixed Inputs</v>
      </c>
      <c r="BC416" s="34" t="str">
        <f t="shared" si="60"/>
        <v>Variant allowances</v>
      </c>
      <c r="BD416" s="34" t="str">
        <f t="shared" si="57"/>
        <v>Totex variant allowances allocation percentages</v>
      </c>
    </row>
    <row r="417" spans="5:56" x14ac:dyDescent="0.35">
      <c r="E417" s="193" t="str" cm="1">
        <f t="array" ref="E417">INDEX($E$99:$E$202,INT((ROW()-ROW($E$205))/5)+1)</f>
        <v>Re-opener_Complex Distributions Systems Re-opener</v>
      </c>
      <c r="G417" s="33" t="s">
        <v>109</v>
      </c>
      <c r="H417" s="33" t="s">
        <v>170</v>
      </c>
      <c r="AU417" s="140">
        <v>0</v>
      </c>
      <c r="AV417" s="23">
        <v>0</v>
      </c>
      <c r="AW417" s="23">
        <v>0</v>
      </c>
      <c r="AX417" s="23">
        <v>0</v>
      </c>
      <c r="AY417" s="194">
        <v>0</v>
      </c>
      <c r="BA417" s="34" t="str">
        <f t="shared" ca="1" si="54"/>
        <v>Southern</v>
      </c>
      <c r="BB417" s="34" t="str">
        <f t="shared" si="55"/>
        <v>Fixed Inputs</v>
      </c>
      <c r="BC417" s="34" t="str">
        <f t="shared" si="60"/>
        <v>Variant allowances</v>
      </c>
      <c r="BD417" s="34" t="str">
        <f t="shared" si="57"/>
        <v>Totex variant allowances allocation percentages</v>
      </c>
    </row>
    <row r="418" spans="5:56" x14ac:dyDescent="0.35">
      <c r="E418" s="193" t="str" cm="1">
        <f t="array" ref="E418">INDEX($E$99:$E$202,INT((ROW()-ROW($E$205))/5)+1)</f>
        <v>Re-opener_Complex Distributions Systems Re-opener</v>
      </c>
      <c r="G418" s="33" t="s">
        <v>109</v>
      </c>
      <c r="H418" s="33" t="s">
        <v>171</v>
      </c>
      <c r="AU418" s="140">
        <v>0</v>
      </c>
      <c r="AV418" s="23">
        <v>0</v>
      </c>
      <c r="AW418" s="23">
        <v>0</v>
      </c>
      <c r="AX418" s="23">
        <v>0</v>
      </c>
      <c r="AY418" s="194">
        <v>0</v>
      </c>
      <c r="BA418" s="34" t="str">
        <f t="shared" ca="1" si="54"/>
        <v>Southern</v>
      </c>
      <c r="BB418" s="34" t="str">
        <f t="shared" si="55"/>
        <v>Fixed Inputs</v>
      </c>
      <c r="BC418" s="34" t="str">
        <f t="shared" si="60"/>
        <v>Variant allowances</v>
      </c>
      <c r="BD418" s="34" t="str">
        <f t="shared" si="57"/>
        <v>Totex variant allowances allocation percentages</v>
      </c>
    </row>
    <row r="419" spans="5:56" x14ac:dyDescent="0.35">
      <c r="E419" s="195" t="str" cm="1">
        <f t="array" ref="E419">INDEX($E$99:$E$202,INT((ROW()-ROW($E$205))/5)+1)</f>
        <v>Re-opener_Complex Distributions Systems Re-opener</v>
      </c>
      <c r="F419" s="196"/>
      <c r="G419" s="196" t="s">
        <v>109</v>
      </c>
      <c r="H419" s="196" t="s">
        <v>172</v>
      </c>
      <c r="I419" s="196"/>
      <c r="J419" s="196"/>
      <c r="K419" s="196"/>
      <c r="L419" s="196"/>
      <c r="M419" s="196"/>
      <c r="N419" s="196"/>
      <c r="O419" s="196"/>
      <c r="P419" s="196"/>
      <c r="Q419" s="196"/>
      <c r="R419" s="196"/>
      <c r="S419" s="196"/>
      <c r="T419" s="196"/>
      <c r="U419" s="196"/>
      <c r="V419" s="196"/>
      <c r="W419" s="196"/>
      <c r="X419" s="196"/>
      <c r="Y419" s="196"/>
      <c r="Z419" s="196"/>
      <c r="AA419" s="196"/>
      <c r="AB419" s="196"/>
      <c r="AC419" s="196"/>
      <c r="AD419" s="196"/>
      <c r="AE419" s="196"/>
      <c r="AF419" s="196"/>
      <c r="AG419" s="196"/>
      <c r="AH419" s="196"/>
      <c r="AI419" s="196"/>
      <c r="AJ419" s="196"/>
      <c r="AK419" s="196"/>
      <c r="AL419" s="196"/>
      <c r="AM419" s="196"/>
      <c r="AN419" s="196"/>
      <c r="AO419" s="196"/>
      <c r="AP419" s="196"/>
      <c r="AQ419" s="196"/>
      <c r="AR419" s="196"/>
      <c r="AS419" s="196"/>
      <c r="AT419" s="208"/>
      <c r="AU419" s="198">
        <v>1</v>
      </c>
      <c r="AV419" s="199">
        <v>1</v>
      </c>
      <c r="AW419" s="199">
        <v>1</v>
      </c>
      <c r="AX419" s="199">
        <v>1</v>
      </c>
      <c r="AY419" s="200">
        <v>1</v>
      </c>
      <c r="BA419" s="34" t="str">
        <f t="shared" ca="1" si="54"/>
        <v>Southern</v>
      </c>
      <c r="BB419" s="34" t="str">
        <f t="shared" si="55"/>
        <v>Fixed Inputs</v>
      </c>
      <c r="BC419" s="34" t="str">
        <f t="shared" si="60"/>
        <v>Variant allowances</v>
      </c>
      <c r="BD419" s="34" t="str">
        <f t="shared" si="57"/>
        <v>Totex variant allowances allocation percentages</v>
      </c>
    </row>
    <row r="420" spans="5:56" x14ac:dyDescent="0.35">
      <c r="E420" s="187" t="str" cm="1">
        <f t="array" ref="E420">INDEX($E$99:$E$202,INT((ROW()-ROW($E$205))/5)+1)</f>
        <v>Re-opener_Mandated Category 3 Security Re-opener</v>
      </c>
      <c r="F420" s="188"/>
      <c r="G420" s="188" t="s">
        <v>109</v>
      </c>
      <c r="H420" s="188" t="s">
        <v>168</v>
      </c>
      <c r="I420" s="188"/>
      <c r="J420" s="188"/>
      <c r="K420" s="188"/>
      <c r="L420" s="188"/>
      <c r="M420" s="188"/>
      <c r="N420" s="188"/>
      <c r="O420" s="188"/>
      <c r="P420" s="188"/>
      <c r="Q420" s="188"/>
      <c r="R420" s="188"/>
      <c r="S420" s="188"/>
      <c r="T420" s="188"/>
      <c r="U420" s="188"/>
      <c r="V420" s="188"/>
      <c r="W420" s="188"/>
      <c r="X420" s="188"/>
      <c r="Y420" s="188"/>
      <c r="Z420" s="188"/>
      <c r="AA420" s="188"/>
      <c r="AB420" s="188"/>
      <c r="AC420" s="188"/>
      <c r="AD420" s="188"/>
      <c r="AE420" s="188"/>
      <c r="AF420" s="188"/>
      <c r="AG420" s="188"/>
      <c r="AH420" s="188"/>
      <c r="AI420" s="188"/>
      <c r="AJ420" s="188"/>
      <c r="AK420" s="188"/>
      <c r="AL420" s="188"/>
      <c r="AM420" s="188"/>
      <c r="AN420" s="188"/>
      <c r="AO420" s="188"/>
      <c r="AP420" s="188"/>
      <c r="AQ420" s="188"/>
      <c r="AR420" s="188"/>
      <c r="AS420" s="188"/>
      <c r="AT420" s="202"/>
      <c r="AU420" s="190">
        <v>0</v>
      </c>
      <c r="AV420" s="191">
        <v>0</v>
      </c>
      <c r="AW420" s="191">
        <v>0</v>
      </c>
      <c r="AX420" s="191">
        <v>0</v>
      </c>
      <c r="AY420" s="192">
        <v>0</v>
      </c>
      <c r="BA420" s="34" t="str">
        <f t="shared" ca="1" si="54"/>
        <v>Southern</v>
      </c>
      <c r="BB420" s="34" t="str">
        <f t="shared" si="55"/>
        <v>Fixed Inputs</v>
      </c>
      <c r="BC420" s="34" t="str">
        <f t="shared" si="60"/>
        <v>Variant allowances</v>
      </c>
      <c r="BD420" s="34" t="str">
        <f t="shared" si="57"/>
        <v>Totex variant allowances allocation percentages</v>
      </c>
    </row>
    <row r="421" spans="5:56" x14ac:dyDescent="0.35">
      <c r="E421" s="193" t="str" cm="1">
        <f t="array" ref="E421">INDEX($E$99:$E$202,INT((ROW()-ROW($E$205))/5)+1)</f>
        <v>Re-opener_Mandated Category 3 Security Re-opener</v>
      </c>
      <c r="G421" s="33" t="s">
        <v>109</v>
      </c>
      <c r="H421" s="33" t="s">
        <v>169</v>
      </c>
      <c r="AU421" s="140">
        <v>0</v>
      </c>
      <c r="AV421" s="23">
        <v>0</v>
      </c>
      <c r="AW421" s="23">
        <v>0</v>
      </c>
      <c r="AX421" s="23">
        <v>0</v>
      </c>
      <c r="AY421" s="194">
        <v>0</v>
      </c>
      <c r="BA421" s="34" t="str">
        <f t="shared" ca="1" si="54"/>
        <v>Southern</v>
      </c>
      <c r="BB421" s="34" t="str">
        <f t="shared" si="55"/>
        <v>Fixed Inputs</v>
      </c>
      <c r="BC421" s="34" t="str">
        <f t="shared" si="60"/>
        <v>Variant allowances</v>
      </c>
      <c r="BD421" s="34" t="str">
        <f t="shared" si="57"/>
        <v>Totex variant allowances allocation percentages</v>
      </c>
    </row>
    <row r="422" spans="5:56" x14ac:dyDescent="0.35">
      <c r="E422" s="193" t="str" cm="1">
        <f t="array" ref="E422">INDEX($E$99:$E$202,INT((ROW()-ROW($E$205))/5)+1)</f>
        <v>Re-opener_Mandated Category 3 Security Re-opener</v>
      </c>
      <c r="G422" s="33" t="s">
        <v>109</v>
      </c>
      <c r="H422" s="33" t="s">
        <v>170</v>
      </c>
      <c r="AU422" s="140">
        <v>0</v>
      </c>
      <c r="AV422" s="23">
        <v>0</v>
      </c>
      <c r="AW422" s="23">
        <v>0</v>
      </c>
      <c r="AX422" s="23">
        <v>0</v>
      </c>
      <c r="AY422" s="194">
        <v>0</v>
      </c>
      <c r="BA422" s="34" t="str">
        <f t="shared" ca="1" si="54"/>
        <v>Southern</v>
      </c>
      <c r="BB422" s="34" t="str">
        <f t="shared" si="55"/>
        <v>Fixed Inputs</v>
      </c>
      <c r="BC422" s="34" t="str">
        <f t="shared" si="60"/>
        <v>Variant allowances</v>
      </c>
      <c r="BD422" s="34" t="str">
        <f t="shared" si="57"/>
        <v>Totex variant allowances allocation percentages</v>
      </c>
    </row>
    <row r="423" spans="5:56" x14ac:dyDescent="0.35">
      <c r="E423" s="193" t="str" cm="1">
        <f t="array" ref="E423">INDEX($E$99:$E$202,INT((ROW()-ROW($E$205))/5)+1)</f>
        <v>Re-opener_Mandated Category 3 Security Re-opener</v>
      </c>
      <c r="G423" s="33" t="s">
        <v>109</v>
      </c>
      <c r="H423" s="33" t="s">
        <v>171</v>
      </c>
      <c r="AU423" s="140">
        <v>0</v>
      </c>
      <c r="AV423" s="23">
        <v>0</v>
      </c>
      <c r="AW423" s="23">
        <v>0</v>
      </c>
      <c r="AX423" s="23">
        <v>0</v>
      </c>
      <c r="AY423" s="194">
        <v>0</v>
      </c>
      <c r="BA423" s="34" t="str">
        <f t="shared" ca="1" si="54"/>
        <v>Southern</v>
      </c>
      <c r="BB423" s="34" t="str">
        <f t="shared" si="55"/>
        <v>Fixed Inputs</v>
      </c>
      <c r="BC423" s="34" t="str">
        <f t="shared" si="60"/>
        <v>Variant allowances</v>
      </c>
      <c r="BD423" s="34" t="str">
        <f t="shared" si="57"/>
        <v>Totex variant allowances allocation percentages</v>
      </c>
    </row>
    <row r="424" spans="5:56" x14ac:dyDescent="0.35">
      <c r="E424" s="195" t="str" cm="1">
        <f t="array" ref="E424">INDEX($E$99:$E$202,INT((ROW()-ROW($E$205))/5)+1)</f>
        <v>Re-opener_Mandated Category 3 Security Re-opener</v>
      </c>
      <c r="F424" s="196"/>
      <c r="G424" s="196" t="s">
        <v>109</v>
      </c>
      <c r="H424" s="196" t="s">
        <v>172</v>
      </c>
      <c r="I424" s="196"/>
      <c r="J424" s="196"/>
      <c r="K424" s="196"/>
      <c r="L424" s="196"/>
      <c r="M424" s="196"/>
      <c r="N424" s="196"/>
      <c r="O424" s="196"/>
      <c r="P424" s="196"/>
      <c r="Q424" s="196"/>
      <c r="R424" s="196"/>
      <c r="S424" s="196"/>
      <c r="T424" s="196"/>
      <c r="U424" s="196"/>
      <c r="V424" s="196"/>
      <c r="W424" s="196"/>
      <c r="X424" s="196"/>
      <c r="Y424" s="196"/>
      <c r="Z424" s="196"/>
      <c r="AA424" s="196"/>
      <c r="AB424" s="196"/>
      <c r="AC424" s="196"/>
      <c r="AD424" s="196"/>
      <c r="AE424" s="196"/>
      <c r="AF424" s="196"/>
      <c r="AG424" s="196"/>
      <c r="AH424" s="196"/>
      <c r="AI424" s="196"/>
      <c r="AJ424" s="196"/>
      <c r="AK424" s="196"/>
      <c r="AL424" s="196"/>
      <c r="AM424" s="196"/>
      <c r="AN424" s="196"/>
      <c r="AO424" s="196"/>
      <c r="AP424" s="196"/>
      <c r="AQ424" s="196"/>
      <c r="AR424" s="196"/>
      <c r="AS424" s="196"/>
      <c r="AT424" s="208"/>
      <c r="AU424" s="198">
        <v>0</v>
      </c>
      <c r="AV424" s="199">
        <v>0</v>
      </c>
      <c r="AW424" s="199">
        <v>0</v>
      </c>
      <c r="AX424" s="199">
        <v>0</v>
      </c>
      <c r="AY424" s="200">
        <v>0</v>
      </c>
      <c r="BA424" s="34" t="str">
        <f t="shared" ca="1" si="54"/>
        <v>Southern</v>
      </c>
      <c r="BB424" s="34" t="str">
        <f t="shared" si="55"/>
        <v>Fixed Inputs</v>
      </c>
      <c r="BC424" s="34" t="str">
        <f t="shared" si="60"/>
        <v>Variant allowances</v>
      </c>
      <c r="BD424" s="34" t="str">
        <f t="shared" si="57"/>
        <v>Totex variant allowances allocation percentages</v>
      </c>
    </row>
    <row r="425" spans="5:56" x14ac:dyDescent="0.35">
      <c r="E425" s="187" t="str" cm="1">
        <f t="array" ref="E425">INDEX($E$99:$E$202,INT((ROW()-ROW($E$205))/5)+1)</f>
        <v>Re-opener_General Reinforcement</v>
      </c>
      <c r="F425" s="188"/>
      <c r="G425" s="188" t="s">
        <v>109</v>
      </c>
      <c r="H425" s="188" t="s">
        <v>168</v>
      </c>
      <c r="I425" s="188"/>
      <c r="J425" s="188"/>
      <c r="K425" s="188"/>
      <c r="L425" s="188"/>
      <c r="M425" s="188"/>
      <c r="N425" s="188"/>
      <c r="O425" s="188"/>
      <c r="P425" s="188"/>
      <c r="Q425" s="188"/>
      <c r="R425" s="188"/>
      <c r="S425" s="188"/>
      <c r="T425" s="188"/>
      <c r="U425" s="188"/>
      <c r="V425" s="188"/>
      <c r="W425" s="188"/>
      <c r="X425" s="188"/>
      <c r="Y425" s="188"/>
      <c r="Z425" s="188"/>
      <c r="AA425" s="188"/>
      <c r="AB425" s="188"/>
      <c r="AC425" s="188"/>
      <c r="AD425" s="188"/>
      <c r="AE425" s="188"/>
      <c r="AF425" s="188"/>
      <c r="AG425" s="188"/>
      <c r="AH425" s="188"/>
      <c r="AI425" s="188"/>
      <c r="AJ425" s="188"/>
      <c r="AK425" s="188"/>
      <c r="AL425" s="188"/>
      <c r="AM425" s="188"/>
      <c r="AN425" s="188"/>
      <c r="AO425" s="188"/>
      <c r="AP425" s="188"/>
      <c r="AQ425" s="188"/>
      <c r="AR425" s="188"/>
      <c r="AS425" s="188"/>
      <c r="AT425" s="202"/>
      <c r="AU425" s="190">
        <v>0</v>
      </c>
      <c r="AV425" s="191">
        <v>0</v>
      </c>
      <c r="AW425" s="191">
        <v>0</v>
      </c>
      <c r="AX425" s="191">
        <v>0</v>
      </c>
      <c r="AY425" s="192">
        <v>0</v>
      </c>
      <c r="BA425" s="34" t="str">
        <f t="shared" ca="1" si="54"/>
        <v>Southern</v>
      </c>
      <c r="BB425" s="34" t="str">
        <f t="shared" si="55"/>
        <v>Fixed Inputs</v>
      </c>
      <c r="BC425" s="34" t="str">
        <f t="shared" si="60"/>
        <v>Variant allowances</v>
      </c>
      <c r="BD425" s="34" t="str">
        <f t="shared" si="57"/>
        <v>Totex variant allowances allocation percentages</v>
      </c>
    </row>
    <row r="426" spans="5:56" x14ac:dyDescent="0.35">
      <c r="E426" s="193" t="str" cm="1">
        <f t="array" ref="E426">INDEX($E$99:$E$202,INT((ROW()-ROW($E$205))/5)+1)</f>
        <v>Re-opener_General Reinforcement</v>
      </c>
      <c r="G426" s="33" t="s">
        <v>109</v>
      </c>
      <c r="H426" s="33" t="s">
        <v>169</v>
      </c>
      <c r="AU426" s="140">
        <v>0</v>
      </c>
      <c r="AV426" s="23">
        <v>0</v>
      </c>
      <c r="AW426" s="23">
        <v>0</v>
      </c>
      <c r="AX426" s="23">
        <v>0</v>
      </c>
      <c r="AY426" s="194">
        <v>0</v>
      </c>
      <c r="BA426" s="34" t="str">
        <f t="shared" ca="1" si="54"/>
        <v>Southern</v>
      </c>
      <c r="BB426" s="34" t="str">
        <f t="shared" si="55"/>
        <v>Fixed Inputs</v>
      </c>
      <c r="BC426" s="34" t="str">
        <f t="shared" si="60"/>
        <v>Variant allowances</v>
      </c>
      <c r="BD426" s="34" t="str">
        <f t="shared" si="57"/>
        <v>Totex variant allowances allocation percentages</v>
      </c>
    </row>
    <row r="427" spans="5:56" x14ac:dyDescent="0.35">
      <c r="E427" s="193" t="str" cm="1">
        <f t="array" ref="E427">INDEX($E$99:$E$202,INT((ROW()-ROW($E$205))/5)+1)</f>
        <v>Re-opener_General Reinforcement</v>
      </c>
      <c r="G427" s="33" t="s">
        <v>109</v>
      </c>
      <c r="H427" s="33" t="s">
        <v>170</v>
      </c>
      <c r="AU427" s="140">
        <v>0</v>
      </c>
      <c r="AV427" s="23">
        <v>0</v>
      </c>
      <c r="AW427" s="23">
        <v>0</v>
      </c>
      <c r="AX427" s="23">
        <v>0</v>
      </c>
      <c r="AY427" s="194">
        <v>0</v>
      </c>
      <c r="BA427" s="34" t="str">
        <f t="shared" ca="1" si="54"/>
        <v>Southern</v>
      </c>
      <c r="BB427" s="34" t="str">
        <f t="shared" si="55"/>
        <v>Fixed Inputs</v>
      </c>
      <c r="BC427" s="34" t="str">
        <f t="shared" si="60"/>
        <v>Variant allowances</v>
      </c>
      <c r="BD427" s="34" t="str">
        <f t="shared" si="57"/>
        <v>Totex variant allowances allocation percentages</v>
      </c>
    </row>
    <row r="428" spans="5:56" x14ac:dyDescent="0.35">
      <c r="E428" s="193" t="str" cm="1">
        <f t="array" ref="E428">INDEX($E$99:$E$202,INT((ROW()-ROW($E$205))/5)+1)</f>
        <v>Re-opener_General Reinforcement</v>
      </c>
      <c r="G428" s="33" t="s">
        <v>109</v>
      </c>
      <c r="H428" s="33" t="s">
        <v>171</v>
      </c>
      <c r="AU428" s="140">
        <v>0</v>
      </c>
      <c r="AV428" s="23">
        <v>0</v>
      </c>
      <c r="AW428" s="23">
        <v>0</v>
      </c>
      <c r="AX428" s="23">
        <v>0</v>
      </c>
      <c r="AY428" s="194">
        <v>0</v>
      </c>
      <c r="BA428" s="34" t="str">
        <f t="shared" ca="1" si="54"/>
        <v>Southern</v>
      </c>
      <c r="BB428" s="34" t="str">
        <f t="shared" si="55"/>
        <v>Fixed Inputs</v>
      </c>
      <c r="BC428" s="34" t="str">
        <f t="shared" si="60"/>
        <v>Variant allowances</v>
      </c>
      <c r="BD428" s="34" t="str">
        <f t="shared" si="57"/>
        <v>Totex variant allowances allocation percentages</v>
      </c>
    </row>
    <row r="429" spans="5:56" x14ac:dyDescent="0.35">
      <c r="E429" s="195" t="str" cm="1">
        <f t="array" ref="E429">INDEX($E$99:$E$202,INT((ROW()-ROW($E$205))/5)+1)</f>
        <v>Re-opener_General Reinforcement</v>
      </c>
      <c r="F429" s="196"/>
      <c r="G429" s="196" t="s">
        <v>109</v>
      </c>
      <c r="H429" s="196" t="s">
        <v>172</v>
      </c>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208"/>
      <c r="AU429" s="198">
        <v>0</v>
      </c>
      <c r="AV429" s="199">
        <v>0</v>
      </c>
      <c r="AW429" s="199">
        <v>0</v>
      </c>
      <c r="AX429" s="199">
        <v>0</v>
      </c>
      <c r="AY429" s="200">
        <v>0</v>
      </c>
      <c r="BA429" s="34" t="str">
        <f t="shared" ca="1" si="54"/>
        <v>Southern</v>
      </c>
      <c r="BB429" s="34" t="str">
        <f t="shared" si="55"/>
        <v>Fixed Inputs</v>
      </c>
      <c r="BC429" s="34" t="str">
        <f t="shared" si="60"/>
        <v>Variant allowances</v>
      </c>
      <c r="BD429" s="34" t="str">
        <f t="shared" si="57"/>
        <v>Totex variant allowances allocation percentages</v>
      </c>
    </row>
    <row r="430" spans="5:56" x14ac:dyDescent="0.35">
      <c r="E430" s="187" t="str" cm="1">
        <f t="array" ref="E430">INDEX($E$99:$E$202,INT((ROW()-ROW($E$205))/5)+1)</f>
        <v>Spare 2</v>
      </c>
      <c r="F430" s="188"/>
      <c r="G430" s="188" t="s">
        <v>109</v>
      </c>
      <c r="H430" s="188" t="s">
        <v>168</v>
      </c>
      <c r="I430" s="188"/>
      <c r="J430" s="188"/>
      <c r="K430" s="188"/>
      <c r="L430" s="188"/>
      <c r="M430" s="188"/>
      <c r="N430" s="188"/>
      <c r="O430" s="188"/>
      <c r="P430" s="188"/>
      <c r="Q430" s="188"/>
      <c r="R430" s="188"/>
      <c r="S430" s="188"/>
      <c r="T430" s="188"/>
      <c r="U430" s="188"/>
      <c r="V430" s="188"/>
      <c r="W430" s="188"/>
      <c r="X430" s="188"/>
      <c r="Y430" s="188"/>
      <c r="Z430" s="188"/>
      <c r="AA430" s="188"/>
      <c r="AB430" s="188"/>
      <c r="AC430" s="188"/>
      <c r="AD430" s="188"/>
      <c r="AE430" s="188"/>
      <c r="AF430" s="188"/>
      <c r="AG430" s="188"/>
      <c r="AH430" s="188"/>
      <c r="AI430" s="188"/>
      <c r="AJ430" s="188"/>
      <c r="AK430" s="188"/>
      <c r="AL430" s="188"/>
      <c r="AM430" s="188"/>
      <c r="AN430" s="188"/>
      <c r="AO430" s="188"/>
      <c r="AP430" s="188"/>
      <c r="AQ430" s="188"/>
      <c r="AR430" s="188"/>
      <c r="AS430" s="188"/>
      <c r="AT430" s="202"/>
      <c r="AU430" s="190">
        <v>0</v>
      </c>
      <c r="AV430" s="191">
        <v>0</v>
      </c>
      <c r="AW430" s="191">
        <v>0</v>
      </c>
      <c r="AX430" s="191">
        <v>0</v>
      </c>
      <c r="AY430" s="192">
        <v>0</v>
      </c>
      <c r="BA430" s="34" t="str">
        <f t="shared" ca="1" si="54"/>
        <v>Southern</v>
      </c>
      <c r="BB430" s="34" t="str">
        <f t="shared" si="55"/>
        <v>Fixed Inputs</v>
      </c>
      <c r="BC430" s="34" t="str">
        <f t="shared" si="60"/>
        <v>Variant allowances</v>
      </c>
      <c r="BD430" s="34" t="str">
        <f t="shared" si="57"/>
        <v>Totex variant allowances allocation percentages</v>
      </c>
    </row>
    <row r="431" spans="5:56" x14ac:dyDescent="0.35">
      <c r="E431" s="193" t="str" cm="1">
        <f t="array" ref="E431">INDEX($E$99:$E$202,INT((ROW()-ROW($E$205))/5)+1)</f>
        <v>Spare 2</v>
      </c>
      <c r="G431" s="33" t="s">
        <v>109</v>
      </c>
      <c r="H431" s="33" t="s">
        <v>169</v>
      </c>
      <c r="AU431" s="140">
        <v>0</v>
      </c>
      <c r="AV431" s="23">
        <v>0</v>
      </c>
      <c r="AW431" s="23">
        <v>0</v>
      </c>
      <c r="AX431" s="23">
        <v>0</v>
      </c>
      <c r="AY431" s="194">
        <v>0</v>
      </c>
      <c r="BA431" s="34" t="str">
        <f t="shared" ca="1" si="54"/>
        <v>Southern</v>
      </c>
      <c r="BB431" s="34" t="str">
        <f t="shared" si="55"/>
        <v>Fixed Inputs</v>
      </c>
      <c r="BC431" s="34" t="str">
        <f t="shared" si="60"/>
        <v>Variant allowances</v>
      </c>
      <c r="BD431" s="34" t="str">
        <f t="shared" si="57"/>
        <v>Totex variant allowances allocation percentages</v>
      </c>
    </row>
    <row r="432" spans="5:56" x14ac:dyDescent="0.35">
      <c r="E432" s="193" t="str" cm="1">
        <f t="array" ref="E432">INDEX($E$99:$E$202,INT((ROW()-ROW($E$205))/5)+1)</f>
        <v>Spare 2</v>
      </c>
      <c r="G432" s="33" t="s">
        <v>109</v>
      </c>
      <c r="H432" s="33" t="s">
        <v>170</v>
      </c>
      <c r="AU432" s="140">
        <v>0</v>
      </c>
      <c r="AV432" s="23">
        <v>0</v>
      </c>
      <c r="AW432" s="23">
        <v>0</v>
      </c>
      <c r="AX432" s="23">
        <v>0</v>
      </c>
      <c r="AY432" s="194">
        <v>0</v>
      </c>
      <c r="BA432" s="34" t="str">
        <f t="shared" ca="1" si="54"/>
        <v>Southern</v>
      </c>
      <c r="BB432" s="34" t="str">
        <f t="shared" si="55"/>
        <v>Fixed Inputs</v>
      </c>
      <c r="BC432" s="34" t="str">
        <f t="shared" si="60"/>
        <v>Variant allowances</v>
      </c>
      <c r="BD432" s="34" t="str">
        <f t="shared" si="57"/>
        <v>Totex variant allowances allocation percentages</v>
      </c>
    </row>
    <row r="433" spans="5:56" x14ac:dyDescent="0.35">
      <c r="E433" s="193" t="str" cm="1">
        <f t="array" ref="E433">INDEX($E$99:$E$202,INT((ROW()-ROW($E$205))/5)+1)</f>
        <v>Spare 2</v>
      </c>
      <c r="G433" s="33" t="s">
        <v>109</v>
      </c>
      <c r="H433" s="33" t="s">
        <v>171</v>
      </c>
      <c r="AU433" s="140">
        <v>0</v>
      </c>
      <c r="AV433" s="23">
        <v>0</v>
      </c>
      <c r="AW433" s="23">
        <v>0</v>
      </c>
      <c r="AX433" s="23">
        <v>0</v>
      </c>
      <c r="AY433" s="194">
        <v>0</v>
      </c>
      <c r="BA433" s="34" t="str">
        <f t="shared" ca="1" si="54"/>
        <v>Southern</v>
      </c>
      <c r="BB433" s="34" t="str">
        <f t="shared" si="55"/>
        <v>Fixed Inputs</v>
      </c>
      <c r="BC433" s="34" t="str">
        <f t="shared" si="60"/>
        <v>Variant allowances</v>
      </c>
      <c r="BD433" s="34" t="str">
        <f t="shared" si="57"/>
        <v>Totex variant allowances allocation percentages</v>
      </c>
    </row>
    <row r="434" spans="5:56" x14ac:dyDescent="0.35">
      <c r="E434" s="195" t="str" cm="1">
        <f t="array" ref="E434">INDEX($E$99:$E$202,INT((ROW()-ROW($E$205))/5)+1)</f>
        <v>Spare 2</v>
      </c>
      <c r="F434" s="196"/>
      <c r="G434" s="196" t="s">
        <v>109</v>
      </c>
      <c r="H434" s="196" t="s">
        <v>172</v>
      </c>
      <c r="I434" s="196"/>
      <c r="J434" s="196"/>
      <c r="K434" s="196"/>
      <c r="L434" s="196"/>
      <c r="M434" s="196"/>
      <c r="N434" s="196"/>
      <c r="O434" s="196"/>
      <c r="P434" s="196"/>
      <c r="Q434" s="196"/>
      <c r="R434" s="196"/>
      <c r="S434" s="196"/>
      <c r="T434" s="196"/>
      <c r="U434" s="196"/>
      <c r="V434" s="196"/>
      <c r="W434" s="196"/>
      <c r="X434" s="196"/>
      <c r="Y434" s="196"/>
      <c r="Z434" s="196"/>
      <c r="AA434" s="196"/>
      <c r="AB434" s="196"/>
      <c r="AC434" s="196"/>
      <c r="AD434" s="196"/>
      <c r="AE434" s="196"/>
      <c r="AF434" s="196"/>
      <c r="AG434" s="196"/>
      <c r="AH434" s="196"/>
      <c r="AI434" s="196"/>
      <c r="AJ434" s="196"/>
      <c r="AK434" s="196"/>
      <c r="AL434" s="196"/>
      <c r="AM434" s="196"/>
      <c r="AN434" s="196"/>
      <c r="AO434" s="196"/>
      <c r="AP434" s="196"/>
      <c r="AQ434" s="196"/>
      <c r="AR434" s="196"/>
      <c r="AS434" s="196"/>
      <c r="AT434" s="208"/>
      <c r="AU434" s="198">
        <v>0</v>
      </c>
      <c r="AV434" s="199">
        <v>0</v>
      </c>
      <c r="AW434" s="199">
        <v>0</v>
      </c>
      <c r="AX434" s="199">
        <v>0</v>
      </c>
      <c r="AY434" s="200">
        <v>0</v>
      </c>
      <c r="BA434" s="34" t="str">
        <f t="shared" ca="1" si="54"/>
        <v>Southern</v>
      </c>
      <c r="BB434" s="34" t="str">
        <f t="shared" si="55"/>
        <v>Fixed Inputs</v>
      </c>
      <c r="BC434" s="34" t="str">
        <f t="shared" si="60"/>
        <v>Variant allowances</v>
      </c>
      <c r="BD434" s="34" t="str">
        <f t="shared" si="57"/>
        <v>Totex variant allowances allocation percentages</v>
      </c>
    </row>
    <row r="435" spans="5:56" x14ac:dyDescent="0.35">
      <c r="E435" s="187" t="str" cm="1">
        <f t="array" ref="E435">INDEX($E$99:$E$202,INT((ROW()-ROW($E$205))/5)+1)</f>
        <v>Spare 3</v>
      </c>
      <c r="F435" s="188"/>
      <c r="G435" s="188" t="s">
        <v>109</v>
      </c>
      <c r="H435" s="188" t="s">
        <v>168</v>
      </c>
      <c r="I435" s="188"/>
      <c r="J435" s="188"/>
      <c r="K435" s="188"/>
      <c r="L435" s="188"/>
      <c r="M435" s="188"/>
      <c r="N435" s="188"/>
      <c r="O435" s="188"/>
      <c r="P435" s="188"/>
      <c r="Q435" s="188"/>
      <c r="R435" s="188"/>
      <c r="S435" s="188"/>
      <c r="T435" s="188"/>
      <c r="U435" s="188"/>
      <c r="V435" s="188"/>
      <c r="W435" s="188"/>
      <c r="X435" s="188"/>
      <c r="Y435" s="188"/>
      <c r="Z435" s="188"/>
      <c r="AA435" s="188"/>
      <c r="AB435" s="188"/>
      <c r="AC435" s="188"/>
      <c r="AD435" s="188"/>
      <c r="AE435" s="188"/>
      <c r="AF435" s="188"/>
      <c r="AG435" s="188"/>
      <c r="AH435" s="188"/>
      <c r="AI435" s="188"/>
      <c r="AJ435" s="188"/>
      <c r="AK435" s="188"/>
      <c r="AL435" s="188"/>
      <c r="AM435" s="188"/>
      <c r="AN435" s="188"/>
      <c r="AO435" s="188"/>
      <c r="AP435" s="188"/>
      <c r="AQ435" s="188"/>
      <c r="AR435" s="188"/>
      <c r="AS435" s="188"/>
      <c r="AT435" s="202"/>
      <c r="AU435" s="190">
        <v>0</v>
      </c>
      <c r="AV435" s="191">
        <v>0</v>
      </c>
      <c r="AW435" s="191">
        <v>0</v>
      </c>
      <c r="AX435" s="191">
        <v>0</v>
      </c>
      <c r="AY435" s="192">
        <v>0</v>
      </c>
      <c r="BA435" s="34" t="str">
        <f t="shared" ca="1" si="54"/>
        <v>Southern</v>
      </c>
      <c r="BB435" s="34" t="str">
        <f t="shared" si="55"/>
        <v>Fixed Inputs</v>
      </c>
      <c r="BC435" s="34" t="str">
        <f t="shared" si="60"/>
        <v>Variant allowances</v>
      </c>
      <c r="BD435" s="34" t="str">
        <f t="shared" si="57"/>
        <v>Totex variant allowances allocation percentages</v>
      </c>
    </row>
    <row r="436" spans="5:56" x14ac:dyDescent="0.35">
      <c r="E436" s="193" t="str" cm="1">
        <f t="array" ref="E436">INDEX($E$99:$E$202,INT((ROW()-ROW($E$205))/5)+1)</f>
        <v>Spare 3</v>
      </c>
      <c r="G436" s="33" t="s">
        <v>109</v>
      </c>
      <c r="H436" s="33" t="s">
        <v>169</v>
      </c>
      <c r="AU436" s="140">
        <v>0</v>
      </c>
      <c r="AV436" s="23">
        <v>0</v>
      </c>
      <c r="AW436" s="23">
        <v>0</v>
      </c>
      <c r="AX436" s="23">
        <v>0</v>
      </c>
      <c r="AY436" s="194">
        <v>0</v>
      </c>
      <c r="BA436" s="34" t="str">
        <f t="shared" ca="1" si="54"/>
        <v>Southern</v>
      </c>
      <c r="BB436" s="34" t="str">
        <f t="shared" si="55"/>
        <v>Fixed Inputs</v>
      </c>
      <c r="BC436" s="34" t="str">
        <f t="shared" si="60"/>
        <v>Variant allowances</v>
      </c>
      <c r="BD436" s="34" t="str">
        <f t="shared" si="57"/>
        <v>Totex variant allowances allocation percentages</v>
      </c>
    </row>
    <row r="437" spans="5:56" x14ac:dyDescent="0.35">
      <c r="E437" s="193" t="str" cm="1">
        <f t="array" ref="E437">INDEX($E$99:$E$202,INT((ROW()-ROW($E$205))/5)+1)</f>
        <v>Spare 3</v>
      </c>
      <c r="G437" s="33" t="s">
        <v>109</v>
      </c>
      <c r="H437" s="33" t="s">
        <v>170</v>
      </c>
      <c r="AU437" s="140">
        <v>0</v>
      </c>
      <c r="AV437" s="23">
        <v>0</v>
      </c>
      <c r="AW437" s="23">
        <v>0</v>
      </c>
      <c r="AX437" s="23">
        <v>0</v>
      </c>
      <c r="AY437" s="194">
        <v>0</v>
      </c>
      <c r="BA437" s="34" t="str">
        <f t="shared" ca="1" si="54"/>
        <v>Southern</v>
      </c>
      <c r="BB437" s="34" t="str">
        <f t="shared" si="55"/>
        <v>Fixed Inputs</v>
      </c>
      <c r="BC437" s="34" t="str">
        <f t="shared" si="60"/>
        <v>Variant allowances</v>
      </c>
      <c r="BD437" s="34" t="str">
        <f t="shared" si="57"/>
        <v>Totex variant allowances allocation percentages</v>
      </c>
    </row>
    <row r="438" spans="5:56" x14ac:dyDescent="0.35">
      <c r="E438" s="193" t="str" cm="1">
        <f t="array" ref="E438">INDEX($E$99:$E$202,INT((ROW()-ROW($E$205))/5)+1)</f>
        <v>Spare 3</v>
      </c>
      <c r="G438" s="33" t="s">
        <v>109</v>
      </c>
      <c r="H438" s="33" t="s">
        <v>171</v>
      </c>
      <c r="AU438" s="140">
        <v>0</v>
      </c>
      <c r="AV438" s="23">
        <v>0</v>
      </c>
      <c r="AW438" s="23">
        <v>0</v>
      </c>
      <c r="AX438" s="23">
        <v>0</v>
      </c>
      <c r="AY438" s="194">
        <v>0</v>
      </c>
      <c r="BA438" s="34" t="str">
        <f t="shared" ca="1" si="54"/>
        <v>Southern</v>
      </c>
      <c r="BB438" s="34" t="str">
        <f t="shared" si="55"/>
        <v>Fixed Inputs</v>
      </c>
      <c r="BC438" s="34" t="str">
        <f t="shared" si="60"/>
        <v>Variant allowances</v>
      </c>
      <c r="BD438" s="34" t="str">
        <f t="shared" si="57"/>
        <v>Totex variant allowances allocation percentages</v>
      </c>
    </row>
    <row r="439" spans="5:56" x14ac:dyDescent="0.35">
      <c r="E439" s="195" t="str" cm="1">
        <f t="array" ref="E439">INDEX($E$99:$E$202,INT((ROW()-ROW($E$205))/5)+1)</f>
        <v>Spare 3</v>
      </c>
      <c r="F439" s="196"/>
      <c r="G439" s="196" t="s">
        <v>109</v>
      </c>
      <c r="H439" s="196" t="s">
        <v>172</v>
      </c>
      <c r="I439" s="196"/>
      <c r="J439" s="196"/>
      <c r="K439" s="196"/>
      <c r="L439" s="196"/>
      <c r="M439" s="196"/>
      <c r="N439" s="196"/>
      <c r="O439" s="196"/>
      <c r="P439" s="196"/>
      <c r="Q439" s="196"/>
      <c r="R439" s="196"/>
      <c r="S439" s="196"/>
      <c r="T439" s="196"/>
      <c r="U439" s="196"/>
      <c r="V439" s="196"/>
      <c r="W439" s="196"/>
      <c r="X439" s="196"/>
      <c r="Y439" s="196"/>
      <c r="Z439" s="196"/>
      <c r="AA439" s="196"/>
      <c r="AB439" s="196"/>
      <c r="AC439" s="196"/>
      <c r="AD439" s="196"/>
      <c r="AE439" s="196"/>
      <c r="AF439" s="196"/>
      <c r="AG439" s="196"/>
      <c r="AH439" s="196"/>
      <c r="AI439" s="196"/>
      <c r="AJ439" s="196"/>
      <c r="AK439" s="196"/>
      <c r="AL439" s="196"/>
      <c r="AM439" s="196"/>
      <c r="AN439" s="196"/>
      <c r="AO439" s="196"/>
      <c r="AP439" s="196"/>
      <c r="AQ439" s="196"/>
      <c r="AR439" s="196"/>
      <c r="AS439" s="196"/>
      <c r="AT439" s="208"/>
      <c r="AU439" s="198">
        <v>0</v>
      </c>
      <c r="AV439" s="199">
        <v>0</v>
      </c>
      <c r="AW439" s="199">
        <v>0</v>
      </c>
      <c r="AX439" s="199">
        <v>0</v>
      </c>
      <c r="AY439" s="200">
        <v>0</v>
      </c>
      <c r="BA439" s="34" t="str">
        <f t="shared" ca="1" si="54"/>
        <v>Southern</v>
      </c>
      <c r="BB439" s="34" t="str">
        <f t="shared" si="55"/>
        <v>Fixed Inputs</v>
      </c>
      <c r="BC439" s="34" t="str">
        <f t="shared" si="60"/>
        <v>Variant allowances</v>
      </c>
      <c r="BD439" s="34" t="str">
        <f t="shared" si="57"/>
        <v>Totex variant allowances allocation percentages</v>
      </c>
    </row>
    <row r="440" spans="5:56" x14ac:dyDescent="0.35">
      <c r="E440" s="187" t="str" cm="1">
        <f t="array" ref="E440">INDEX($E$99:$E$202,INT((ROW()-ROW($E$205))/5)+1)</f>
        <v>Spare 4</v>
      </c>
      <c r="F440" s="188"/>
      <c r="G440" s="188" t="s">
        <v>109</v>
      </c>
      <c r="H440" s="188" t="s">
        <v>168</v>
      </c>
      <c r="I440" s="188"/>
      <c r="J440" s="188"/>
      <c r="K440" s="188"/>
      <c r="L440" s="188"/>
      <c r="M440" s="188"/>
      <c r="N440" s="188"/>
      <c r="O440" s="188"/>
      <c r="P440" s="188"/>
      <c r="Q440" s="188"/>
      <c r="R440" s="188"/>
      <c r="S440" s="188"/>
      <c r="T440" s="188"/>
      <c r="U440" s="188"/>
      <c r="V440" s="188"/>
      <c r="W440" s="188"/>
      <c r="X440" s="188"/>
      <c r="Y440" s="188"/>
      <c r="Z440" s="188"/>
      <c r="AA440" s="188"/>
      <c r="AB440" s="188"/>
      <c r="AC440" s="188"/>
      <c r="AD440" s="188"/>
      <c r="AE440" s="188"/>
      <c r="AF440" s="188"/>
      <c r="AG440" s="188"/>
      <c r="AH440" s="188"/>
      <c r="AI440" s="188"/>
      <c r="AJ440" s="188"/>
      <c r="AK440" s="188"/>
      <c r="AL440" s="188"/>
      <c r="AM440" s="188"/>
      <c r="AN440" s="188"/>
      <c r="AO440" s="188"/>
      <c r="AP440" s="188"/>
      <c r="AQ440" s="188"/>
      <c r="AR440" s="188"/>
      <c r="AS440" s="188"/>
      <c r="AT440" s="202"/>
      <c r="AU440" s="190">
        <v>0</v>
      </c>
      <c r="AV440" s="191">
        <v>0</v>
      </c>
      <c r="AW440" s="191">
        <v>0</v>
      </c>
      <c r="AX440" s="191">
        <v>0</v>
      </c>
      <c r="AY440" s="192">
        <v>0</v>
      </c>
      <c r="BA440" s="34" t="str">
        <f t="shared" ca="1" si="54"/>
        <v>Southern</v>
      </c>
      <c r="BB440" s="34" t="str">
        <f t="shared" si="55"/>
        <v>Fixed Inputs</v>
      </c>
      <c r="BC440" s="34" t="str">
        <f t="shared" si="60"/>
        <v>Variant allowances</v>
      </c>
      <c r="BD440" s="34" t="str">
        <f t="shared" si="57"/>
        <v>Totex variant allowances allocation percentages</v>
      </c>
    </row>
    <row r="441" spans="5:56" x14ac:dyDescent="0.35">
      <c r="E441" s="193" t="str" cm="1">
        <f t="array" ref="E441">INDEX($E$99:$E$202,INT((ROW()-ROW($E$205))/5)+1)</f>
        <v>Spare 4</v>
      </c>
      <c r="G441" s="33" t="s">
        <v>109</v>
      </c>
      <c r="H441" s="33" t="s">
        <v>169</v>
      </c>
      <c r="AU441" s="140">
        <v>0</v>
      </c>
      <c r="AV441" s="23">
        <v>0</v>
      </c>
      <c r="AW441" s="23">
        <v>0</v>
      </c>
      <c r="AX441" s="23">
        <v>0</v>
      </c>
      <c r="AY441" s="194">
        <v>0</v>
      </c>
      <c r="BA441" s="34" t="str">
        <f t="shared" ca="1" si="54"/>
        <v>Southern</v>
      </c>
      <c r="BB441" s="34" t="str">
        <f t="shared" si="55"/>
        <v>Fixed Inputs</v>
      </c>
      <c r="BC441" s="34" t="str">
        <f t="shared" si="60"/>
        <v>Variant allowances</v>
      </c>
      <c r="BD441" s="34" t="str">
        <f t="shared" si="57"/>
        <v>Totex variant allowances allocation percentages</v>
      </c>
    </row>
    <row r="442" spans="5:56" x14ac:dyDescent="0.35">
      <c r="E442" s="193" t="str" cm="1">
        <f t="array" ref="E442">INDEX($E$99:$E$202,INT((ROW()-ROW($E$205))/5)+1)</f>
        <v>Spare 4</v>
      </c>
      <c r="G442" s="33" t="s">
        <v>109</v>
      </c>
      <c r="H442" s="33" t="s">
        <v>170</v>
      </c>
      <c r="AU442" s="140">
        <v>0</v>
      </c>
      <c r="AV442" s="23">
        <v>0</v>
      </c>
      <c r="AW442" s="23">
        <v>0</v>
      </c>
      <c r="AX442" s="23">
        <v>0</v>
      </c>
      <c r="AY442" s="194">
        <v>0</v>
      </c>
      <c r="BA442" s="34" t="str">
        <f t="shared" ca="1" si="54"/>
        <v>Southern</v>
      </c>
      <c r="BB442" s="34" t="str">
        <f t="shared" si="55"/>
        <v>Fixed Inputs</v>
      </c>
      <c r="BC442" s="34" t="str">
        <f t="shared" si="60"/>
        <v>Variant allowances</v>
      </c>
      <c r="BD442" s="34" t="str">
        <f t="shared" si="57"/>
        <v>Totex variant allowances allocation percentages</v>
      </c>
    </row>
    <row r="443" spans="5:56" x14ac:dyDescent="0.35">
      <c r="E443" s="193" t="str" cm="1">
        <f t="array" ref="E443">INDEX($E$99:$E$202,INT((ROW()-ROW($E$205))/5)+1)</f>
        <v>Spare 4</v>
      </c>
      <c r="G443" s="33" t="s">
        <v>109</v>
      </c>
      <c r="H443" s="33" t="s">
        <v>171</v>
      </c>
      <c r="AU443" s="140">
        <v>0</v>
      </c>
      <c r="AV443" s="23">
        <v>0</v>
      </c>
      <c r="AW443" s="23">
        <v>0</v>
      </c>
      <c r="AX443" s="23">
        <v>0</v>
      </c>
      <c r="AY443" s="194">
        <v>0</v>
      </c>
      <c r="BA443" s="34" t="str">
        <f t="shared" ca="1" si="54"/>
        <v>Southern</v>
      </c>
      <c r="BB443" s="34" t="str">
        <f t="shared" si="55"/>
        <v>Fixed Inputs</v>
      </c>
      <c r="BC443" s="34" t="str">
        <f t="shared" si="60"/>
        <v>Variant allowances</v>
      </c>
      <c r="BD443" s="34" t="str">
        <f t="shared" si="57"/>
        <v>Totex variant allowances allocation percentages</v>
      </c>
    </row>
    <row r="444" spans="5:56" x14ac:dyDescent="0.35">
      <c r="E444" s="195" t="str" cm="1">
        <f t="array" ref="E444">INDEX($E$99:$E$202,INT((ROW()-ROW($E$205))/5)+1)</f>
        <v>Spare 4</v>
      </c>
      <c r="F444" s="196"/>
      <c r="G444" s="196" t="s">
        <v>109</v>
      </c>
      <c r="H444" s="196" t="s">
        <v>172</v>
      </c>
      <c r="I444" s="196"/>
      <c r="J444" s="196"/>
      <c r="K444" s="196"/>
      <c r="L444" s="196"/>
      <c r="M444" s="196"/>
      <c r="N444" s="196"/>
      <c r="O444" s="196"/>
      <c r="P444" s="196"/>
      <c r="Q444" s="196"/>
      <c r="R444" s="196"/>
      <c r="S444" s="196"/>
      <c r="T444" s="196"/>
      <c r="U444" s="196"/>
      <c r="V444" s="196"/>
      <c r="W444" s="196"/>
      <c r="X444" s="196"/>
      <c r="Y444" s="196"/>
      <c r="Z444" s="196"/>
      <c r="AA444" s="196"/>
      <c r="AB444" s="196"/>
      <c r="AC444" s="196"/>
      <c r="AD444" s="196"/>
      <c r="AE444" s="196"/>
      <c r="AF444" s="196"/>
      <c r="AG444" s="196"/>
      <c r="AH444" s="196"/>
      <c r="AI444" s="196"/>
      <c r="AJ444" s="196"/>
      <c r="AK444" s="196"/>
      <c r="AL444" s="196"/>
      <c r="AM444" s="196"/>
      <c r="AN444" s="196"/>
      <c r="AO444" s="196"/>
      <c r="AP444" s="196"/>
      <c r="AQ444" s="196"/>
      <c r="AR444" s="196"/>
      <c r="AS444" s="196"/>
      <c r="AT444" s="208"/>
      <c r="AU444" s="198">
        <v>0</v>
      </c>
      <c r="AV444" s="199">
        <v>0</v>
      </c>
      <c r="AW444" s="199">
        <v>0</v>
      </c>
      <c r="AX444" s="199">
        <v>0</v>
      </c>
      <c r="AY444" s="200">
        <v>0</v>
      </c>
      <c r="BA444" s="34" t="str">
        <f t="shared" ca="1" si="54"/>
        <v>Southern</v>
      </c>
      <c r="BB444" s="34" t="str">
        <f t="shared" si="55"/>
        <v>Fixed Inputs</v>
      </c>
      <c r="BC444" s="34" t="str">
        <f t="shared" si="60"/>
        <v>Variant allowances</v>
      </c>
      <c r="BD444" s="34" t="str">
        <f t="shared" si="57"/>
        <v>Totex variant allowances allocation percentages</v>
      </c>
    </row>
    <row r="445" spans="5:56" x14ac:dyDescent="0.35">
      <c r="E445" s="187" t="str" cm="1">
        <f t="array" ref="E445">INDEX($E$99:$E$202,INT((ROW()-ROW($E$205))/5)+1)</f>
        <v>Spare 5</v>
      </c>
      <c r="F445" s="188"/>
      <c r="G445" s="188" t="s">
        <v>109</v>
      </c>
      <c r="H445" s="188" t="s">
        <v>168</v>
      </c>
      <c r="I445" s="188"/>
      <c r="J445" s="188"/>
      <c r="K445" s="188"/>
      <c r="L445" s="188"/>
      <c r="M445" s="188"/>
      <c r="N445" s="188"/>
      <c r="O445" s="188"/>
      <c r="P445" s="188"/>
      <c r="Q445" s="188"/>
      <c r="R445" s="188"/>
      <c r="S445" s="188"/>
      <c r="T445" s="188"/>
      <c r="U445" s="188"/>
      <c r="V445" s="188"/>
      <c r="W445" s="188"/>
      <c r="X445" s="188"/>
      <c r="Y445" s="188"/>
      <c r="Z445" s="188"/>
      <c r="AA445" s="188"/>
      <c r="AB445" s="188"/>
      <c r="AC445" s="188"/>
      <c r="AD445" s="188"/>
      <c r="AE445" s="188"/>
      <c r="AF445" s="188"/>
      <c r="AG445" s="188"/>
      <c r="AH445" s="188"/>
      <c r="AI445" s="188"/>
      <c r="AJ445" s="188"/>
      <c r="AK445" s="188"/>
      <c r="AL445" s="188"/>
      <c r="AM445" s="188"/>
      <c r="AN445" s="188"/>
      <c r="AO445" s="188"/>
      <c r="AP445" s="188"/>
      <c r="AQ445" s="188"/>
      <c r="AR445" s="188"/>
      <c r="AS445" s="188"/>
      <c r="AT445" s="202"/>
      <c r="AU445" s="190">
        <v>0</v>
      </c>
      <c r="AV445" s="191">
        <v>0</v>
      </c>
      <c r="AW445" s="191">
        <v>0</v>
      </c>
      <c r="AX445" s="191">
        <v>0</v>
      </c>
      <c r="AY445" s="192">
        <v>0</v>
      </c>
      <c r="BA445" s="34" t="str">
        <f t="shared" ca="1" si="54"/>
        <v>Southern</v>
      </c>
      <c r="BB445" s="34" t="str">
        <f t="shared" si="55"/>
        <v>Fixed Inputs</v>
      </c>
      <c r="BC445" s="34" t="str">
        <f t="shared" si="60"/>
        <v>Variant allowances</v>
      </c>
      <c r="BD445" s="34" t="str">
        <f t="shared" si="57"/>
        <v>Totex variant allowances allocation percentages</v>
      </c>
    </row>
    <row r="446" spans="5:56" x14ac:dyDescent="0.35">
      <c r="E446" s="193" t="str" cm="1">
        <f t="array" ref="E446">INDEX($E$99:$E$202,INT((ROW()-ROW($E$205))/5)+1)</f>
        <v>Spare 5</v>
      </c>
      <c r="G446" s="33" t="s">
        <v>109</v>
      </c>
      <c r="H446" s="33" t="s">
        <v>169</v>
      </c>
      <c r="AU446" s="140">
        <v>0</v>
      </c>
      <c r="AV446" s="23">
        <v>0</v>
      </c>
      <c r="AW446" s="23">
        <v>0</v>
      </c>
      <c r="AX446" s="23">
        <v>0</v>
      </c>
      <c r="AY446" s="194">
        <v>0</v>
      </c>
      <c r="BA446" s="34" t="str">
        <f t="shared" ca="1" si="54"/>
        <v>Southern</v>
      </c>
      <c r="BB446" s="34" t="str">
        <f t="shared" si="55"/>
        <v>Fixed Inputs</v>
      </c>
      <c r="BC446" s="34" t="str">
        <f t="shared" si="60"/>
        <v>Variant allowances</v>
      </c>
      <c r="BD446" s="34" t="str">
        <f t="shared" si="57"/>
        <v>Totex variant allowances allocation percentages</v>
      </c>
    </row>
    <row r="447" spans="5:56" x14ac:dyDescent="0.35">
      <c r="E447" s="193" t="str" cm="1">
        <f t="array" ref="E447">INDEX($E$99:$E$202,INT((ROW()-ROW($E$205))/5)+1)</f>
        <v>Spare 5</v>
      </c>
      <c r="G447" s="33" t="s">
        <v>109</v>
      </c>
      <c r="H447" s="33" t="s">
        <v>170</v>
      </c>
      <c r="AU447" s="140">
        <v>0</v>
      </c>
      <c r="AV447" s="23">
        <v>0</v>
      </c>
      <c r="AW447" s="23">
        <v>0</v>
      </c>
      <c r="AX447" s="23">
        <v>0</v>
      </c>
      <c r="AY447" s="194">
        <v>0</v>
      </c>
      <c r="BA447" s="34" t="str">
        <f t="shared" ca="1" si="54"/>
        <v>Southern</v>
      </c>
      <c r="BB447" s="34" t="str">
        <f t="shared" si="55"/>
        <v>Fixed Inputs</v>
      </c>
      <c r="BC447" s="34" t="str">
        <f t="shared" si="60"/>
        <v>Variant allowances</v>
      </c>
      <c r="BD447" s="34" t="str">
        <f t="shared" si="57"/>
        <v>Totex variant allowances allocation percentages</v>
      </c>
    </row>
    <row r="448" spans="5:56" x14ac:dyDescent="0.35">
      <c r="E448" s="193" t="str" cm="1">
        <f t="array" ref="E448">INDEX($E$99:$E$202,INT((ROW()-ROW($E$205))/5)+1)</f>
        <v>Spare 5</v>
      </c>
      <c r="G448" s="33" t="s">
        <v>109</v>
      </c>
      <c r="H448" s="33" t="s">
        <v>171</v>
      </c>
      <c r="AU448" s="140">
        <v>0</v>
      </c>
      <c r="AV448" s="23">
        <v>0</v>
      </c>
      <c r="AW448" s="23">
        <v>0</v>
      </c>
      <c r="AX448" s="23">
        <v>0</v>
      </c>
      <c r="AY448" s="194">
        <v>0</v>
      </c>
      <c r="BA448" s="34" t="str">
        <f t="shared" ca="1" si="54"/>
        <v>Southern</v>
      </c>
      <c r="BB448" s="34" t="str">
        <f t="shared" si="55"/>
        <v>Fixed Inputs</v>
      </c>
      <c r="BC448" s="34" t="str">
        <f t="shared" si="60"/>
        <v>Variant allowances</v>
      </c>
      <c r="BD448" s="34" t="str">
        <f t="shared" si="57"/>
        <v>Totex variant allowances allocation percentages</v>
      </c>
    </row>
    <row r="449" spans="2:56" x14ac:dyDescent="0.35">
      <c r="E449" s="195" t="str" cm="1">
        <f t="array" ref="E449">INDEX($E$99:$E$202,INT((ROW()-ROW($E$205))/5)+1)</f>
        <v>Spare 5</v>
      </c>
      <c r="F449" s="196"/>
      <c r="G449" s="196" t="s">
        <v>109</v>
      </c>
      <c r="H449" s="196" t="s">
        <v>172</v>
      </c>
      <c r="I449" s="196"/>
      <c r="J449" s="196"/>
      <c r="K449" s="196"/>
      <c r="L449" s="196"/>
      <c r="M449" s="196"/>
      <c r="N449" s="196"/>
      <c r="O449" s="196"/>
      <c r="P449" s="196"/>
      <c r="Q449" s="196"/>
      <c r="R449" s="196"/>
      <c r="S449" s="196"/>
      <c r="T449" s="196"/>
      <c r="U449" s="196"/>
      <c r="V449" s="196"/>
      <c r="W449" s="196"/>
      <c r="X449" s="196"/>
      <c r="Y449" s="196"/>
      <c r="Z449" s="196"/>
      <c r="AA449" s="196"/>
      <c r="AB449" s="196"/>
      <c r="AC449" s="196"/>
      <c r="AD449" s="196"/>
      <c r="AE449" s="196"/>
      <c r="AF449" s="196"/>
      <c r="AG449" s="196"/>
      <c r="AH449" s="196"/>
      <c r="AI449" s="196"/>
      <c r="AJ449" s="196"/>
      <c r="AK449" s="196"/>
      <c r="AL449" s="196"/>
      <c r="AM449" s="196"/>
      <c r="AN449" s="196"/>
      <c r="AO449" s="196"/>
      <c r="AP449" s="196"/>
      <c r="AQ449" s="196"/>
      <c r="AR449" s="196"/>
      <c r="AS449" s="196"/>
      <c r="AT449" s="208"/>
      <c r="AU449" s="198">
        <v>0</v>
      </c>
      <c r="AV449" s="199">
        <v>0</v>
      </c>
      <c r="AW449" s="199">
        <v>0</v>
      </c>
      <c r="AX449" s="199">
        <v>0</v>
      </c>
      <c r="AY449" s="200">
        <v>0</v>
      </c>
      <c r="BA449" s="34" t="str">
        <f t="shared" ca="1" si="54"/>
        <v>Southern</v>
      </c>
      <c r="BB449" s="34" t="str">
        <f t="shared" si="55"/>
        <v>Fixed Inputs</v>
      </c>
      <c r="BC449" s="34" t="str">
        <f t="shared" si="60"/>
        <v>Variant allowances</v>
      </c>
      <c r="BD449" s="34" t="str">
        <f t="shared" si="57"/>
        <v>Totex variant allowances allocation percentages</v>
      </c>
    </row>
    <row r="450" spans="2:56" x14ac:dyDescent="0.35">
      <c r="E450" s="187" t="str" cm="1">
        <f t="array" ref="E450">INDEX($E$99:$E$202,INT((ROW()-ROW($E$205))/5)+1)</f>
        <v>Spare 6</v>
      </c>
      <c r="F450" s="188"/>
      <c r="G450" s="188" t="s">
        <v>109</v>
      </c>
      <c r="H450" s="188" t="s">
        <v>168</v>
      </c>
      <c r="I450" s="188"/>
      <c r="J450" s="188"/>
      <c r="K450" s="188"/>
      <c r="L450" s="188"/>
      <c r="M450" s="188"/>
      <c r="N450" s="188"/>
      <c r="O450" s="188"/>
      <c r="P450" s="188"/>
      <c r="Q450" s="188"/>
      <c r="R450" s="188"/>
      <c r="S450" s="188"/>
      <c r="T450" s="188"/>
      <c r="U450" s="188"/>
      <c r="V450" s="188"/>
      <c r="W450" s="188"/>
      <c r="X450" s="188"/>
      <c r="Y450" s="188"/>
      <c r="Z450" s="188"/>
      <c r="AA450" s="188"/>
      <c r="AB450" s="188"/>
      <c r="AC450" s="188"/>
      <c r="AD450" s="188"/>
      <c r="AE450" s="188"/>
      <c r="AF450" s="188"/>
      <c r="AG450" s="188"/>
      <c r="AH450" s="188"/>
      <c r="AI450" s="188"/>
      <c r="AJ450" s="188"/>
      <c r="AK450" s="188"/>
      <c r="AL450" s="188"/>
      <c r="AM450" s="188"/>
      <c r="AN450" s="188"/>
      <c r="AO450" s="188"/>
      <c r="AP450" s="188"/>
      <c r="AQ450" s="188"/>
      <c r="AR450" s="188"/>
      <c r="AS450" s="188"/>
      <c r="AT450" s="202"/>
      <c r="AU450" s="190">
        <v>0</v>
      </c>
      <c r="AV450" s="191">
        <v>0</v>
      </c>
      <c r="AW450" s="191">
        <v>0</v>
      </c>
      <c r="AX450" s="191">
        <v>0</v>
      </c>
      <c r="AY450" s="192">
        <v>0</v>
      </c>
      <c r="BA450" s="34" t="str">
        <f t="shared" ca="1" si="54"/>
        <v>Southern</v>
      </c>
      <c r="BB450" s="34" t="str">
        <f t="shared" si="55"/>
        <v>Fixed Inputs</v>
      </c>
      <c r="BC450" s="34" t="str">
        <f t="shared" si="60"/>
        <v>Variant allowances</v>
      </c>
      <c r="BD450" s="34" t="str">
        <f t="shared" si="57"/>
        <v>Totex variant allowances allocation percentages</v>
      </c>
    </row>
    <row r="451" spans="2:56" x14ac:dyDescent="0.35">
      <c r="E451" s="193" t="str" cm="1">
        <f t="array" ref="E451">INDEX($E$99:$E$202,INT((ROW()-ROW($E$205))/5)+1)</f>
        <v>Spare 6</v>
      </c>
      <c r="G451" s="33" t="s">
        <v>109</v>
      </c>
      <c r="H451" s="33" t="s">
        <v>169</v>
      </c>
      <c r="AU451" s="140">
        <v>0</v>
      </c>
      <c r="AV451" s="23">
        <v>0</v>
      </c>
      <c r="AW451" s="23">
        <v>0</v>
      </c>
      <c r="AX451" s="23">
        <v>0</v>
      </c>
      <c r="AY451" s="194">
        <v>0</v>
      </c>
      <c r="BA451" s="34" t="str">
        <f t="shared" ca="1" si="54"/>
        <v>Southern</v>
      </c>
      <c r="BB451" s="34" t="str">
        <f t="shared" si="55"/>
        <v>Fixed Inputs</v>
      </c>
      <c r="BC451" s="34" t="str">
        <f t="shared" si="60"/>
        <v>Variant allowances</v>
      </c>
      <c r="BD451" s="34" t="str">
        <f t="shared" si="57"/>
        <v>Totex variant allowances allocation percentages</v>
      </c>
    </row>
    <row r="452" spans="2:56" x14ac:dyDescent="0.35">
      <c r="E452" s="193" t="str" cm="1">
        <f t="array" ref="E452">INDEX($E$99:$E$202,INT((ROW()-ROW($E$205))/5)+1)</f>
        <v>Spare 6</v>
      </c>
      <c r="G452" s="33" t="s">
        <v>109</v>
      </c>
      <c r="H452" s="33" t="s">
        <v>170</v>
      </c>
      <c r="AU452" s="140">
        <v>0</v>
      </c>
      <c r="AV452" s="23">
        <v>0</v>
      </c>
      <c r="AW452" s="23">
        <v>0</v>
      </c>
      <c r="AX452" s="23">
        <v>0</v>
      </c>
      <c r="AY452" s="194">
        <v>0</v>
      </c>
      <c r="BA452" s="34" t="str">
        <f t="shared" ca="1" si="54"/>
        <v>Southern</v>
      </c>
      <c r="BB452" s="34" t="str">
        <f t="shared" si="55"/>
        <v>Fixed Inputs</v>
      </c>
      <c r="BC452" s="34" t="str">
        <f t="shared" si="60"/>
        <v>Variant allowances</v>
      </c>
      <c r="BD452" s="34" t="str">
        <f t="shared" si="57"/>
        <v>Totex variant allowances allocation percentages</v>
      </c>
    </row>
    <row r="453" spans="2:56" x14ac:dyDescent="0.35">
      <c r="E453" s="193" t="str" cm="1">
        <f t="array" ref="E453">INDEX($E$99:$E$202,INT((ROW()-ROW($E$205))/5)+1)</f>
        <v>Spare 6</v>
      </c>
      <c r="G453" s="33" t="s">
        <v>109</v>
      </c>
      <c r="H453" s="33" t="s">
        <v>171</v>
      </c>
      <c r="AU453" s="140">
        <v>0</v>
      </c>
      <c r="AV453" s="23">
        <v>0</v>
      </c>
      <c r="AW453" s="23">
        <v>0</v>
      </c>
      <c r="AX453" s="23">
        <v>0</v>
      </c>
      <c r="AY453" s="194">
        <v>0</v>
      </c>
      <c r="BA453" s="34" t="str">
        <f t="shared" ca="1" si="54"/>
        <v>Southern</v>
      </c>
      <c r="BB453" s="34" t="str">
        <f t="shared" si="55"/>
        <v>Fixed Inputs</v>
      </c>
      <c r="BC453" s="34" t="str">
        <f t="shared" si="60"/>
        <v>Variant allowances</v>
      </c>
      <c r="BD453" s="34" t="str">
        <f t="shared" si="57"/>
        <v>Totex variant allowances allocation percentages</v>
      </c>
    </row>
    <row r="454" spans="2:56" x14ac:dyDescent="0.35">
      <c r="E454" s="195" t="str" cm="1">
        <f t="array" ref="E454">INDEX($E$99:$E$202,INT((ROW()-ROW($E$205))/5)+1)</f>
        <v>Spare 6</v>
      </c>
      <c r="F454" s="196"/>
      <c r="G454" s="196" t="s">
        <v>109</v>
      </c>
      <c r="H454" s="196" t="s">
        <v>172</v>
      </c>
      <c r="I454" s="196"/>
      <c r="J454" s="196"/>
      <c r="K454" s="196"/>
      <c r="L454" s="196"/>
      <c r="M454" s="196"/>
      <c r="N454" s="196"/>
      <c r="O454" s="196"/>
      <c r="P454" s="196"/>
      <c r="Q454" s="196"/>
      <c r="R454" s="196"/>
      <c r="S454" s="196"/>
      <c r="T454" s="196"/>
      <c r="U454" s="196"/>
      <c r="V454" s="196"/>
      <c r="W454" s="196"/>
      <c r="X454" s="196"/>
      <c r="Y454" s="196"/>
      <c r="Z454" s="196"/>
      <c r="AA454" s="196"/>
      <c r="AB454" s="196"/>
      <c r="AC454" s="196"/>
      <c r="AD454" s="196"/>
      <c r="AE454" s="196"/>
      <c r="AF454" s="196"/>
      <c r="AG454" s="196"/>
      <c r="AH454" s="196"/>
      <c r="AI454" s="196"/>
      <c r="AJ454" s="196"/>
      <c r="AK454" s="196"/>
      <c r="AL454" s="196"/>
      <c r="AM454" s="196"/>
      <c r="AN454" s="196"/>
      <c r="AO454" s="196"/>
      <c r="AP454" s="196"/>
      <c r="AQ454" s="196"/>
      <c r="AR454" s="196"/>
      <c r="AS454" s="196"/>
      <c r="AT454" s="208"/>
      <c r="AU454" s="198">
        <v>0</v>
      </c>
      <c r="AV454" s="199">
        <v>0</v>
      </c>
      <c r="AW454" s="199">
        <v>0</v>
      </c>
      <c r="AX454" s="199">
        <v>0</v>
      </c>
      <c r="AY454" s="200">
        <v>0</v>
      </c>
      <c r="BA454" s="34" t="str">
        <f t="shared" ca="1" si="54"/>
        <v>Southern</v>
      </c>
      <c r="BB454" s="34" t="str">
        <f t="shared" si="55"/>
        <v>Fixed Inputs</v>
      </c>
      <c r="BC454" s="34" t="str">
        <f t="shared" si="60"/>
        <v>Variant allowances</v>
      </c>
      <c r="BD454" s="34" t="str">
        <f t="shared" si="57"/>
        <v>Totex variant allowances allocation percentages</v>
      </c>
    </row>
    <row r="455" spans="2:56" x14ac:dyDescent="0.35">
      <c r="AU455"/>
      <c r="AV455"/>
      <c r="AW455"/>
      <c r="AX455"/>
      <c r="AY455"/>
    </row>
    <row r="456" spans="2:56" ht="17.5" thickBot="1" x14ac:dyDescent="0.4">
      <c r="B456" s="8" t="s">
        <v>174</v>
      </c>
    </row>
    <row r="457" spans="2:56" ht="17" thickTop="1" thickBot="1" x14ac:dyDescent="0.4">
      <c r="C457" s="9" t="s">
        <v>175</v>
      </c>
    </row>
    <row r="458" spans="2:56" x14ac:dyDescent="0.35">
      <c r="E458" s="33" t="s">
        <v>176</v>
      </c>
      <c r="G458" s="33" t="str">
        <f>price_label</f>
        <v>£m 23/24 prices</v>
      </c>
      <c r="AU458" s="139">
        <v>6.0725854545707865</v>
      </c>
      <c r="AV458" s="22">
        <v>4.937406625971577</v>
      </c>
      <c r="AW458" s="22">
        <v>3.9742391685425158</v>
      </c>
      <c r="AX458" s="22">
        <v>3.7780692580949968</v>
      </c>
      <c r="AY458" s="22">
        <v>3.7600663756028858</v>
      </c>
      <c r="BA458" s="34" t="str">
        <f t="shared" ref="BA458:BA462" ca="1" si="61">$A$1</f>
        <v>Southern</v>
      </c>
      <c r="BB458" s="34" t="str">
        <f t="shared" ref="BB458:BB462" si="62">$A$150</f>
        <v>Fixed Inputs</v>
      </c>
      <c r="BC458" s="34" t="str">
        <f>$B$456</f>
        <v>Totex allowance</v>
      </c>
      <c r="BD458" s="34" t="str">
        <f>$C$457</f>
        <v>Non-variant allowances</v>
      </c>
    </row>
    <row r="459" spans="2:56" x14ac:dyDescent="0.35">
      <c r="E459" s="33" t="s">
        <v>177</v>
      </c>
      <c r="G459" s="33" t="str">
        <f>price_label</f>
        <v>£m 23/24 prices</v>
      </c>
      <c r="AU459" s="139">
        <v>79.506202632425612</v>
      </c>
      <c r="AV459" s="22">
        <v>69.410685437430914</v>
      </c>
      <c r="AW459" s="22">
        <v>68.710117481507439</v>
      </c>
      <c r="AX459" s="22">
        <v>39.828015270340046</v>
      </c>
      <c r="AY459" s="22">
        <v>33.550048668394851</v>
      </c>
      <c r="BA459" s="34" t="str">
        <f t="shared" ca="1" si="61"/>
        <v>Southern</v>
      </c>
      <c r="BB459" s="34" t="str">
        <f t="shared" si="62"/>
        <v>Fixed Inputs</v>
      </c>
      <c r="BC459" s="34" t="str">
        <f t="shared" ref="BC459:BC462" si="63">$B$456</f>
        <v>Totex allowance</v>
      </c>
      <c r="BD459" s="34" t="str">
        <f t="shared" ref="BD459:BD462" si="64">$C$457</f>
        <v>Non-variant allowances</v>
      </c>
    </row>
    <row r="460" spans="2:56" x14ac:dyDescent="0.35">
      <c r="E460" s="33" t="s">
        <v>178</v>
      </c>
      <c r="G460" s="33" t="str">
        <f>price_label</f>
        <v>£m 23/24 prices</v>
      </c>
      <c r="AU460" s="139">
        <v>24.828667803103095</v>
      </c>
      <c r="AV460" s="22">
        <v>22.014985027703808</v>
      </c>
      <c r="AW460" s="22">
        <v>22.965122664624467</v>
      </c>
      <c r="AX460" s="22">
        <v>24.972757875407993</v>
      </c>
      <c r="AY460" s="22">
        <v>21.147720621012319</v>
      </c>
      <c r="BA460" s="34" t="str">
        <f t="shared" ca="1" si="61"/>
        <v>Southern</v>
      </c>
      <c r="BB460" s="34" t="str">
        <f t="shared" si="62"/>
        <v>Fixed Inputs</v>
      </c>
      <c r="BC460" s="34" t="str">
        <f t="shared" si="63"/>
        <v>Totex allowance</v>
      </c>
      <c r="BD460" s="34" t="str">
        <f t="shared" si="64"/>
        <v>Non-variant allowances</v>
      </c>
    </row>
    <row r="461" spans="2:56" x14ac:dyDescent="0.35">
      <c r="E461" s="33" t="s">
        <v>179</v>
      </c>
      <c r="G461" s="33" t="str">
        <f>price_label</f>
        <v>£m 23/24 prices</v>
      </c>
      <c r="AU461" s="139">
        <v>158.01340126799406</v>
      </c>
      <c r="AV461" s="22">
        <v>153.63842995425495</v>
      </c>
      <c r="AW461" s="22">
        <v>152.95876564857687</v>
      </c>
      <c r="AX461" s="22">
        <v>149.19738425560087</v>
      </c>
      <c r="AY461" s="22">
        <v>144.70798987164625</v>
      </c>
      <c r="BA461" s="34" t="str">
        <f t="shared" ca="1" si="61"/>
        <v>Southern</v>
      </c>
      <c r="BB461" s="34" t="str">
        <f t="shared" si="62"/>
        <v>Fixed Inputs</v>
      </c>
      <c r="BC461" s="34" t="str">
        <f t="shared" si="63"/>
        <v>Totex allowance</v>
      </c>
      <c r="BD461" s="34" t="str">
        <f t="shared" si="64"/>
        <v>Non-variant allowances</v>
      </c>
    </row>
    <row r="462" spans="2:56" x14ac:dyDescent="0.35">
      <c r="E462" s="33" t="s">
        <v>180</v>
      </c>
      <c r="G462" s="33" t="str">
        <f>price_label</f>
        <v>£m 23/24 prices</v>
      </c>
      <c r="AU462" s="139">
        <v>-5.3977412393538771</v>
      </c>
      <c r="AV462" s="22">
        <v>-5.097180219365498</v>
      </c>
      <c r="AW462" s="22">
        <v>-5.0894968813124706</v>
      </c>
      <c r="AX462" s="22">
        <v>-4.9519074198437352</v>
      </c>
      <c r="AY462" s="22">
        <v>-4.9043621845264624</v>
      </c>
      <c r="BA462" s="34" t="str">
        <f t="shared" ca="1" si="61"/>
        <v>Southern</v>
      </c>
      <c r="BB462" s="34" t="str">
        <f t="shared" si="62"/>
        <v>Fixed Inputs</v>
      </c>
      <c r="BC462" s="34" t="str">
        <f t="shared" si="63"/>
        <v>Totex allowance</v>
      </c>
      <c r="BD462" s="34" t="str">
        <f t="shared" si="64"/>
        <v>Non-variant allowances</v>
      </c>
    </row>
    <row r="463" spans="2:56" x14ac:dyDescent="0.35"/>
    <row r="464" spans="2:56" ht="17.5" thickBot="1" x14ac:dyDescent="0.4">
      <c r="B464" s="8" t="s">
        <v>49</v>
      </c>
    </row>
    <row r="465" spans="2:56" ht="16.5" thickTop="1" x14ac:dyDescent="0.35">
      <c r="E465" s="33" t="s">
        <v>409</v>
      </c>
      <c r="G465" s="33" t="str">
        <f>price_label</f>
        <v>£m 23/24 prices</v>
      </c>
      <c r="H465" s="33" t="s">
        <v>181</v>
      </c>
      <c r="AU465" s="139">
        <v>-1.8129999999999999</v>
      </c>
      <c r="AV465" s="22">
        <v>-1.823</v>
      </c>
      <c r="AW465" s="22">
        <v>-1.8280000000000001</v>
      </c>
      <c r="AX465" s="22">
        <v>-1.8220000000000001</v>
      </c>
      <c r="AY465" s="22">
        <v>-1.8049999999999999</v>
      </c>
      <c r="BA465" s="34" t="str">
        <f t="shared" ref="BA465" ca="1" si="65">$A$1</f>
        <v>Southern</v>
      </c>
      <c r="BB465" s="34" t="str">
        <f>$A$150</f>
        <v>Fixed Inputs</v>
      </c>
      <c r="BC465" s="34" t="str">
        <f>$B$464</f>
        <v>Incentive revenue</v>
      </c>
    </row>
    <row r="466" spans="2:56" x14ac:dyDescent="0.35"/>
    <row r="467" spans="2:56" ht="17.5" thickBot="1" x14ac:dyDescent="0.4">
      <c r="B467" s="8" t="s">
        <v>843</v>
      </c>
    </row>
    <row r="468" spans="2:56" ht="16.5" thickTop="1" x14ac:dyDescent="0.35">
      <c r="E468" s="33" t="s">
        <v>183</v>
      </c>
      <c r="G468" s="33" t="str">
        <f>price_label</f>
        <v>£m 23/24 prices</v>
      </c>
      <c r="AU468" s="139">
        <v>3.1832688229478294</v>
      </c>
      <c r="AV468" s="22">
        <v>3.2804270389092456</v>
      </c>
      <c r="AW468" s="22">
        <v>3.3774195853350393</v>
      </c>
      <c r="AX468" s="22">
        <v>3.405715606814784</v>
      </c>
      <c r="AY468" s="22">
        <v>3.4437287573712507</v>
      </c>
      <c r="BA468" s="34" t="str">
        <f t="shared" ref="BA468:BA553" ca="1" si="66">$A$1</f>
        <v>Southern</v>
      </c>
      <c r="BB468" s="34" t="str">
        <f>$A$150</f>
        <v>Fixed Inputs</v>
      </c>
      <c r="BC468" s="34" t="str">
        <f>$B$467</f>
        <v>Tax trigger</v>
      </c>
    </row>
    <row r="469" spans="2:56" customFormat="1" ht="14.5" x14ac:dyDescent="0.35">
      <c r="AT469" s="61"/>
    </row>
    <row r="470" spans="2:56" ht="17.5" thickBot="1" x14ac:dyDescent="0.4">
      <c r="B470" s="8" t="s">
        <v>187</v>
      </c>
    </row>
    <row r="471" spans="2:56" ht="17" thickTop="1" thickBot="1" x14ac:dyDescent="0.4">
      <c r="C471" s="9" t="s">
        <v>188</v>
      </c>
    </row>
    <row r="472" spans="2:56" x14ac:dyDescent="0.35">
      <c r="E472" s="33" t="s">
        <v>412</v>
      </c>
      <c r="G472" s="33" t="str">
        <f>price_label</f>
        <v>£m 23/24 prices</v>
      </c>
      <c r="J472" s="33" t="s">
        <v>13</v>
      </c>
      <c r="AH472" s="22">
        <v>3737.5879954581696</v>
      </c>
      <c r="BA472" s="34" t="str">
        <f t="shared" ref="BA472:BA478" ca="1" si="67">$A$1</f>
        <v>Southern</v>
      </c>
      <c r="BB472" s="34" t="str">
        <f t="shared" ref="BB472:BB478" si="68">$A$150</f>
        <v>Fixed Inputs</v>
      </c>
      <c r="BC472" s="34" t="str">
        <f>$B$470</f>
        <v>RAV and assets</v>
      </c>
      <c r="BD472" s="34" t="str">
        <f>$C$471</f>
        <v>Pre-vesting assets</v>
      </c>
    </row>
    <row r="473" spans="2:56" x14ac:dyDescent="0.35">
      <c r="E473" s="33" t="s">
        <v>189</v>
      </c>
      <c r="G473" s="33" t="s">
        <v>190</v>
      </c>
      <c r="I473" s="24">
        <v>56</v>
      </c>
      <c r="BA473" s="34" t="str">
        <f t="shared" ca="1" si="67"/>
        <v>Southern</v>
      </c>
      <c r="BB473" s="34" t="str">
        <f t="shared" si="68"/>
        <v>Fixed Inputs</v>
      </c>
      <c r="BC473" s="34" t="str">
        <f t="shared" ref="BC473:BC478" si="69">$B$470</f>
        <v>RAV and assets</v>
      </c>
      <c r="BD473" s="34" t="str">
        <f t="shared" ref="BD473:BD478" si="70">$C$471</f>
        <v>Pre-vesting assets</v>
      </c>
    </row>
    <row r="474" spans="2:56" x14ac:dyDescent="0.35">
      <c r="E474" s="33" t="s">
        <v>191</v>
      </c>
      <c r="G474" s="33" t="str">
        <f>price_label</f>
        <v>£m 23/24 prices</v>
      </c>
      <c r="AH474" s="22">
        <v>0.4928139879538852</v>
      </c>
      <c r="AI474" s="22">
        <v>-0.32704485562675989</v>
      </c>
      <c r="AJ474" s="22">
        <v>0</v>
      </c>
      <c r="AK474" s="22">
        <v>0</v>
      </c>
      <c r="AL474" s="22">
        <v>0</v>
      </c>
      <c r="AM474" s="22">
        <v>0</v>
      </c>
      <c r="AN474" s="22">
        <v>0</v>
      </c>
      <c r="AO474" s="22">
        <v>0</v>
      </c>
      <c r="AP474" s="22"/>
      <c r="AQ474" s="22"/>
      <c r="AR474" s="22"/>
      <c r="AS474" s="22"/>
      <c r="AT474" s="63"/>
      <c r="AU474" s="139"/>
      <c r="AV474" s="22"/>
      <c r="AW474" s="22"/>
      <c r="AX474" s="22"/>
      <c r="AY474" s="22"/>
      <c r="BA474" s="34" t="str">
        <f t="shared" ca="1" si="67"/>
        <v>Southern</v>
      </c>
      <c r="BB474" s="34" t="str">
        <f t="shared" si="68"/>
        <v>Fixed Inputs</v>
      </c>
      <c r="BC474" s="34" t="str">
        <f t="shared" si="69"/>
        <v>RAV and assets</v>
      </c>
      <c r="BD474" s="34" t="str">
        <f t="shared" si="70"/>
        <v>Pre-vesting assets</v>
      </c>
    </row>
    <row r="475" spans="2:56" x14ac:dyDescent="0.35">
      <c r="E475" s="33" t="s">
        <v>272</v>
      </c>
      <c r="G475" s="33" t="s">
        <v>190</v>
      </c>
      <c r="AH475" s="24">
        <v>45</v>
      </c>
      <c r="AI475" s="24">
        <v>44</v>
      </c>
      <c r="AJ475" s="24">
        <v>43</v>
      </c>
      <c r="AK475" s="24">
        <v>42</v>
      </c>
      <c r="AL475" s="24">
        <v>41</v>
      </c>
      <c r="AM475" s="24">
        <v>40</v>
      </c>
      <c r="AN475" s="24">
        <v>39</v>
      </c>
      <c r="AO475" s="24">
        <v>38</v>
      </c>
      <c r="AP475" s="24">
        <v>37</v>
      </c>
      <c r="AQ475" s="24">
        <v>36</v>
      </c>
      <c r="AR475" s="24">
        <v>35</v>
      </c>
      <c r="AS475" s="24">
        <v>34</v>
      </c>
      <c r="AT475" s="64">
        <v>33</v>
      </c>
      <c r="AU475" s="142">
        <v>32</v>
      </c>
      <c r="AV475" s="24">
        <v>31</v>
      </c>
      <c r="AW475" s="24">
        <v>30</v>
      </c>
      <c r="AX475" s="24">
        <v>29</v>
      </c>
      <c r="AY475" s="24">
        <v>28</v>
      </c>
      <c r="BA475" s="34" t="str">
        <f t="shared" ca="1" si="67"/>
        <v>Southern</v>
      </c>
      <c r="BB475" s="34" t="str">
        <f t="shared" si="68"/>
        <v>Fixed Inputs</v>
      </c>
      <c r="BC475" s="34" t="str">
        <f t="shared" si="69"/>
        <v>RAV and assets</v>
      </c>
      <c r="BD475" s="34" t="str">
        <f t="shared" si="70"/>
        <v>Pre-vesting assets</v>
      </c>
    </row>
    <row r="476" spans="2:56" x14ac:dyDescent="0.35"/>
    <row r="477" spans="2:56" ht="16.5" thickBot="1" x14ac:dyDescent="0.4">
      <c r="C477" s="9" t="s">
        <v>192</v>
      </c>
    </row>
    <row r="478" spans="2:56" x14ac:dyDescent="0.35">
      <c r="E478" s="33" t="s">
        <v>558</v>
      </c>
      <c r="G478" s="33" t="str">
        <f>price_label</f>
        <v>£m 23/24 prices</v>
      </c>
      <c r="J478" s="33" t="s">
        <v>13</v>
      </c>
      <c r="AH478" s="22">
        <v>4664.014250542903</v>
      </c>
      <c r="AI478" s="22">
        <v>4655.5046936207518</v>
      </c>
      <c r="AJ478" s="22">
        <v>4681.2099875500826</v>
      </c>
      <c r="AK478" s="22">
        <v>4733.0690426719266</v>
      </c>
      <c r="AL478" s="22">
        <v>4792.3107944515732</v>
      </c>
      <c r="AM478" s="22">
        <v>4851.8168710233685</v>
      </c>
      <c r="AN478" s="22">
        <v>4874.2179251467542</v>
      </c>
      <c r="AO478" s="22">
        <v>4835.968938238736</v>
      </c>
      <c r="AP478" s="22">
        <v>4850.2148951211439</v>
      </c>
      <c r="AQ478" s="22">
        <v>4864.8337033664202</v>
      </c>
      <c r="AR478" s="22">
        <v>4892.3457968681396</v>
      </c>
      <c r="AS478" s="22">
        <v>4999.0712978729862</v>
      </c>
      <c r="AT478" s="63">
        <v>5085.9588459662027</v>
      </c>
      <c r="BA478" s="34" t="str">
        <f t="shared" ca="1" si="67"/>
        <v>Southern</v>
      </c>
      <c r="BB478" s="34" t="str">
        <f t="shared" si="68"/>
        <v>Fixed Inputs</v>
      </c>
      <c r="BC478" s="34" t="str">
        <f t="shared" si="69"/>
        <v>RAV and assets</v>
      </c>
      <c r="BD478" s="34" t="str">
        <f t="shared" si="70"/>
        <v>Pre-vesting assets</v>
      </c>
    </row>
    <row r="479" spans="2:56" x14ac:dyDescent="0.35"/>
    <row r="480" spans="2:56" x14ac:dyDescent="0.35">
      <c r="E480" s="33" t="s">
        <v>197</v>
      </c>
      <c r="G480" s="33" t="s">
        <v>190</v>
      </c>
      <c r="I480" s="24">
        <v>45</v>
      </c>
      <c r="BA480" s="34" t="str">
        <f t="shared" ref="BA480:BA488" ca="1" si="71">$A$1</f>
        <v>Southern</v>
      </c>
      <c r="BB480" s="34" t="str">
        <f t="shared" ref="BB480:BB488" si="72">$A$150</f>
        <v>Fixed Inputs</v>
      </c>
      <c r="BC480" s="34" t="str">
        <f t="shared" ref="BC480:BC488" si="73">$B$470</f>
        <v>RAV and assets</v>
      </c>
      <c r="BD480" s="34" t="str">
        <f t="shared" ref="BD480:BD484" si="74">$C$477</f>
        <v>Post-vesting assets</v>
      </c>
    </row>
    <row r="481" spans="3:56" x14ac:dyDescent="0.35">
      <c r="E481" s="33" t="s">
        <v>300</v>
      </c>
      <c r="G481" s="33" t="s">
        <v>109</v>
      </c>
      <c r="J481" s="33" t="s">
        <v>13</v>
      </c>
      <c r="AH481" s="23">
        <v>0.15</v>
      </c>
      <c r="AI481" s="23">
        <v>0.15</v>
      </c>
      <c r="AJ481" s="23">
        <v>2.5000000000000001E-2</v>
      </c>
      <c r="AK481" s="23">
        <v>0</v>
      </c>
      <c r="AL481" s="23">
        <v>0.05</v>
      </c>
      <c r="AM481" s="23">
        <v>0.125</v>
      </c>
      <c r="AN481" s="23">
        <v>0.2</v>
      </c>
      <c r="AO481" s="23">
        <v>0.3</v>
      </c>
      <c r="AP481"/>
      <c r="AQ481"/>
      <c r="AR481"/>
      <c r="AS481"/>
      <c r="AT481" s="61"/>
      <c r="AU481"/>
      <c r="AV481"/>
      <c r="AW481"/>
      <c r="AX481"/>
      <c r="AY481"/>
      <c r="BA481" s="34" t="str">
        <f t="shared" ca="1" si="71"/>
        <v>Southern</v>
      </c>
      <c r="BB481" s="34" t="str">
        <f t="shared" si="72"/>
        <v>Fixed Inputs</v>
      </c>
      <c r="BC481" s="34" t="str">
        <f t="shared" si="73"/>
        <v>RAV and assets</v>
      </c>
      <c r="BD481" s="34" t="str">
        <f t="shared" si="74"/>
        <v>Post-vesting assets</v>
      </c>
    </row>
    <row r="482" spans="3:56" x14ac:dyDescent="0.35">
      <c r="E482" s="33" t="s">
        <v>413</v>
      </c>
      <c r="G482" s="33" t="s">
        <v>193</v>
      </c>
      <c r="I482" s="25">
        <v>41729</v>
      </c>
      <c r="BA482" s="34" t="str">
        <f t="shared" ca="1" si="71"/>
        <v>Southern</v>
      </c>
      <c r="BB482" s="34" t="str">
        <f t="shared" si="72"/>
        <v>Fixed Inputs</v>
      </c>
      <c r="BC482" s="34" t="str">
        <f t="shared" si="73"/>
        <v>RAV and assets</v>
      </c>
      <c r="BD482" s="34" t="str">
        <f t="shared" si="74"/>
        <v>Post-vesting assets</v>
      </c>
    </row>
    <row r="483" spans="3:56" x14ac:dyDescent="0.35">
      <c r="E483" s="33" t="s">
        <v>194</v>
      </c>
      <c r="G483" s="33" t="str">
        <f>price_label</f>
        <v>£m 23/24 prices</v>
      </c>
      <c r="J483" s="33" t="s">
        <v>13</v>
      </c>
      <c r="W483" s="22">
        <v>129.17925259900616</v>
      </c>
      <c r="X483" s="22">
        <v>126.43853295404848</v>
      </c>
      <c r="Y483" s="22">
        <v>134.66069188892158</v>
      </c>
      <c r="Z483" s="22">
        <v>120.3134785541682</v>
      </c>
      <c r="AA483" s="22">
        <v>135.70282942910725</v>
      </c>
      <c r="AB483" s="22">
        <v>322.89862554452549</v>
      </c>
      <c r="AC483" s="22">
        <v>332.62860544562744</v>
      </c>
      <c r="AD483" s="22">
        <v>293.59549611512062</v>
      </c>
      <c r="AE483" s="22">
        <v>311.91027630599694</v>
      </c>
      <c r="AF483" s="22">
        <v>356.13732546354709</v>
      </c>
      <c r="AG483" s="22">
        <v>238.61138941335031</v>
      </c>
      <c r="BA483" s="34" t="str">
        <f t="shared" ca="1" si="71"/>
        <v>Southern</v>
      </c>
      <c r="BB483" s="34" t="str">
        <f t="shared" si="72"/>
        <v>Fixed Inputs</v>
      </c>
      <c r="BC483" s="34" t="str">
        <f t="shared" si="73"/>
        <v>RAV and assets</v>
      </c>
      <c r="BD483" s="34" t="str">
        <f t="shared" si="74"/>
        <v>Post-vesting assets</v>
      </c>
    </row>
    <row r="484" spans="3:56" x14ac:dyDescent="0.35">
      <c r="E484" s="33" t="s">
        <v>610</v>
      </c>
      <c r="G484" s="33" t="str">
        <f>price_label</f>
        <v>£m 23/24 prices</v>
      </c>
      <c r="AH484" s="22">
        <v>215.30811421261166</v>
      </c>
      <c r="AI484" s="22">
        <v>228.66453522045214</v>
      </c>
      <c r="AJ484" s="22">
        <v>244.72979610030296</v>
      </c>
      <c r="AK484" s="22">
        <v>271.63944504884864</v>
      </c>
      <c r="AL484" s="22">
        <v>294.78454616939359</v>
      </c>
      <c r="AM484" s="22">
        <v>316.2461258915892</v>
      </c>
      <c r="AN484" s="22">
        <v>300.98665454842501</v>
      </c>
      <c r="AO484" s="22">
        <v>265.90415282705061</v>
      </c>
      <c r="AP484" s="22">
        <v>267.09457671534074</v>
      </c>
      <c r="AQ484" s="22">
        <v>272.24969702784387</v>
      </c>
      <c r="AR484" s="22">
        <v>289.89132450671849</v>
      </c>
      <c r="AS484" s="22">
        <v>374.35705832843729</v>
      </c>
      <c r="AT484" s="63">
        <v>363.16376670879754</v>
      </c>
      <c r="AU484"/>
      <c r="AV484"/>
      <c r="AW484"/>
      <c r="AX484"/>
      <c r="AY484"/>
      <c r="BA484" s="34" t="str">
        <f t="shared" ca="1" si="71"/>
        <v>Southern</v>
      </c>
      <c r="BB484" s="34" t="str">
        <f t="shared" si="72"/>
        <v>Fixed Inputs</v>
      </c>
      <c r="BC484" s="34" t="str">
        <f t="shared" si="73"/>
        <v>RAV and assets</v>
      </c>
      <c r="BD484" s="34" t="str">
        <f t="shared" si="74"/>
        <v>Post-vesting assets</v>
      </c>
    </row>
    <row r="485" spans="3:56" customFormat="1" ht="14.5" x14ac:dyDescent="0.35">
      <c r="AT485" s="61"/>
    </row>
    <row r="486" spans="3:56" customFormat="1" ht="14.5" x14ac:dyDescent="0.35">
      <c r="E486" s="33" t="s">
        <v>550</v>
      </c>
      <c r="G486" t="s">
        <v>193</v>
      </c>
      <c r="I486" s="30">
        <v>54878</v>
      </c>
      <c r="AT486" s="61"/>
      <c r="BA486" s="34" t="str">
        <f t="shared" ca="1" si="71"/>
        <v>Southern</v>
      </c>
      <c r="BB486" s="34" t="str">
        <f t="shared" si="72"/>
        <v>Fixed Inputs</v>
      </c>
      <c r="BC486" s="34" t="str">
        <f t="shared" si="73"/>
        <v>RAV and assets</v>
      </c>
      <c r="BD486" s="34" t="str">
        <f>$C$477</f>
        <v>Post-vesting assets</v>
      </c>
    </row>
    <row r="487" spans="3:56" customFormat="1" ht="14.5" x14ac:dyDescent="0.35">
      <c r="E487" s="33" t="s">
        <v>551</v>
      </c>
      <c r="G487" t="s">
        <v>236</v>
      </c>
      <c r="J487" s="33"/>
      <c r="X487" s="31"/>
      <c r="Y487" s="31"/>
      <c r="Z487" s="31"/>
      <c r="AA487" s="31"/>
      <c r="AB487" s="31"/>
      <c r="AC487" s="31"/>
      <c r="AD487" s="31"/>
      <c r="AE487" s="31"/>
      <c r="AF487" s="31"/>
      <c r="AG487" s="31"/>
      <c r="AH487" s="31">
        <v>0</v>
      </c>
      <c r="AI487" s="31">
        <v>0</v>
      </c>
      <c r="AJ487" s="31">
        <v>0</v>
      </c>
      <c r="AK487" s="31">
        <v>0</v>
      </c>
      <c r="AL487" s="31">
        <v>0</v>
      </c>
      <c r="AM487" s="31">
        <v>0</v>
      </c>
      <c r="AN487" s="31">
        <v>0</v>
      </c>
      <c r="AO487" s="31">
        <v>0</v>
      </c>
      <c r="AP487" s="31">
        <v>0</v>
      </c>
      <c r="AQ487" s="31">
        <v>0</v>
      </c>
      <c r="AR487" s="31">
        <v>0</v>
      </c>
      <c r="AS487" s="31">
        <v>0</v>
      </c>
      <c r="AT487" s="67">
        <v>0</v>
      </c>
      <c r="AU487" s="143">
        <v>0</v>
      </c>
      <c r="AV487" s="31">
        <v>0</v>
      </c>
      <c r="AW487" s="31">
        <v>0</v>
      </c>
      <c r="AX487" s="31">
        <v>0</v>
      </c>
      <c r="AY487" s="31">
        <v>0</v>
      </c>
      <c r="BA487" s="34" t="str">
        <f t="shared" ca="1" si="71"/>
        <v>Southern</v>
      </c>
      <c r="BB487" s="34" t="str">
        <f t="shared" si="72"/>
        <v>Fixed Inputs</v>
      </c>
      <c r="BC487" s="34" t="str">
        <f t="shared" si="73"/>
        <v>RAV and assets</v>
      </c>
      <c r="BD487" s="34" t="str">
        <f>$C$477</f>
        <v>Post-vesting assets</v>
      </c>
    </row>
    <row r="488" spans="3:56" customFormat="1" ht="14.5" x14ac:dyDescent="0.35">
      <c r="E488" s="33" t="s">
        <v>490</v>
      </c>
      <c r="G488" t="s">
        <v>77</v>
      </c>
      <c r="J488" s="33"/>
      <c r="X488" s="31"/>
      <c r="Y488" s="31"/>
      <c r="Z488" s="31"/>
      <c r="AA488" s="31"/>
      <c r="AB488" s="31"/>
      <c r="AC488" s="31"/>
      <c r="AD488" s="31"/>
      <c r="AE488" s="31"/>
      <c r="AF488" s="31"/>
      <c r="AG488" s="31"/>
      <c r="AH488" s="31"/>
      <c r="AI488" s="31"/>
      <c r="AJ488" s="31"/>
      <c r="AK488" s="31"/>
      <c r="AL488" s="31"/>
      <c r="AM488" s="31"/>
      <c r="AN488" s="31"/>
      <c r="AO488" s="31"/>
      <c r="AP488" s="31"/>
      <c r="AQ488" s="31"/>
      <c r="AR488" s="31"/>
      <c r="AS488" s="31"/>
      <c r="AT488" s="67"/>
      <c r="AU488" s="143">
        <v>0</v>
      </c>
      <c r="AV488" s="31">
        <v>0</v>
      </c>
      <c r="AW488" s="31">
        <v>0</v>
      </c>
      <c r="AX488" s="31">
        <v>0</v>
      </c>
      <c r="AY488" s="31">
        <v>0</v>
      </c>
      <c r="BA488" s="34" t="str">
        <f t="shared" ca="1" si="71"/>
        <v>Southern</v>
      </c>
      <c r="BB488" s="34" t="str">
        <f t="shared" si="72"/>
        <v>Fixed Inputs</v>
      </c>
      <c r="BC488" s="34" t="str">
        <f t="shared" si="73"/>
        <v>RAV and assets</v>
      </c>
      <c r="BD488" s="34" t="str">
        <f>$C$477</f>
        <v>Post-vesting assets</v>
      </c>
    </row>
    <row r="489" spans="3:56" x14ac:dyDescent="0.35"/>
    <row r="490" spans="3:56" ht="16.5" thickBot="1" x14ac:dyDescent="0.4">
      <c r="C490" s="9" t="s">
        <v>196</v>
      </c>
    </row>
    <row r="491" spans="3:56" x14ac:dyDescent="0.35">
      <c r="E491" s="33" t="s">
        <v>197</v>
      </c>
      <c r="G491" s="33" t="s">
        <v>190</v>
      </c>
      <c r="I491" s="24">
        <v>45</v>
      </c>
      <c r="BA491" s="34" t="str">
        <f t="shared" ref="BA491:BA495" ca="1" si="75">$A$1</f>
        <v>Southern</v>
      </c>
      <c r="BB491" s="34" t="str">
        <f t="shared" ref="BB491:BB495" si="76">$A$150</f>
        <v>Fixed Inputs</v>
      </c>
      <c r="BC491" s="34" t="str">
        <f t="shared" ref="BC491:BC495" si="77">$B$470</f>
        <v>RAV and assets</v>
      </c>
      <c r="BD491" s="34" t="str">
        <f>$C$490</f>
        <v>Fuel Poor</v>
      </c>
    </row>
    <row r="492" spans="3:56" x14ac:dyDescent="0.35">
      <c r="E492" s="33" t="s">
        <v>198</v>
      </c>
      <c r="G492" s="33" t="s">
        <v>190</v>
      </c>
      <c r="I492" s="24">
        <v>5</v>
      </c>
      <c r="BA492" s="34" t="str">
        <f t="shared" ca="1" si="75"/>
        <v>Southern</v>
      </c>
      <c r="BB492" s="34" t="str">
        <f t="shared" si="76"/>
        <v>Fixed Inputs</v>
      </c>
      <c r="BC492" s="34" t="str">
        <f t="shared" si="77"/>
        <v>RAV and assets</v>
      </c>
      <c r="BD492" s="34" t="str">
        <f t="shared" ref="BD492:BD495" si="78">$C$490</f>
        <v>Fuel Poor</v>
      </c>
    </row>
    <row r="493" spans="3:56" x14ac:dyDescent="0.35">
      <c r="E493" s="33" t="s">
        <v>199</v>
      </c>
      <c r="G493" s="33" t="str">
        <f>price_label</f>
        <v>£m 23/24 prices</v>
      </c>
      <c r="J493" s="33" t="s">
        <v>13</v>
      </c>
      <c r="AC493"/>
      <c r="AD493" s="22">
        <v>0</v>
      </c>
      <c r="AE493" s="22">
        <v>0</v>
      </c>
      <c r="AF493" s="22">
        <v>0</v>
      </c>
      <c r="AG493" s="22">
        <v>0</v>
      </c>
      <c r="AH493"/>
      <c r="AI493"/>
      <c r="AJ493"/>
      <c r="AK493"/>
      <c r="AL493"/>
      <c r="AM493"/>
      <c r="AN493"/>
      <c r="AO493"/>
      <c r="AP493"/>
      <c r="AQ493"/>
      <c r="AR493"/>
      <c r="AS493"/>
      <c r="AT493" s="61"/>
      <c r="AU493"/>
      <c r="AV493"/>
      <c r="AW493"/>
      <c r="AX493"/>
      <c r="AY493"/>
      <c r="BA493" s="34" t="str">
        <f t="shared" ca="1" si="75"/>
        <v>Southern</v>
      </c>
      <c r="BB493" s="34" t="str">
        <f t="shared" si="76"/>
        <v>Fixed Inputs</v>
      </c>
      <c r="BC493" s="34" t="str">
        <f t="shared" si="77"/>
        <v>RAV and assets</v>
      </c>
      <c r="BD493" s="34" t="str">
        <f t="shared" si="78"/>
        <v>Fuel Poor</v>
      </c>
    </row>
    <row r="494" spans="3:56" x14ac:dyDescent="0.35">
      <c r="E494" s="33" t="s">
        <v>200</v>
      </c>
      <c r="G494" s="33" t="str">
        <f>price_label</f>
        <v>£m 23/24 prices</v>
      </c>
      <c r="J494" s="33" t="s">
        <v>13</v>
      </c>
      <c r="AC494"/>
      <c r="AD494" s="22">
        <v>0</v>
      </c>
      <c r="AE494" s="22">
        <v>0</v>
      </c>
      <c r="AF494" s="22">
        <v>2.7770000899483521E-3</v>
      </c>
      <c r="AG494" s="22">
        <v>0</v>
      </c>
      <c r="AH494"/>
      <c r="AI494"/>
      <c r="AJ494"/>
      <c r="AK494"/>
      <c r="AL494"/>
      <c r="AM494"/>
      <c r="AN494"/>
      <c r="AO494"/>
      <c r="AP494"/>
      <c r="AQ494"/>
      <c r="AR494"/>
      <c r="AS494"/>
      <c r="AT494" s="61"/>
      <c r="AU494"/>
      <c r="AV494"/>
      <c r="AW494"/>
      <c r="AX494"/>
      <c r="AY494"/>
      <c r="BA494" s="34" t="str">
        <f t="shared" ca="1" si="75"/>
        <v>Southern</v>
      </c>
      <c r="BB494" s="34" t="str">
        <f t="shared" si="76"/>
        <v>Fixed Inputs</v>
      </c>
      <c r="BC494" s="34" t="str">
        <f t="shared" si="77"/>
        <v>RAV and assets</v>
      </c>
      <c r="BD494" s="34" t="str">
        <f t="shared" si="78"/>
        <v>Fuel Poor</v>
      </c>
    </row>
    <row r="495" spans="3:56" x14ac:dyDescent="0.35">
      <c r="E495" s="33" t="s">
        <v>201</v>
      </c>
      <c r="G495" s="33" t="str">
        <f>price_label</f>
        <v>£m 23/24 prices</v>
      </c>
      <c r="J495" s="33" t="s">
        <v>13</v>
      </c>
      <c r="AC495"/>
      <c r="AD495" s="22">
        <v>0.98059916773637568</v>
      </c>
      <c r="AE495" s="22">
        <v>1.423866657468752</v>
      </c>
      <c r="AF495" s="22">
        <v>1.1025136342120097</v>
      </c>
      <c r="AG495" s="22">
        <v>2.0536958146128055</v>
      </c>
      <c r="AH495"/>
      <c r="AI495"/>
      <c r="AJ495"/>
      <c r="AK495"/>
      <c r="AL495"/>
      <c r="AM495"/>
      <c r="AN495"/>
      <c r="AO495"/>
      <c r="AP495"/>
      <c r="AQ495"/>
      <c r="AR495"/>
      <c r="AS495"/>
      <c r="AT495" s="61"/>
      <c r="AU495"/>
      <c r="AV495"/>
      <c r="AW495"/>
      <c r="AX495"/>
      <c r="AY495"/>
      <c r="BA495" s="34" t="str">
        <f t="shared" ca="1" si="75"/>
        <v>Southern</v>
      </c>
      <c r="BB495" s="34" t="str">
        <f t="shared" si="76"/>
        <v>Fixed Inputs</v>
      </c>
      <c r="BC495" s="34" t="str">
        <f t="shared" si="77"/>
        <v>RAV and assets</v>
      </c>
      <c r="BD495" s="34" t="str">
        <f t="shared" si="78"/>
        <v>Fuel Poor</v>
      </c>
    </row>
    <row r="496" spans="3:56" x14ac:dyDescent="0.35"/>
    <row r="497" spans="1:56" ht="17.5" thickBot="1" x14ac:dyDescent="0.4">
      <c r="B497" s="8" t="s">
        <v>202</v>
      </c>
    </row>
    <row r="498" spans="1:56" ht="16.5" thickTop="1" x14ac:dyDescent="0.35">
      <c r="E498" s="33" t="s">
        <v>202</v>
      </c>
      <c r="G498" s="33" t="str">
        <f>price_label</f>
        <v>£m 23/24 prices</v>
      </c>
      <c r="AU498" s="139">
        <v>0</v>
      </c>
      <c r="AV498" s="22">
        <v>0</v>
      </c>
      <c r="AW498" s="22">
        <v>0</v>
      </c>
      <c r="AX498" s="22">
        <v>0</v>
      </c>
      <c r="AY498" s="22">
        <v>0</v>
      </c>
      <c r="BA498" s="34" t="str">
        <f t="shared" ref="BA498" ca="1" si="79">$A$1</f>
        <v>Southern</v>
      </c>
      <c r="BB498" s="34" t="str">
        <f>$A$150</f>
        <v>Fixed Inputs</v>
      </c>
      <c r="BC498" s="34" t="str">
        <f>$B$497</f>
        <v>Cross-subsidy adjustment</v>
      </c>
    </row>
    <row r="499" spans="1:56" x14ac:dyDescent="0.35"/>
    <row r="500" spans="1:56" ht="20" thickBot="1" x14ac:dyDescent="0.4">
      <c r="A500" s="7" t="s">
        <v>844</v>
      </c>
    </row>
    <row r="501" spans="1:56" customFormat="1" ht="18" thickTop="1" thickBot="1" x14ac:dyDescent="0.45">
      <c r="B501" s="15" t="s">
        <v>382</v>
      </c>
      <c r="AT501" s="61"/>
    </row>
    <row r="502" spans="1:56" ht="16.5" thickTop="1" x14ac:dyDescent="0.35">
      <c r="E502" s="33" t="s">
        <v>207</v>
      </c>
      <c r="G502" s="33" t="s">
        <v>208</v>
      </c>
      <c r="H502" s="33" t="s">
        <v>209</v>
      </c>
      <c r="J502" s="33" t="s">
        <v>13</v>
      </c>
      <c r="AS502" s="21">
        <v>1.1900000000000001E-2</v>
      </c>
      <c r="AT502" s="147">
        <v>2.2000000000000001E-3</v>
      </c>
      <c r="AU502" s="141">
        <v>6.7000000000000002E-3</v>
      </c>
      <c r="AV502" s="21">
        <v>4.4999999999999997E-3</v>
      </c>
      <c r="AW502" s="21">
        <v>5.5999999999999999E-3</v>
      </c>
      <c r="AX502" s="21">
        <v>7.1000000000000004E-3</v>
      </c>
      <c r="AY502" s="21">
        <v>0.01</v>
      </c>
      <c r="BA502" s="34" t="str">
        <f t="shared" ref="BA502:BA519" ca="1" si="80">$A$1</f>
        <v>Southern</v>
      </c>
      <c r="BB502" s="34" t="str">
        <f t="shared" ref="BB502:BB527" si="81">$A$500</f>
        <v>Variable policy</v>
      </c>
      <c r="BC502" s="34" t="str">
        <f>$B$501</f>
        <v>Real Price Effects</v>
      </c>
    </row>
    <row r="503" spans="1:56" customFormat="1" ht="14.5" x14ac:dyDescent="0.35">
      <c r="AT503" s="61"/>
    </row>
    <row r="504" spans="1:56" ht="17.5" thickBot="1" x14ac:dyDescent="0.4">
      <c r="B504" s="8" t="s">
        <v>226</v>
      </c>
    </row>
    <row r="505" spans="1:56" customFormat="1" ht="15.5" thickTop="1" thickBot="1" x14ac:dyDescent="0.4">
      <c r="C505" s="11" t="s">
        <v>218</v>
      </c>
      <c r="AT505" s="61"/>
      <c r="AU505" s="33"/>
      <c r="AV505" s="33"/>
      <c r="AW505" s="33"/>
      <c r="AX505" s="33"/>
      <c r="AY505" s="33"/>
    </row>
    <row r="506" spans="1:56" x14ac:dyDescent="0.35">
      <c r="E506" s="33" t="s">
        <v>203</v>
      </c>
      <c r="G506" s="33" t="s">
        <v>186</v>
      </c>
      <c r="H506" s="33" t="s">
        <v>204</v>
      </c>
      <c r="AU506" s="141">
        <v>3.0499999999999999E-2</v>
      </c>
      <c r="AV506" s="21">
        <v>3.1399999999999997E-2</v>
      </c>
      <c r="AW506" s="21">
        <v>3.2199999999999999E-2</v>
      </c>
      <c r="AX506" s="21">
        <v>3.3300000000000003E-2</v>
      </c>
      <c r="AY506" s="21">
        <v>3.4500000000000003E-2</v>
      </c>
      <c r="BA506" s="34" t="str">
        <f t="shared" ca="1" si="80"/>
        <v>Southern</v>
      </c>
      <c r="BB506" s="34" t="str">
        <f>$A$500</f>
        <v>Variable policy</v>
      </c>
      <c r="BC506" s="34" t="str">
        <f>$B$504</f>
        <v>Finance</v>
      </c>
      <c r="BD506" s="34" t="str">
        <f>$C$505</f>
        <v>Allowed return on capital</v>
      </c>
    </row>
    <row r="507" spans="1:56" x14ac:dyDescent="0.35">
      <c r="E507" s="33" t="s">
        <v>205</v>
      </c>
      <c r="G507" s="33" t="s">
        <v>186</v>
      </c>
      <c r="H507" s="33" t="s">
        <v>206</v>
      </c>
      <c r="AU507" s="141">
        <v>2.2800000000000001E-2</v>
      </c>
      <c r="AV507" s="21">
        <v>2.2800000000000001E-2</v>
      </c>
      <c r="AW507" s="21">
        <v>2.2800000000000001E-2</v>
      </c>
      <c r="AX507" s="21">
        <v>2.2800000000000001E-2</v>
      </c>
      <c r="AY507" s="21">
        <v>2.2800000000000001E-2</v>
      </c>
      <c r="BA507" s="34" t="str">
        <f t="shared" ca="1" si="80"/>
        <v>Southern</v>
      </c>
      <c r="BB507" s="34" t="str">
        <f t="shared" si="81"/>
        <v>Variable policy</v>
      </c>
      <c r="BC507" s="34" t="str">
        <f t="shared" ref="BC507:BC512" si="82">$B$504</f>
        <v>Finance</v>
      </c>
      <c r="BD507" s="34" t="str">
        <f>$C$505</f>
        <v>Allowed return on capital</v>
      </c>
    </row>
    <row r="508" spans="1:56" customFormat="1" ht="14.5" x14ac:dyDescent="0.35">
      <c r="AT508" s="61"/>
    </row>
    <row r="509" spans="1:56" customFormat="1" ht="15" thickBot="1" x14ac:dyDescent="0.4">
      <c r="C509" s="11" t="s">
        <v>256</v>
      </c>
      <c r="AT509" s="61"/>
      <c r="BA509" s="34"/>
    </row>
    <row r="510" spans="1:56" customFormat="1" ht="14.5" x14ac:dyDescent="0.35">
      <c r="E510" t="s">
        <v>418</v>
      </c>
      <c r="G510" t="s">
        <v>231</v>
      </c>
      <c r="J510" s="33" t="s">
        <v>13</v>
      </c>
      <c r="AP510" s="59">
        <v>2022</v>
      </c>
      <c r="AQ510" s="59">
        <v>2023</v>
      </c>
      <c r="AR510" s="59">
        <v>2024</v>
      </c>
      <c r="AS510" s="59">
        <v>2025</v>
      </c>
      <c r="AT510" s="65">
        <v>2026</v>
      </c>
      <c r="AU510" s="144">
        <v>2027</v>
      </c>
      <c r="AV510" s="59">
        <v>2028</v>
      </c>
      <c r="AW510" s="59">
        <v>2029</v>
      </c>
      <c r="AX510" s="59">
        <v>2030</v>
      </c>
      <c r="AY510" s="59">
        <v>2031</v>
      </c>
      <c r="AZ510" s="59">
        <v>2032</v>
      </c>
      <c r="BA510" s="34" t="str">
        <f t="shared" ref="BA510:BA512" ca="1" si="83">$A$1</f>
        <v>Southern</v>
      </c>
      <c r="BB510" s="34" t="str">
        <f t="shared" ref="BB510:BB512" si="84">$A$500</f>
        <v>Variable policy</v>
      </c>
      <c r="BC510" s="34" t="str">
        <f t="shared" si="82"/>
        <v>Finance</v>
      </c>
      <c r="BD510" s="34" t="str">
        <f>$C$509</f>
        <v>Inflation</v>
      </c>
    </row>
    <row r="511" spans="1:56" customFormat="1" ht="14.5" x14ac:dyDescent="0.35">
      <c r="E511" t="s">
        <v>644</v>
      </c>
      <c r="G511" t="s">
        <v>77</v>
      </c>
      <c r="J511" s="33" t="s">
        <v>13</v>
      </c>
      <c r="AP511" s="26">
        <v>3.6737186990396076</v>
      </c>
      <c r="AQ511" s="26">
        <v>8.7741270010504469</v>
      </c>
      <c r="AR511" s="26">
        <v>5.546901249206293</v>
      </c>
      <c r="AS511" s="26">
        <v>3.2148359255837144</v>
      </c>
      <c r="AT511" s="66">
        <v>3.8464084526910858</v>
      </c>
      <c r="AU511" s="138">
        <v>2.3689382169692408</v>
      </c>
      <c r="AV511" s="26">
        <v>2.1054516816467084</v>
      </c>
      <c r="AW511" s="26">
        <v>2.1285796243298183</v>
      </c>
      <c r="AX511" s="26">
        <v>2.0983342920036119</v>
      </c>
      <c r="AY511" s="26">
        <v>2.1355060506057066</v>
      </c>
      <c r="AZ511" s="26">
        <v>2.1355060506057066</v>
      </c>
      <c r="BA511" s="34" t="str">
        <f t="shared" ca="1" si="83"/>
        <v>Southern</v>
      </c>
      <c r="BB511" s="34" t="str">
        <f t="shared" si="84"/>
        <v>Variable policy</v>
      </c>
      <c r="BC511" s="34" t="str">
        <f t="shared" si="82"/>
        <v>Finance</v>
      </c>
      <c r="BD511" s="34" t="str">
        <f>$C$509</f>
        <v>Inflation</v>
      </c>
    </row>
    <row r="512" spans="1:56" customFormat="1" ht="14.5" x14ac:dyDescent="0.35">
      <c r="E512" t="s">
        <v>378</v>
      </c>
      <c r="G512" t="s">
        <v>109</v>
      </c>
      <c r="J512" t="s">
        <v>13</v>
      </c>
      <c r="AT512" s="61"/>
      <c r="AU512" s="145">
        <v>2.1299999999999999E-2</v>
      </c>
      <c r="AV512" s="28">
        <v>2.1299999999999999E-2</v>
      </c>
      <c r="AW512" s="28">
        <v>2.1299999999999999E-2</v>
      </c>
      <c r="AX512" s="28">
        <v>2.1299999999999999E-2</v>
      </c>
      <c r="AY512" s="28">
        <v>2.1299999999999999E-2</v>
      </c>
      <c r="BA512" s="34" t="str">
        <f t="shared" ca="1" si="83"/>
        <v>Southern</v>
      </c>
      <c r="BB512" s="34" t="str">
        <f t="shared" si="84"/>
        <v>Variable policy</v>
      </c>
      <c r="BC512" s="34" t="str">
        <f t="shared" si="82"/>
        <v>Finance</v>
      </c>
      <c r="BD512" s="34" t="str">
        <f>$C$509</f>
        <v>Inflation</v>
      </c>
    </row>
    <row r="513" spans="2:55" customFormat="1" ht="14.5" x14ac:dyDescent="0.35">
      <c r="AT513" s="61"/>
      <c r="BA513" s="34"/>
      <c r="BB513" s="34"/>
      <c r="BC513" s="34"/>
    </row>
    <row r="514" spans="2:55" ht="17.5" thickBot="1" x14ac:dyDescent="0.45">
      <c r="B514" s="15" t="s">
        <v>475</v>
      </c>
      <c r="C514" s="6"/>
    </row>
    <row r="515" spans="2:55" ht="16.5" thickTop="1" x14ac:dyDescent="0.35">
      <c r="E515" s="33" t="s">
        <v>210</v>
      </c>
      <c r="G515" s="33" t="s">
        <v>109</v>
      </c>
      <c r="H515" s="33" t="s">
        <v>211</v>
      </c>
      <c r="AU515" s="141">
        <v>0.25</v>
      </c>
      <c r="AV515" s="21">
        <v>0.25</v>
      </c>
      <c r="AW515" s="21">
        <v>0.25</v>
      </c>
      <c r="AX515" s="21">
        <v>0.25</v>
      </c>
      <c r="AY515" s="21">
        <v>0.25</v>
      </c>
      <c r="BA515" s="34" t="str">
        <f t="shared" ca="1" si="80"/>
        <v>Southern</v>
      </c>
      <c r="BB515" s="34" t="str">
        <f t="shared" si="81"/>
        <v>Variable policy</v>
      </c>
      <c r="BC515" s="34" t="str">
        <f>$B$514</f>
        <v>Tax</v>
      </c>
    </row>
    <row r="516" spans="2:55" x14ac:dyDescent="0.35">
      <c r="E516" s="33" t="s">
        <v>212</v>
      </c>
      <c r="G516" s="33" t="s">
        <v>109</v>
      </c>
      <c r="H516" s="33" t="s">
        <v>213</v>
      </c>
      <c r="AU516" s="141">
        <v>0.14000000000000001</v>
      </c>
      <c r="AV516" s="141">
        <v>0.14000000000000001</v>
      </c>
      <c r="AW516" s="141">
        <v>0.14000000000000001</v>
      </c>
      <c r="AX516" s="141">
        <v>0.14000000000000001</v>
      </c>
      <c r="AY516" s="141">
        <v>0.14000000000000001</v>
      </c>
      <c r="BA516" s="34" t="str">
        <f t="shared" ca="1" si="80"/>
        <v>Southern</v>
      </c>
      <c r="BB516" s="34" t="str">
        <f t="shared" si="81"/>
        <v>Variable policy</v>
      </c>
      <c r="BC516" s="34" t="str">
        <f t="shared" ref="BC516:BC527" si="85">$B$514</f>
        <v>Tax</v>
      </c>
    </row>
    <row r="517" spans="2:55" x14ac:dyDescent="0.35">
      <c r="E517" s="33" t="s">
        <v>214</v>
      </c>
      <c r="G517" s="33" t="s">
        <v>109</v>
      </c>
      <c r="H517" s="33" t="s">
        <v>215</v>
      </c>
      <c r="AU517" s="141">
        <v>0.06</v>
      </c>
      <c r="AV517" s="21">
        <v>0.06</v>
      </c>
      <c r="AW517" s="21">
        <v>0.06</v>
      </c>
      <c r="AX517" s="21">
        <v>0.06</v>
      </c>
      <c r="AY517" s="21">
        <v>0.06</v>
      </c>
      <c r="BA517" s="34" t="str">
        <f t="shared" ca="1" si="80"/>
        <v>Southern</v>
      </c>
      <c r="BB517" s="34" t="str">
        <f t="shared" si="81"/>
        <v>Variable policy</v>
      </c>
      <c r="BC517" s="34" t="str">
        <f t="shared" si="85"/>
        <v>Tax</v>
      </c>
    </row>
    <row r="518" spans="2:55" x14ac:dyDescent="0.35">
      <c r="E518" s="33" t="s">
        <v>414</v>
      </c>
      <c r="G518" s="33" t="s">
        <v>109</v>
      </c>
      <c r="H518" s="33" t="s">
        <v>216</v>
      </c>
      <c r="AU518" s="141">
        <v>0.03</v>
      </c>
      <c r="AV518" s="21">
        <v>0.03</v>
      </c>
      <c r="AW518" s="21">
        <v>0.03</v>
      </c>
      <c r="AX518" s="21">
        <v>0.03</v>
      </c>
      <c r="AY518" s="21">
        <v>0.03</v>
      </c>
      <c r="BA518" s="34" t="str">
        <f t="shared" ca="1" si="80"/>
        <v>Southern</v>
      </c>
      <c r="BB518" s="34" t="str">
        <f t="shared" si="81"/>
        <v>Variable policy</v>
      </c>
      <c r="BC518" s="34" t="str">
        <f t="shared" si="85"/>
        <v>Tax</v>
      </c>
    </row>
    <row r="519" spans="2:55" x14ac:dyDescent="0.35">
      <c r="E519" s="33" t="s">
        <v>415</v>
      </c>
      <c r="G519" s="33" t="s">
        <v>109</v>
      </c>
      <c r="H519" s="33" t="s">
        <v>217</v>
      </c>
      <c r="AU519" s="141">
        <v>2.2200000000000001E-2</v>
      </c>
      <c r="AV519" s="21">
        <v>2.2200000000000001E-2</v>
      </c>
      <c r="AW519" s="21">
        <v>2.2200000000000001E-2</v>
      </c>
      <c r="AX519" s="21">
        <v>2.2200000000000001E-2</v>
      </c>
      <c r="AY519" s="21">
        <v>2.2200000000000001E-2</v>
      </c>
      <c r="BA519" s="34" t="str">
        <f t="shared" ca="1" si="80"/>
        <v>Southern</v>
      </c>
      <c r="BB519" s="34" t="str">
        <f t="shared" si="81"/>
        <v>Variable policy</v>
      </c>
      <c r="BC519" s="34" t="str">
        <f t="shared" si="85"/>
        <v>Tax</v>
      </c>
    </row>
    <row r="520" spans="2:55" x14ac:dyDescent="0.35">
      <c r="E520" s="33" t="s">
        <v>410</v>
      </c>
      <c r="G520" s="33" t="s">
        <v>109</v>
      </c>
      <c r="I520"/>
      <c r="AU520" s="141">
        <v>1</v>
      </c>
      <c r="AV520" s="21">
        <v>1</v>
      </c>
      <c r="AW520" s="21">
        <v>1</v>
      </c>
      <c r="AX520" s="21">
        <v>1</v>
      </c>
      <c r="AY520" s="21">
        <v>1</v>
      </c>
      <c r="BA520" s="34" t="str">
        <f t="shared" ca="1" si="33"/>
        <v>Southern</v>
      </c>
      <c r="BB520" s="34" t="str">
        <f t="shared" si="81"/>
        <v>Variable policy</v>
      </c>
      <c r="BC520" s="34" t="str">
        <f t="shared" si="85"/>
        <v>Tax</v>
      </c>
    </row>
    <row r="521" spans="2:55" x14ac:dyDescent="0.35">
      <c r="E521" s="33" t="s">
        <v>807</v>
      </c>
      <c r="G521" s="33" t="s">
        <v>109</v>
      </c>
      <c r="I521"/>
      <c r="AU521" s="141">
        <v>1</v>
      </c>
      <c r="AV521" s="21">
        <v>1</v>
      </c>
      <c r="AW521" s="21">
        <v>1</v>
      </c>
      <c r="AX521" s="21">
        <v>1</v>
      </c>
      <c r="AY521" s="21">
        <v>1</v>
      </c>
      <c r="BA521" s="34" t="str">
        <f t="shared" ca="1" si="33"/>
        <v>Southern</v>
      </c>
      <c r="BB521" s="34" t="str">
        <f t="shared" si="81"/>
        <v>Variable policy</v>
      </c>
      <c r="BC521" s="34" t="str">
        <f t="shared" si="85"/>
        <v>Tax</v>
      </c>
    </row>
    <row r="522" spans="2:55" x14ac:dyDescent="0.35">
      <c r="E522" s="33" t="s">
        <v>108</v>
      </c>
      <c r="G522" s="33" t="s">
        <v>109</v>
      </c>
      <c r="H522" s="33" t="s">
        <v>110</v>
      </c>
      <c r="AU522" s="141">
        <v>6.5971044883653004E-2</v>
      </c>
      <c r="AV522" s="21">
        <v>7.373759028195602E-2</v>
      </c>
      <c r="AW522" s="21">
        <v>6.0564676840093805E-2</v>
      </c>
      <c r="AX522" s="21">
        <v>4.5996700014815525E-2</v>
      </c>
      <c r="AY522" s="21">
        <v>3.530946787495106E-2</v>
      </c>
      <c r="BA522" s="34" t="str">
        <f t="shared" ca="1" si="33"/>
        <v>Southern</v>
      </c>
      <c r="BB522" s="34" t="str">
        <f t="shared" si="81"/>
        <v>Variable policy</v>
      </c>
      <c r="BC522" s="34" t="str">
        <f t="shared" si="85"/>
        <v>Tax</v>
      </c>
    </row>
    <row r="523" spans="2:55" x14ac:dyDescent="0.35">
      <c r="E523" s="33" t="s">
        <v>111</v>
      </c>
      <c r="G523" s="33" t="s">
        <v>109</v>
      </c>
      <c r="H523" s="33" t="s">
        <v>112</v>
      </c>
      <c r="AU523" s="141">
        <v>9.223027859596418E-2</v>
      </c>
      <c r="AV523" s="21">
        <v>9.1273010423806714E-2</v>
      </c>
      <c r="AW523" s="21">
        <v>9.6758630950349284E-2</v>
      </c>
      <c r="AX523" s="21">
        <v>8.7962192124004385E-2</v>
      </c>
      <c r="AY523" s="21">
        <v>8.3576039128156546E-2</v>
      </c>
      <c r="BA523" s="34" t="str">
        <f t="shared" ca="1" si="33"/>
        <v>Southern</v>
      </c>
      <c r="BB523" s="34" t="str">
        <f t="shared" si="81"/>
        <v>Variable policy</v>
      </c>
      <c r="BC523" s="34" t="str">
        <f t="shared" si="85"/>
        <v>Tax</v>
      </c>
    </row>
    <row r="524" spans="2:55" x14ac:dyDescent="0.35">
      <c r="E524" s="33" t="s">
        <v>113</v>
      </c>
      <c r="G524" s="33" t="s">
        <v>109</v>
      </c>
      <c r="H524" s="33" t="s">
        <v>114</v>
      </c>
      <c r="AU524" s="141">
        <v>1.9898527122284269E-2</v>
      </c>
      <c r="AV524" s="21">
        <v>6.5422488754844944E-3</v>
      </c>
      <c r="AW524" s="21">
        <v>1.1674563820117631E-2</v>
      </c>
      <c r="AX524" s="21">
        <v>2.8605594631199915E-3</v>
      </c>
      <c r="AY524" s="21">
        <v>3.4114376440753371E-3</v>
      </c>
      <c r="BA524" s="34" t="str">
        <f t="shared" ca="1" si="33"/>
        <v>Southern</v>
      </c>
      <c r="BB524" s="34" t="str">
        <f t="shared" si="81"/>
        <v>Variable policy</v>
      </c>
      <c r="BC524" s="34" t="str">
        <f t="shared" si="85"/>
        <v>Tax</v>
      </c>
    </row>
    <row r="525" spans="2:55" x14ac:dyDescent="0.35">
      <c r="E525" s="33" t="s">
        <v>115</v>
      </c>
      <c r="G525" s="33" t="s">
        <v>109</v>
      </c>
      <c r="H525" s="33" t="s">
        <v>116</v>
      </c>
      <c r="AU525" s="141">
        <v>0.47629393138785359</v>
      </c>
      <c r="AV525" s="21">
        <v>0.4962643630973767</v>
      </c>
      <c r="AW525" s="21">
        <v>0.49723403198653371</v>
      </c>
      <c r="AX525" s="21">
        <v>0.51163286604426939</v>
      </c>
      <c r="AY525" s="21">
        <v>0.52510311067593796</v>
      </c>
      <c r="BA525" s="34" t="str">
        <f t="shared" ca="1" si="33"/>
        <v>Southern</v>
      </c>
      <c r="BB525" s="34" t="str">
        <f t="shared" si="81"/>
        <v>Variable policy</v>
      </c>
      <c r="BC525" s="34" t="str">
        <f t="shared" si="85"/>
        <v>Tax</v>
      </c>
    </row>
    <row r="526" spans="2:55" x14ac:dyDescent="0.35">
      <c r="E526" s="33" t="s">
        <v>119</v>
      </c>
      <c r="G526" s="33" t="s">
        <v>109</v>
      </c>
      <c r="H526" s="33" t="s">
        <v>120</v>
      </c>
      <c r="AU526" s="141">
        <v>1.0214890641998351E-2</v>
      </c>
      <c r="AV526" s="21">
        <v>3.4878762428571762E-3</v>
      </c>
      <c r="AW526" s="21">
        <v>6.0615540199565722E-3</v>
      </c>
      <c r="AX526" s="21">
        <v>1.4917772240643039E-3</v>
      </c>
      <c r="AY526" s="21">
        <v>1.7536180170698334E-3</v>
      </c>
      <c r="BA526" s="34" t="str">
        <f t="shared" ca="1" si="33"/>
        <v>Southern</v>
      </c>
      <c r="BB526" s="34" t="str">
        <f t="shared" si="81"/>
        <v>Variable policy</v>
      </c>
      <c r="BC526" s="34" t="str">
        <f t="shared" si="85"/>
        <v>Tax</v>
      </c>
    </row>
    <row r="527" spans="2:55" x14ac:dyDescent="0.35">
      <c r="E527" s="33" t="s">
        <v>117</v>
      </c>
      <c r="G527" s="33" t="s">
        <v>109</v>
      </c>
      <c r="H527" s="33" t="s">
        <v>118</v>
      </c>
      <c r="AU527" s="141">
        <v>0.33539132736824656</v>
      </c>
      <c r="AV527" s="21">
        <v>0.32869491107851895</v>
      </c>
      <c r="AW527" s="21">
        <v>0.32770654238294888</v>
      </c>
      <c r="AX527" s="21">
        <v>0.35005590512972645</v>
      </c>
      <c r="AY527" s="21">
        <v>0.35084632665980914</v>
      </c>
      <c r="BA527" s="34" t="str">
        <f t="shared" ca="1" si="33"/>
        <v>Southern</v>
      </c>
      <c r="BB527" s="34" t="str">
        <f t="shared" si="81"/>
        <v>Variable policy</v>
      </c>
      <c r="BC527" s="34" t="str">
        <f t="shared" si="85"/>
        <v>Tax</v>
      </c>
    </row>
    <row r="528" spans="2:55" x14ac:dyDescent="0.35"/>
    <row r="529" spans="1:56" customFormat="1" ht="17.5" thickBot="1" x14ac:dyDescent="0.45">
      <c r="B529" s="15" t="s">
        <v>609</v>
      </c>
      <c r="G529" s="33"/>
      <c r="J529" s="33"/>
      <c r="AT529" s="61"/>
      <c r="BA529" s="34"/>
      <c r="BB529" s="34"/>
      <c r="BC529" s="34"/>
      <c r="BD529" s="34"/>
    </row>
    <row r="530" spans="1:56" ht="16.5" thickTop="1" x14ac:dyDescent="0.35">
      <c r="A530"/>
      <c r="B530"/>
      <c r="E530" t="s">
        <v>515</v>
      </c>
      <c r="G530" s="33" t="s">
        <v>77</v>
      </c>
      <c r="AT530" s="61"/>
      <c r="AU530"/>
      <c r="AV530" s="26">
        <v>0</v>
      </c>
      <c r="AW530" s="26">
        <v>0</v>
      </c>
      <c r="AX530" s="26">
        <v>0</v>
      </c>
      <c r="AY530" s="26">
        <v>0</v>
      </c>
      <c r="BA530" s="34" t="str">
        <f t="shared" ca="1" si="24"/>
        <v>Southern</v>
      </c>
      <c r="BB530" s="34" t="str">
        <f t="shared" ref="BB530:BB531" si="86">$A$500</f>
        <v>Variable policy</v>
      </c>
      <c r="BC530" s="34" t="str">
        <f>$B$529</f>
        <v>Forecasting penalties</v>
      </c>
    </row>
    <row r="531" spans="1:56" x14ac:dyDescent="0.35">
      <c r="A531"/>
      <c r="B531"/>
      <c r="E531" t="s">
        <v>516</v>
      </c>
      <c r="G531" s="33" t="s">
        <v>77</v>
      </c>
      <c r="AT531" s="61"/>
      <c r="AU531"/>
      <c r="AV531" s="26">
        <v>0</v>
      </c>
      <c r="AW531" s="26">
        <v>0</v>
      </c>
      <c r="AX531" s="26">
        <v>0</v>
      </c>
      <c r="AY531" s="26">
        <v>0</v>
      </c>
      <c r="BA531" s="34" t="str">
        <f t="shared" ca="1" si="24"/>
        <v>Southern</v>
      </c>
      <c r="BB531" s="34" t="str">
        <f t="shared" si="86"/>
        <v>Variable policy</v>
      </c>
      <c r="BC531" s="34" t="str">
        <f>$B$529</f>
        <v>Forecasting penalties</v>
      </c>
    </row>
    <row r="532" spans="1:56" customFormat="1" ht="14.5" x14ac:dyDescent="0.35">
      <c r="AT532" s="61"/>
      <c r="BA532" s="34"/>
    </row>
    <row r="533" spans="1:56" customFormat="1" ht="20" thickBot="1" x14ac:dyDescent="0.5">
      <c r="A533" s="13" t="s">
        <v>845</v>
      </c>
      <c r="AT533" s="61"/>
      <c r="BA533" s="34"/>
      <c r="BB533" s="34"/>
      <c r="BC533" s="34"/>
    </row>
    <row r="534" spans="1:56" ht="18" thickTop="1" thickBot="1" x14ac:dyDescent="0.4">
      <c r="B534" s="8" t="s">
        <v>226</v>
      </c>
    </row>
    <row r="535" spans="1:56" ht="17" thickTop="1" thickBot="1" x14ac:dyDescent="0.4">
      <c r="C535" s="9" t="s">
        <v>226</v>
      </c>
    </row>
    <row r="536" spans="1:56" x14ac:dyDescent="0.35">
      <c r="E536" s="33" t="s">
        <v>223</v>
      </c>
      <c r="F536" s="33" t="s">
        <v>185</v>
      </c>
      <c r="G536" s="33" t="s">
        <v>109</v>
      </c>
      <c r="H536" s="33" t="s">
        <v>224</v>
      </c>
      <c r="I536" s="23">
        <v>0.6</v>
      </c>
      <c r="BA536" s="34" t="str">
        <f t="shared" ref="BA536:BA548" ca="1" si="87">$A$1</f>
        <v>Southern</v>
      </c>
      <c r="BB536" s="34" t="str">
        <f t="shared" ref="BB536:BB548" si="88">$A$533</f>
        <v>Fixed policy</v>
      </c>
      <c r="BC536" s="34" t="str">
        <f t="shared" ref="BC536:BC548" si="89">$B$534</f>
        <v>Finance</v>
      </c>
      <c r="BD536" s="34" t="str">
        <f t="shared" ref="BD536:BD542" si="90">$C$535</f>
        <v>Finance</v>
      </c>
    </row>
    <row r="537" spans="1:56" x14ac:dyDescent="0.35">
      <c r="E537" s="33" t="s">
        <v>227</v>
      </c>
      <c r="G537" s="33" t="s">
        <v>109</v>
      </c>
      <c r="AU537" s="140">
        <v>0</v>
      </c>
      <c r="AV537" s="23">
        <v>0</v>
      </c>
      <c r="AW537" s="23">
        <v>0</v>
      </c>
      <c r="AX537" s="23">
        <v>0</v>
      </c>
      <c r="AY537" s="23">
        <v>0</v>
      </c>
      <c r="BA537" s="34" t="str">
        <f t="shared" ref="BA537:BA542" ca="1" si="91">$A$1</f>
        <v>Southern</v>
      </c>
      <c r="BB537" s="34" t="str">
        <f t="shared" ref="BB537:BB542" si="92">$A$533</f>
        <v>Fixed policy</v>
      </c>
      <c r="BC537" s="34" t="str">
        <f t="shared" ref="BC537:BC542" si="93">$B$534</f>
        <v>Finance</v>
      </c>
      <c r="BD537" s="34" t="str">
        <f t="shared" si="90"/>
        <v>Finance</v>
      </c>
    </row>
    <row r="538" spans="1:56" x14ac:dyDescent="0.35">
      <c r="E538" s="33" t="s">
        <v>228</v>
      </c>
      <c r="G538" s="33" t="s">
        <v>109</v>
      </c>
      <c r="AU538" s="140">
        <v>0.05</v>
      </c>
      <c r="AV538" s="23">
        <v>0.05</v>
      </c>
      <c r="AW538" s="23">
        <v>0.05</v>
      </c>
      <c r="AX538" s="23">
        <v>0.05</v>
      </c>
      <c r="AY538" s="23">
        <v>0.05</v>
      </c>
      <c r="BA538" s="34" t="str">
        <f t="shared" ca="1" si="91"/>
        <v>Southern</v>
      </c>
      <c r="BB538" s="34" t="str">
        <f t="shared" si="92"/>
        <v>Fixed policy</v>
      </c>
      <c r="BC538" s="34" t="str">
        <f t="shared" si="93"/>
        <v>Finance</v>
      </c>
      <c r="BD538" s="34" t="str">
        <f t="shared" si="90"/>
        <v>Finance</v>
      </c>
    </row>
    <row r="539" spans="1:56" x14ac:dyDescent="0.35">
      <c r="E539" s="33" t="s">
        <v>816</v>
      </c>
      <c r="G539" s="33" t="s">
        <v>109</v>
      </c>
      <c r="AU539" s="140">
        <v>0.03</v>
      </c>
      <c r="AV539" s="23">
        <v>0.03</v>
      </c>
      <c r="AW539" s="23">
        <v>0.03</v>
      </c>
      <c r="AX539" s="23">
        <v>0.03</v>
      </c>
      <c r="AY539" s="23">
        <v>0.03</v>
      </c>
      <c r="BA539" s="34" t="str">
        <f t="shared" ca="1" si="91"/>
        <v>Southern</v>
      </c>
      <c r="BB539" s="34" t="str">
        <f t="shared" si="92"/>
        <v>Fixed policy</v>
      </c>
      <c r="BC539" s="34" t="str">
        <f t="shared" si="93"/>
        <v>Finance</v>
      </c>
      <c r="BD539" s="34" t="str">
        <f t="shared" si="90"/>
        <v>Finance</v>
      </c>
    </row>
    <row r="540" spans="1:56" x14ac:dyDescent="0.35">
      <c r="E540" s="33" t="s">
        <v>229</v>
      </c>
      <c r="G540" s="33" t="s">
        <v>109</v>
      </c>
      <c r="AU540" s="140">
        <v>0.3</v>
      </c>
      <c r="AV540" s="23">
        <v>0.3</v>
      </c>
      <c r="AW540" s="23">
        <v>0.3</v>
      </c>
      <c r="AX540" s="23">
        <v>0.3</v>
      </c>
      <c r="AY540" s="23">
        <v>0.3</v>
      </c>
      <c r="BA540" s="34" t="str">
        <f t="shared" ca="1" si="91"/>
        <v>Southern</v>
      </c>
      <c r="BB540" s="34" t="str">
        <f t="shared" si="92"/>
        <v>Fixed policy</v>
      </c>
      <c r="BC540" s="34" t="str">
        <f t="shared" si="93"/>
        <v>Finance</v>
      </c>
      <c r="BD540" s="34" t="str">
        <f t="shared" si="90"/>
        <v>Finance</v>
      </c>
    </row>
    <row r="541" spans="1:56" x14ac:dyDescent="0.35">
      <c r="E541" s="33" t="s">
        <v>394</v>
      </c>
      <c r="G541" s="33" t="str">
        <f>nominal</f>
        <v>£m nominal</v>
      </c>
      <c r="I541" s="22">
        <v>5</v>
      </c>
      <c r="AU541"/>
      <c r="AV541"/>
      <c r="AW541"/>
      <c r="AX541"/>
      <c r="AY541"/>
      <c r="BA541" s="34" t="str">
        <f t="shared" ca="1" si="91"/>
        <v>Southern</v>
      </c>
      <c r="BB541" s="34" t="str">
        <f t="shared" si="92"/>
        <v>Fixed policy</v>
      </c>
      <c r="BC541" s="34" t="str">
        <f t="shared" si="93"/>
        <v>Finance</v>
      </c>
      <c r="BD541" s="34" t="str">
        <f t="shared" si="90"/>
        <v>Finance</v>
      </c>
    </row>
    <row r="542" spans="1:56" x14ac:dyDescent="0.35">
      <c r="E542" s="33" t="s">
        <v>393</v>
      </c>
      <c r="G542" s="33" t="s">
        <v>109</v>
      </c>
      <c r="I542" s="23">
        <v>0.5</v>
      </c>
      <c r="AU542"/>
      <c r="AV542"/>
      <c r="AW542"/>
      <c r="AX542"/>
      <c r="AY542"/>
      <c r="BA542" s="34" t="str">
        <f t="shared" ca="1" si="91"/>
        <v>Southern</v>
      </c>
      <c r="BB542" s="34" t="str">
        <f t="shared" si="92"/>
        <v>Fixed policy</v>
      </c>
      <c r="BC542" s="34" t="str">
        <f t="shared" si="93"/>
        <v>Finance</v>
      </c>
      <c r="BD542" s="34" t="str">
        <f t="shared" si="90"/>
        <v>Finance</v>
      </c>
    </row>
    <row r="543" spans="1:56" x14ac:dyDescent="0.35"/>
    <row r="544" spans="1:56" ht="16.5" thickBot="1" x14ac:dyDescent="0.4">
      <c r="C544" s="9" t="s">
        <v>218</v>
      </c>
    </row>
    <row r="545" spans="2:56" x14ac:dyDescent="0.35">
      <c r="E545" s="33" t="s">
        <v>219</v>
      </c>
      <c r="G545" s="33" t="s">
        <v>186</v>
      </c>
      <c r="H545" s="33" t="s">
        <v>220</v>
      </c>
      <c r="AU545" s="140">
        <v>0</v>
      </c>
      <c r="AV545" s="23">
        <v>0</v>
      </c>
      <c r="AW545" s="23">
        <v>0</v>
      </c>
      <c r="AX545" s="23">
        <v>0</v>
      </c>
      <c r="AY545" s="23">
        <v>0</v>
      </c>
      <c r="BA545" s="34" t="str">
        <f t="shared" ca="1" si="87"/>
        <v>Southern</v>
      </c>
      <c r="BB545" s="34" t="str">
        <f>$A$533</f>
        <v>Fixed policy</v>
      </c>
      <c r="BC545" s="34" t="str">
        <f>$B$534</f>
        <v>Finance</v>
      </c>
      <c r="BD545" s="34" t="str">
        <f>$C$544</f>
        <v>Allowed return on capital</v>
      </c>
    </row>
    <row r="546" spans="2:56" x14ac:dyDescent="0.35">
      <c r="E546" s="33" t="s">
        <v>221</v>
      </c>
      <c r="G546" s="33" t="s">
        <v>77</v>
      </c>
      <c r="AU546" s="146">
        <v>0.83</v>
      </c>
      <c r="AV546" s="29">
        <v>0.83</v>
      </c>
      <c r="AW546" s="29">
        <v>0.83</v>
      </c>
      <c r="AX546" s="29">
        <v>0.83</v>
      </c>
      <c r="AY546" s="29">
        <v>0.83</v>
      </c>
      <c r="BA546" s="34" t="str">
        <f t="shared" ca="1" si="87"/>
        <v>Southern</v>
      </c>
      <c r="BB546" s="34" t="str">
        <f t="shared" si="88"/>
        <v>Fixed policy</v>
      </c>
      <c r="BC546" s="34" t="str">
        <f t="shared" si="89"/>
        <v>Finance</v>
      </c>
      <c r="BD546" s="34" t="str">
        <f t="shared" ref="BD546:BD548" si="94">$C$544</f>
        <v>Allowed return on capital</v>
      </c>
    </row>
    <row r="547" spans="2:56" x14ac:dyDescent="0.35">
      <c r="E547" s="33" t="s">
        <v>222</v>
      </c>
      <c r="G547" s="33" t="s">
        <v>109</v>
      </c>
      <c r="AU547" s="140">
        <v>6.9000000000000006E-2</v>
      </c>
      <c r="AV547" s="23">
        <v>6.9000000000000006E-2</v>
      </c>
      <c r="AW547" s="23">
        <v>6.9000000000000006E-2</v>
      </c>
      <c r="AX547" s="23">
        <v>6.9000000000000006E-2</v>
      </c>
      <c r="AY547" s="23">
        <v>6.9000000000000006E-2</v>
      </c>
      <c r="BA547" s="34" t="str">
        <f t="shared" ca="1" si="87"/>
        <v>Southern</v>
      </c>
      <c r="BB547" s="34" t="str">
        <f t="shared" si="88"/>
        <v>Fixed policy</v>
      </c>
      <c r="BC547" s="34" t="str">
        <f t="shared" si="89"/>
        <v>Finance</v>
      </c>
      <c r="BD547" s="34" t="str">
        <f t="shared" si="94"/>
        <v>Allowed return on capital</v>
      </c>
    </row>
    <row r="548" spans="2:56" x14ac:dyDescent="0.35">
      <c r="E548" s="33" t="s">
        <v>225</v>
      </c>
      <c r="G548" s="33" t="s">
        <v>109</v>
      </c>
      <c r="AU548" s="140">
        <v>0.6</v>
      </c>
      <c r="AV548" s="23">
        <v>0.6</v>
      </c>
      <c r="AW548" s="23">
        <v>0.6</v>
      </c>
      <c r="AX548" s="23">
        <v>0.6</v>
      </c>
      <c r="AY548" s="23">
        <v>0.6</v>
      </c>
      <c r="BA548" s="34" t="str">
        <f t="shared" ca="1" si="87"/>
        <v>Southern</v>
      </c>
      <c r="BB548" s="34" t="str">
        <f t="shared" si="88"/>
        <v>Fixed policy</v>
      </c>
      <c r="BC548" s="34" t="str">
        <f t="shared" si="89"/>
        <v>Finance</v>
      </c>
      <c r="BD548" s="34" t="str">
        <f t="shared" si="94"/>
        <v>Allowed return on capital</v>
      </c>
    </row>
    <row r="549" spans="2:56" x14ac:dyDescent="0.35"/>
    <row r="550" spans="2:56" ht="17.5" thickBot="1" x14ac:dyDescent="0.4">
      <c r="B550" s="8" t="s">
        <v>475</v>
      </c>
    </row>
    <row r="551" spans="2:56" ht="16.5" thickTop="1" x14ac:dyDescent="0.35">
      <c r="E551" s="33" t="s">
        <v>182</v>
      </c>
      <c r="G551" s="33" t="s">
        <v>109</v>
      </c>
      <c r="AU551" s="140">
        <v>0.6</v>
      </c>
      <c r="AV551" s="23">
        <v>0.6</v>
      </c>
      <c r="AW551" s="23">
        <v>0.6</v>
      </c>
      <c r="AX551" s="23">
        <v>0.6</v>
      </c>
      <c r="AY551" s="23">
        <v>0.6</v>
      </c>
      <c r="BA551" s="34" t="str">
        <f t="shared" ca="1" si="66"/>
        <v>Southern</v>
      </c>
      <c r="BB551" s="34" t="str">
        <f t="shared" ref="BB551:BB553" si="95">$A$533</f>
        <v>Fixed policy</v>
      </c>
      <c r="BC551" s="34" t="str">
        <f>$B$550</f>
        <v>Tax</v>
      </c>
    </row>
    <row r="552" spans="2:56" x14ac:dyDescent="0.35">
      <c r="E552" s="33" t="s">
        <v>411</v>
      </c>
      <c r="G552" s="33" t="s">
        <v>109</v>
      </c>
      <c r="I552"/>
      <c r="AU552" s="140">
        <v>1</v>
      </c>
      <c r="AV552" s="23">
        <v>1</v>
      </c>
      <c r="AW552" s="23">
        <v>1</v>
      </c>
      <c r="AX552" s="23">
        <v>1</v>
      </c>
      <c r="AY552" s="23">
        <v>1</v>
      </c>
      <c r="BA552" s="34" t="str">
        <f t="shared" ca="1" si="66"/>
        <v>Southern</v>
      </c>
      <c r="BB552" s="34" t="str">
        <f t="shared" si="95"/>
        <v>Fixed policy</v>
      </c>
      <c r="BC552" s="34" t="str">
        <f t="shared" ref="BC552:BC553" si="96">$B$550</f>
        <v>Tax</v>
      </c>
    </row>
    <row r="553" spans="2:56" x14ac:dyDescent="0.35">
      <c r="E553" s="33" t="s">
        <v>812</v>
      </c>
      <c r="G553" s="33" t="s">
        <v>109</v>
      </c>
      <c r="I553"/>
      <c r="AU553" s="140">
        <v>0.5</v>
      </c>
      <c r="AV553" s="23">
        <v>0.5</v>
      </c>
      <c r="AW553" s="23">
        <v>0.5</v>
      </c>
      <c r="AX553" s="23">
        <v>0.5</v>
      </c>
      <c r="AY553" s="23">
        <v>0.5</v>
      </c>
      <c r="BA553" s="34" t="str">
        <f t="shared" ca="1" si="66"/>
        <v>Southern</v>
      </c>
      <c r="BB553" s="34" t="str">
        <f t="shared" si="95"/>
        <v>Fixed policy</v>
      </c>
      <c r="BC553" s="34" t="str">
        <f t="shared" si="96"/>
        <v>Tax</v>
      </c>
    </row>
    <row r="554" spans="2:56" customFormat="1" ht="14.5" x14ac:dyDescent="0.35">
      <c r="AT554" s="61"/>
    </row>
    <row r="555" spans="2:56" customFormat="1" ht="17.5" thickBot="1" x14ac:dyDescent="0.45">
      <c r="B555" s="15" t="s">
        <v>230</v>
      </c>
      <c r="AT555" s="61"/>
    </row>
    <row r="556" spans="2:56" ht="16.5" thickTop="1" x14ac:dyDescent="0.35">
      <c r="E556" s="33" t="s">
        <v>417</v>
      </c>
      <c r="G556" s="33" t="s">
        <v>109</v>
      </c>
      <c r="I556" s="23">
        <v>0.5</v>
      </c>
      <c r="BA556" s="34" t="str">
        <f t="shared" ref="BA556:BA565" ca="1" si="97">$A$1</f>
        <v>Southern</v>
      </c>
      <c r="BB556" s="34" t="str">
        <f t="shared" ref="BB556:BB559" si="98">$A$533</f>
        <v>Fixed policy</v>
      </c>
      <c r="BC556" s="34" t="str">
        <f>$B$555</f>
        <v>TIM and capitalisation</v>
      </c>
      <c r="BD556"/>
    </row>
    <row r="557" spans="2:56" x14ac:dyDescent="0.35">
      <c r="E557" s="33" t="s">
        <v>10</v>
      </c>
      <c r="G557" s="33" t="s">
        <v>109</v>
      </c>
      <c r="AU557" s="140">
        <v>0.31</v>
      </c>
      <c r="AV557" s="23">
        <v>0.31</v>
      </c>
      <c r="AW557" s="23">
        <v>0.31</v>
      </c>
      <c r="AX557" s="23">
        <v>0.31</v>
      </c>
      <c r="AY557" s="23">
        <v>0.31</v>
      </c>
      <c r="BA557" s="34" t="str">
        <f t="shared" ca="1" si="97"/>
        <v>Southern</v>
      </c>
      <c r="BB557" s="34" t="str">
        <f t="shared" si="98"/>
        <v>Fixed policy</v>
      </c>
      <c r="BC557" s="34" t="str">
        <f>$B$555</f>
        <v>TIM and capitalisation</v>
      </c>
      <c r="BD557"/>
    </row>
    <row r="558" spans="2:56" x14ac:dyDescent="0.35">
      <c r="E558" s="33" t="s">
        <v>21</v>
      </c>
      <c r="G558" s="33" t="s">
        <v>109</v>
      </c>
      <c r="AU558" s="140">
        <v>0.7</v>
      </c>
      <c r="AV558" s="23">
        <v>0.7</v>
      </c>
      <c r="AW558" s="23">
        <v>0.7</v>
      </c>
      <c r="AX558" s="23">
        <v>0.7</v>
      </c>
      <c r="AY558" s="23">
        <v>0.7</v>
      </c>
      <c r="BA558" s="34" t="str">
        <f t="shared" ca="1" si="97"/>
        <v>Southern</v>
      </c>
      <c r="BB558" s="34" t="str">
        <f t="shared" si="98"/>
        <v>Fixed policy</v>
      </c>
      <c r="BC558" s="34" t="str">
        <f>$B$555</f>
        <v>TIM and capitalisation</v>
      </c>
      <c r="BD558"/>
    </row>
    <row r="559" spans="2:56" x14ac:dyDescent="0.35">
      <c r="E559" s="33" t="s">
        <v>416</v>
      </c>
      <c r="G559" s="33" t="s">
        <v>109</v>
      </c>
      <c r="AU559" s="140">
        <v>1</v>
      </c>
      <c r="AV559" s="23">
        <v>1</v>
      </c>
      <c r="AW559" s="23">
        <v>1</v>
      </c>
      <c r="AX559" s="23">
        <v>1</v>
      </c>
      <c r="AY559" s="23">
        <v>1</v>
      </c>
      <c r="BA559" s="34" t="str">
        <f t="shared" ca="1" si="97"/>
        <v>Southern</v>
      </c>
      <c r="BB559" s="34" t="str">
        <f t="shared" si="98"/>
        <v>Fixed policy</v>
      </c>
      <c r="BC559" s="34" t="str">
        <f>$B$555</f>
        <v>TIM and capitalisation</v>
      </c>
      <c r="BD559"/>
    </row>
    <row r="560" spans="2:56" x14ac:dyDescent="0.35"/>
    <row r="561" spans="1:56" ht="17.5" thickBot="1" x14ac:dyDescent="0.4">
      <c r="B561" s="8" t="s">
        <v>184</v>
      </c>
    </row>
    <row r="562" spans="1:56" customFormat="1" ht="15" thickTop="1" x14ac:dyDescent="0.35">
      <c r="E562" t="s">
        <v>652</v>
      </c>
      <c r="G562" s="33" t="s">
        <v>109</v>
      </c>
      <c r="I562" s="84">
        <v>0.03</v>
      </c>
      <c r="AT562" s="61"/>
      <c r="BA562" s="34" t="str">
        <f t="shared" ca="1" si="97"/>
        <v>Southern</v>
      </c>
      <c r="BB562" s="34" t="str">
        <f t="shared" ref="BB562:BB565" si="99">$A$533</f>
        <v>Fixed policy</v>
      </c>
      <c r="BC562" s="34" t="str">
        <f>$B$561</f>
        <v>Operational performance and return adjustment</v>
      </c>
    </row>
    <row r="563" spans="1:56" customFormat="1" ht="14.5" x14ac:dyDescent="0.35">
      <c r="E563" t="s">
        <v>653</v>
      </c>
      <c r="G563" s="33" t="s">
        <v>109</v>
      </c>
      <c r="I563" s="84">
        <v>0.04</v>
      </c>
      <c r="AT563" s="61"/>
      <c r="BA563" s="34" t="str">
        <f t="shared" ca="1" si="97"/>
        <v>Southern</v>
      </c>
      <c r="BB563" s="34" t="str">
        <f t="shared" si="99"/>
        <v>Fixed policy</v>
      </c>
      <c r="BC563" s="34" t="str">
        <f>$B$561</f>
        <v>Operational performance and return adjustment</v>
      </c>
    </row>
    <row r="564" spans="1:56" customFormat="1" ht="14.5" x14ac:dyDescent="0.35">
      <c r="E564" t="s">
        <v>654</v>
      </c>
      <c r="G564" s="33" t="s">
        <v>109</v>
      </c>
      <c r="I564" s="84">
        <v>0.5</v>
      </c>
      <c r="AT564" s="61"/>
      <c r="BA564" s="34" t="str">
        <f t="shared" ca="1" si="97"/>
        <v>Southern</v>
      </c>
      <c r="BB564" s="34" t="str">
        <f t="shared" si="99"/>
        <v>Fixed policy</v>
      </c>
      <c r="BC564" s="34" t="str">
        <f>$B$561</f>
        <v>Operational performance and return adjustment</v>
      </c>
    </row>
    <row r="565" spans="1:56" customFormat="1" ht="14.5" x14ac:dyDescent="0.35">
      <c r="E565" t="s">
        <v>655</v>
      </c>
      <c r="G565" s="33" t="s">
        <v>109</v>
      </c>
      <c r="I565" s="84">
        <v>0.9</v>
      </c>
      <c r="AT565" s="61"/>
      <c r="BA565" s="34" t="str">
        <f t="shared" ca="1" si="97"/>
        <v>Southern</v>
      </c>
      <c r="BB565" s="34" t="str">
        <f t="shared" si="99"/>
        <v>Fixed policy</v>
      </c>
      <c r="BC565" s="34" t="str">
        <f>$B$561</f>
        <v>Operational performance and return adjustment</v>
      </c>
    </row>
    <row r="566" spans="1:56" customFormat="1" ht="14.5" x14ac:dyDescent="0.35">
      <c r="AT566" s="61"/>
    </row>
    <row r="567" spans="1:56" ht="17.5" thickBot="1" x14ac:dyDescent="0.45">
      <c r="B567" s="123" t="s">
        <v>846</v>
      </c>
    </row>
    <row r="568" spans="1:56" ht="16.5" thickTop="1" x14ac:dyDescent="0.35">
      <c r="E568" s="33" t="s">
        <v>403</v>
      </c>
      <c r="G568" s="33" t="s">
        <v>109</v>
      </c>
      <c r="I568" s="23">
        <v>1.1111111111111112</v>
      </c>
      <c r="BA568" s="34" t="str">
        <f t="shared" ref="BA568:BA573" ca="1" si="100">$A$1</f>
        <v>Southern</v>
      </c>
      <c r="BB568" s="34" t="str">
        <f t="shared" ref="BB568:BB573" si="101">$A$533</f>
        <v>Fixed policy</v>
      </c>
      <c r="BC568" s="34" t="str">
        <f t="shared" ref="BC568:BC573" si="102">$B$567</f>
        <v>Assumed cost multipliers</v>
      </c>
      <c r="BD568"/>
    </row>
    <row r="569" spans="1:56" x14ac:dyDescent="0.35">
      <c r="E569" s="33" t="s">
        <v>67</v>
      </c>
      <c r="G569" s="33" t="s">
        <v>109</v>
      </c>
      <c r="I569" s="23">
        <v>1.1111111111111112</v>
      </c>
      <c r="BA569" s="34" t="str">
        <f t="shared" ca="1" si="100"/>
        <v>Southern</v>
      </c>
      <c r="BB569" s="34" t="str">
        <f t="shared" si="101"/>
        <v>Fixed policy</v>
      </c>
      <c r="BC569" s="34" t="str">
        <f t="shared" si="102"/>
        <v>Assumed cost multipliers</v>
      </c>
      <c r="BD569"/>
    </row>
    <row r="570" spans="1:56" x14ac:dyDescent="0.35">
      <c r="E570" s="33" t="s">
        <v>70</v>
      </c>
      <c r="G570" s="33" t="s">
        <v>109</v>
      </c>
      <c r="I570" s="23">
        <v>1</v>
      </c>
      <c r="BA570" s="34" t="str">
        <f t="shared" ca="1" si="100"/>
        <v>Southern</v>
      </c>
      <c r="BB570" s="34" t="str">
        <f t="shared" si="101"/>
        <v>Fixed policy</v>
      </c>
      <c r="BC570" s="34" t="str">
        <f t="shared" si="102"/>
        <v>Assumed cost multipliers</v>
      </c>
      <c r="BD570"/>
    </row>
    <row r="571" spans="1:56" x14ac:dyDescent="0.35">
      <c r="E571" s="33" t="s">
        <v>73</v>
      </c>
      <c r="G571" s="33" t="s">
        <v>109</v>
      </c>
      <c r="I571" s="23">
        <v>0</v>
      </c>
      <c r="BA571" s="34" t="str">
        <f t="shared" ca="1" si="100"/>
        <v>Southern</v>
      </c>
      <c r="BB571" s="34" t="str">
        <f t="shared" si="101"/>
        <v>Fixed policy</v>
      </c>
      <c r="BC571" s="34" t="str">
        <f t="shared" si="102"/>
        <v>Assumed cost multipliers</v>
      </c>
      <c r="BD571"/>
    </row>
    <row r="572" spans="1:56" x14ac:dyDescent="0.35">
      <c r="E572" s="33" t="s">
        <v>74</v>
      </c>
      <c r="G572" s="33" t="s">
        <v>109</v>
      </c>
      <c r="I572" s="23">
        <v>0</v>
      </c>
      <c r="BA572" s="34" t="str">
        <f t="shared" ca="1" si="100"/>
        <v>Southern</v>
      </c>
      <c r="BB572" s="34" t="str">
        <f t="shared" si="101"/>
        <v>Fixed policy</v>
      </c>
      <c r="BC572" s="34" t="str">
        <f t="shared" si="102"/>
        <v>Assumed cost multipliers</v>
      </c>
      <c r="BD572"/>
    </row>
    <row r="573" spans="1:56" x14ac:dyDescent="0.35">
      <c r="E573" s="33" t="s">
        <v>75</v>
      </c>
      <c r="G573" s="33" t="s">
        <v>109</v>
      </c>
      <c r="I573" s="23">
        <v>0</v>
      </c>
      <c r="BA573" s="34" t="str">
        <f t="shared" ca="1" si="100"/>
        <v>Southern</v>
      </c>
      <c r="BB573" s="34" t="str">
        <f t="shared" si="101"/>
        <v>Fixed policy</v>
      </c>
      <c r="BC573" s="34" t="str">
        <f t="shared" si="102"/>
        <v>Assumed cost multipliers</v>
      </c>
      <c r="BD573"/>
    </row>
    <row r="574" spans="1:56" x14ac:dyDescent="0.35"/>
    <row r="575" spans="1:56" customFormat="1" ht="17.5" thickBot="1" x14ac:dyDescent="0.4">
      <c r="A575" s="6"/>
      <c r="B575" s="8" t="s">
        <v>842</v>
      </c>
      <c r="E575" s="33"/>
      <c r="F575" s="33"/>
      <c r="G575" s="33"/>
      <c r="H575" s="33"/>
      <c r="AT575" s="61"/>
      <c r="BA575" s="34"/>
    </row>
    <row r="576" spans="1:56" customFormat="1" ht="16.5" thickTop="1" x14ac:dyDescent="0.35">
      <c r="A576" s="6"/>
      <c r="B576" s="6"/>
      <c r="E576" s="33" t="s">
        <v>521</v>
      </c>
      <c r="F576" s="33"/>
      <c r="G576" s="33" t="s">
        <v>109</v>
      </c>
      <c r="H576" s="33"/>
      <c r="I576" s="84">
        <v>0.08</v>
      </c>
      <c r="AT576" s="61"/>
      <c r="BA576" s="34" t="str">
        <f t="shared" ref="BA576:BA580" ca="1" si="103">$A$1</f>
        <v>Southern</v>
      </c>
      <c r="BB576" s="34" t="str">
        <f t="shared" ref="BB576:BB580" si="104">$A$533</f>
        <v>Fixed policy</v>
      </c>
      <c r="BC576" s="34" t="str">
        <f>$B$575</f>
        <v>Allowed revenue true-up</v>
      </c>
    </row>
    <row r="577" spans="1:55" customFormat="1" x14ac:dyDescent="0.35">
      <c r="A577" s="6"/>
      <c r="B577" s="6"/>
      <c r="E577" s="33" t="s">
        <v>522</v>
      </c>
      <c r="F577" s="33"/>
      <c r="G577" s="33" t="s">
        <v>109</v>
      </c>
      <c r="H577" s="33"/>
      <c r="I577" s="84">
        <v>1.15E-2</v>
      </c>
      <c r="AT577" s="61"/>
      <c r="BA577" s="34" t="str">
        <f t="shared" ca="1" si="103"/>
        <v>Southern</v>
      </c>
      <c r="BB577" s="34" t="str">
        <f t="shared" si="104"/>
        <v>Fixed policy</v>
      </c>
      <c r="BC577" s="34" t="str">
        <f>$B$575</f>
        <v>Allowed revenue true-up</v>
      </c>
    </row>
    <row r="578" spans="1:55" customFormat="1" x14ac:dyDescent="0.35">
      <c r="A578" s="6"/>
      <c r="B578" s="6"/>
      <c r="E578" s="33" t="s">
        <v>523</v>
      </c>
      <c r="F578" s="33"/>
      <c r="G578" s="33" t="s">
        <v>109</v>
      </c>
      <c r="H578" s="33"/>
      <c r="I578" s="84">
        <v>1.15E-2</v>
      </c>
      <c r="AT578" s="61"/>
      <c r="BA578" s="34" t="str">
        <f t="shared" ca="1" si="103"/>
        <v>Southern</v>
      </c>
      <c r="BB578" s="34" t="str">
        <f t="shared" si="104"/>
        <v>Fixed policy</v>
      </c>
      <c r="BC578" s="34" t="str">
        <f>$B$575</f>
        <v>Allowed revenue true-up</v>
      </c>
    </row>
    <row r="579" spans="1:55" customFormat="1" x14ac:dyDescent="0.35">
      <c r="A579" s="6"/>
      <c r="B579" s="6"/>
      <c r="E579" s="33" t="s">
        <v>650</v>
      </c>
      <c r="F579" s="33"/>
      <c r="G579" s="33" t="s">
        <v>190</v>
      </c>
      <c r="H579" s="33"/>
      <c r="I579" s="31">
        <v>5</v>
      </c>
      <c r="AT579" s="61"/>
      <c r="BA579" s="34" t="str">
        <f t="shared" ca="1" si="103"/>
        <v>Southern</v>
      </c>
      <c r="BB579" s="34" t="str">
        <f t="shared" si="104"/>
        <v>Fixed policy</v>
      </c>
      <c r="BC579" s="34" t="str">
        <f t="shared" ref="BC579:BC580" si="105">$B$575</f>
        <v>Allowed revenue true-up</v>
      </c>
    </row>
    <row r="580" spans="1:55" customFormat="1" x14ac:dyDescent="0.35">
      <c r="A580" s="6"/>
      <c r="B580" s="6"/>
      <c r="E580" s="33" t="s">
        <v>651</v>
      </c>
      <c r="F580" s="33"/>
      <c r="G580" s="33" t="s">
        <v>190</v>
      </c>
      <c r="H580" s="33"/>
      <c r="I580" s="31">
        <v>5</v>
      </c>
      <c r="AT580" s="61"/>
      <c r="BA580" s="34" t="str">
        <f t="shared" ca="1" si="103"/>
        <v>Southern</v>
      </c>
      <c r="BB580" s="34" t="str">
        <f t="shared" si="104"/>
        <v>Fixed policy</v>
      </c>
      <c r="BC580" s="34" t="str">
        <f t="shared" si="105"/>
        <v>Allowed revenue true-up</v>
      </c>
    </row>
    <row r="581" spans="1:55" customFormat="1" ht="14.5" x14ac:dyDescent="0.35">
      <c r="AT581" s="61"/>
      <c r="BA581" s="34"/>
    </row>
    <row r="582" spans="1:55" customFormat="1" ht="17.5" thickBot="1" x14ac:dyDescent="0.45">
      <c r="B582" s="15" t="s">
        <v>234</v>
      </c>
      <c r="AT582" s="61"/>
      <c r="BA582" s="34"/>
    </row>
    <row r="583" spans="1:55" customFormat="1" ht="15" thickTop="1" x14ac:dyDescent="0.35">
      <c r="E583" t="s">
        <v>249</v>
      </c>
      <c r="I583" s="30">
        <v>45382</v>
      </c>
      <c r="AT583" s="61"/>
      <c r="BA583" s="34" t="str">
        <f t="shared" ref="BA583:BA591" ca="1" si="106">$A$1</f>
        <v>Southern</v>
      </c>
      <c r="BB583" s="34" t="str">
        <f t="shared" ref="BB583:BB591" si="107">$A$533</f>
        <v>Fixed policy</v>
      </c>
      <c r="BC583" s="34" t="str">
        <f t="shared" ref="BC583:BC591" si="108">$B$582</f>
        <v>Flags</v>
      </c>
    </row>
    <row r="584" spans="1:55" customFormat="1" ht="14.5" x14ac:dyDescent="0.35">
      <c r="E584" t="s">
        <v>451</v>
      </c>
      <c r="G584" t="s">
        <v>239</v>
      </c>
      <c r="I584" s="30">
        <v>46477</v>
      </c>
      <c r="AT584" s="61"/>
      <c r="AU584" s="143">
        <v>1</v>
      </c>
      <c r="BA584" s="34" t="str">
        <f t="shared" ca="1" si="106"/>
        <v>Southern</v>
      </c>
      <c r="BB584" s="34" t="str">
        <f t="shared" si="107"/>
        <v>Fixed policy</v>
      </c>
      <c r="BC584" s="34" t="str">
        <f t="shared" si="108"/>
        <v>Flags</v>
      </c>
    </row>
    <row r="585" spans="1:55" customFormat="1" ht="14.5" x14ac:dyDescent="0.35">
      <c r="E585" t="s">
        <v>235</v>
      </c>
      <c r="G585" t="s">
        <v>239</v>
      </c>
      <c r="AT585" s="61"/>
      <c r="AU585" s="143">
        <v>1</v>
      </c>
      <c r="AV585" s="31">
        <v>1</v>
      </c>
      <c r="AW585" s="31">
        <v>1</v>
      </c>
      <c r="AX585" s="31">
        <v>1</v>
      </c>
      <c r="AY585" s="31">
        <v>1</v>
      </c>
      <c r="BA585" s="34" t="str">
        <f t="shared" ca="1" si="106"/>
        <v>Southern</v>
      </c>
      <c r="BB585" s="34" t="str">
        <f t="shared" si="107"/>
        <v>Fixed policy</v>
      </c>
      <c r="BC585" s="34" t="str">
        <f t="shared" si="108"/>
        <v>Flags</v>
      </c>
    </row>
    <row r="586" spans="1:55" customFormat="1" ht="14.5" x14ac:dyDescent="0.35">
      <c r="E586" t="s">
        <v>237</v>
      </c>
      <c r="G586" t="s">
        <v>239</v>
      </c>
      <c r="J586" s="33" t="s">
        <v>13</v>
      </c>
      <c r="AP586" s="31">
        <v>1</v>
      </c>
      <c r="AQ586" s="31">
        <v>1</v>
      </c>
      <c r="AR586" s="31">
        <v>1</v>
      </c>
      <c r="AS586" s="31">
        <v>1</v>
      </c>
      <c r="AT586" s="67">
        <v>1</v>
      </c>
      <c r="BA586" s="34" t="str">
        <f t="shared" ca="1" si="106"/>
        <v>Southern</v>
      </c>
      <c r="BB586" s="34" t="str">
        <f t="shared" si="107"/>
        <v>Fixed policy</v>
      </c>
      <c r="BC586" s="34" t="str">
        <f t="shared" si="108"/>
        <v>Flags</v>
      </c>
    </row>
    <row r="587" spans="1:55" customFormat="1" ht="14.5" x14ac:dyDescent="0.35">
      <c r="E587" t="s">
        <v>460</v>
      </c>
      <c r="G587" t="s">
        <v>239</v>
      </c>
      <c r="J587" s="33" t="s">
        <v>13</v>
      </c>
      <c r="AH587" s="31">
        <v>1</v>
      </c>
      <c r="AI587" s="31">
        <v>1</v>
      </c>
      <c r="AJ587" s="31">
        <v>1</v>
      </c>
      <c r="AK587" s="31">
        <v>1</v>
      </c>
      <c r="AL587" s="31">
        <v>1</v>
      </c>
      <c r="AM587" s="31">
        <v>1</v>
      </c>
      <c r="AN587" s="31">
        <v>1</v>
      </c>
      <c r="AO587" s="31">
        <v>1</v>
      </c>
      <c r="AT587" s="61"/>
      <c r="BA587" s="34" t="str">
        <f t="shared" ca="1" si="106"/>
        <v>Southern</v>
      </c>
      <c r="BB587" s="34" t="str">
        <f t="shared" si="107"/>
        <v>Fixed policy</v>
      </c>
      <c r="BC587" s="34" t="str">
        <f t="shared" si="108"/>
        <v>Flags</v>
      </c>
    </row>
    <row r="588" spans="1:55" customFormat="1" ht="14.5" x14ac:dyDescent="0.35">
      <c r="E588" t="s">
        <v>641</v>
      </c>
      <c r="G588" t="s">
        <v>239</v>
      </c>
      <c r="J588" s="33"/>
      <c r="AT588" s="67">
        <v>1</v>
      </c>
      <c r="BA588" s="34" t="str">
        <f t="shared" ca="1" si="106"/>
        <v>Southern</v>
      </c>
      <c r="BB588" s="34" t="str">
        <f t="shared" si="107"/>
        <v>Fixed policy</v>
      </c>
      <c r="BC588" s="34" t="str">
        <f t="shared" si="108"/>
        <v>Flags</v>
      </c>
    </row>
    <row r="589" spans="1:55" customFormat="1" ht="14.5" x14ac:dyDescent="0.35">
      <c r="AT589" s="61"/>
      <c r="BA589" s="34"/>
      <c r="BB589" s="34"/>
      <c r="BC589" s="34"/>
    </row>
    <row r="590" spans="1:55" customFormat="1" ht="14.5" x14ac:dyDescent="0.35">
      <c r="E590" t="s">
        <v>833</v>
      </c>
      <c r="G590" t="s">
        <v>236</v>
      </c>
      <c r="AT590" s="61"/>
      <c r="AU590" s="143">
        <v>1</v>
      </c>
      <c r="AV590" s="31">
        <v>1</v>
      </c>
      <c r="AW590" s="31">
        <v>1</v>
      </c>
      <c r="AX590" s="31">
        <v>1</v>
      </c>
      <c r="BA590" s="34" t="str">
        <f t="shared" ca="1" si="106"/>
        <v>Southern</v>
      </c>
      <c r="BB590" s="34" t="str">
        <f t="shared" si="107"/>
        <v>Fixed policy</v>
      </c>
      <c r="BC590" s="34" t="str">
        <f t="shared" si="108"/>
        <v>Flags</v>
      </c>
    </row>
    <row r="591" spans="1:55" customFormat="1" ht="14.5" x14ac:dyDescent="0.35">
      <c r="E591" t="s">
        <v>834</v>
      </c>
      <c r="G591" t="s">
        <v>236</v>
      </c>
      <c r="AT591" s="61"/>
      <c r="AY591" s="31">
        <v>1</v>
      </c>
      <c r="BA591" s="34" t="str">
        <f t="shared" ca="1" si="106"/>
        <v>Southern</v>
      </c>
      <c r="BB591" s="34" t="str">
        <f t="shared" si="107"/>
        <v>Fixed policy</v>
      </c>
      <c r="BC591" s="34" t="str">
        <f t="shared" si="108"/>
        <v>Flags</v>
      </c>
    </row>
    <row r="592" spans="1:55" customFormat="1" ht="14.5" x14ac:dyDescent="0.35">
      <c r="AT592" s="61"/>
      <c r="BA592" s="34"/>
      <c r="BB592" s="34"/>
      <c r="BC592" s="34"/>
    </row>
    <row r="593" spans="1:55" customFormat="1" ht="14.5" x14ac:dyDescent="0.35">
      <c r="E593" t="s">
        <v>646</v>
      </c>
      <c r="G593" t="s">
        <v>239</v>
      </c>
      <c r="J593" s="33"/>
      <c r="AH593" s="31">
        <v>1</v>
      </c>
      <c r="AT593" s="61"/>
      <c r="BA593" s="34" t="str">
        <f t="shared" ref="BA593" ca="1" si="109">$A$1</f>
        <v>Southern</v>
      </c>
      <c r="BB593" s="34" t="str">
        <f t="shared" ref="BB593" si="110">$A$533</f>
        <v>Fixed policy</v>
      </c>
      <c r="BC593" s="34" t="str">
        <f t="shared" ref="BC593" si="111">$B$582</f>
        <v>Flags</v>
      </c>
    </row>
    <row r="594" spans="1:55" customFormat="1" ht="14.5" x14ac:dyDescent="0.35">
      <c r="AT594" s="61"/>
      <c r="BA594" s="34"/>
      <c r="BB594" s="34"/>
      <c r="BC594" s="34"/>
    </row>
    <row r="595" spans="1:55" customFormat="1" ht="14.5" x14ac:dyDescent="0.35">
      <c r="E595" t="s">
        <v>238</v>
      </c>
      <c r="G595" t="s">
        <v>239</v>
      </c>
      <c r="I595" s="32" t="s">
        <v>240</v>
      </c>
      <c r="AT595" s="61"/>
      <c r="BA595" s="34" t="str">
        <f t="shared" ref="BA595" ca="1" si="112">$A$1</f>
        <v>Southern</v>
      </c>
      <c r="BB595" s="34" t="str">
        <f t="shared" ref="BB595" si="113">$A$533</f>
        <v>Fixed policy</v>
      </c>
      <c r="BC595" s="34" t="str">
        <f>$B$582</f>
        <v>Flags</v>
      </c>
    </row>
    <row r="596" spans="1:55" x14ac:dyDescent="0.35"/>
    <row r="597" spans="1:55" ht="20" thickBot="1" x14ac:dyDescent="0.4">
      <c r="A597" s="18" t="s">
        <v>241</v>
      </c>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U597" s="10"/>
      <c r="AV597" s="10"/>
      <c r="AW597" s="10"/>
      <c r="AX597" s="10"/>
      <c r="AY597" s="10"/>
      <c r="AZ597" s="10"/>
      <c r="BA597" s="16"/>
      <c r="BB597" s="10"/>
      <c r="BC597" s="10"/>
    </row>
    <row r="598" spans="1:55" ht="16.5" thickTop="1" x14ac:dyDescent="0.35"/>
    <row r="599" spans="1:55" x14ac:dyDescent="0.35"/>
    <row r="600" spans="1:55" x14ac:dyDescent="0.35"/>
    <row r="601" spans="1:55" x14ac:dyDescent="0.35"/>
    <row r="602" spans="1:55" x14ac:dyDescent="0.35"/>
    <row r="603" spans="1:55" x14ac:dyDescent="0.35"/>
    <row r="604" spans="1:55" x14ac:dyDescent="0.35"/>
    <row r="605" spans="1:55" x14ac:dyDescent="0.35"/>
    <row r="606" spans="1:55" x14ac:dyDescent="0.35"/>
    <row r="607" spans="1:55" x14ac:dyDescent="0.35"/>
    <row r="608" spans="1:55"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sheetData>
  <dataConsolidate/>
  <conditionalFormatting sqref="H1">
    <cfRule type="cellIs" dxfId="0" priority="1" operator="equal">
      <formula>"ERROR"</formula>
    </cfRule>
  </conditionalFormatting>
  <pageMargins left="0.23622047244094491" right="0.23622047244094491" top="0.74803149606299213" bottom="0.74803149606299213" header="0.31496062992125984" footer="0.31496062992125984"/>
  <pageSetup paperSize="8" fitToHeight="0" orientation="portrait" r:id="rId1"/>
  <headerFooter>
    <oddHeader>&amp;L&amp;"Aptos"&amp;10&amp;K000000 Classified as Internal&amp;1#_x000D_</oddHeader>
    <oddFooter>&amp;LDraft at &amp;D&amp;R"&amp;A" sheet&amp;R"&amp;A" sheet&amp;R"&amp;A" sheet&amp;R"&amp;A" sheet&amp;R"&amp;A" sheet&amp;R"&amp;A" sheet&amp;R"&amp;A" sheet&amp;R"&amp;A" sheet</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905B2-5B89-4D3A-A81C-72E9AFE314B7}">
  <sheetPr>
    <tabColor rgb="FFFF9900"/>
    <pageSetUpPr autoPageBreaks="0" fitToPage="1"/>
  </sheetPr>
  <dimension ref="A1:BM846"/>
  <sheetViews>
    <sheetView zoomScaleNormal="100" workbookViewId="0">
      <pane xSplit="46" ySplit="4" topLeftCell="AU5" activePane="bottomRight" state="frozen"/>
      <selection pane="topRight" activeCell="AU1" sqref="AU1"/>
      <selection pane="bottomLeft" activeCell="A5" sqref="A5"/>
      <selection pane="bottomRight" activeCell="AU5" sqref="AU5"/>
    </sheetView>
  </sheetViews>
  <sheetFormatPr defaultColWidth="0" defaultRowHeight="16" zeroHeight="1" outlineLevelCol="1" x14ac:dyDescent="0.35"/>
  <cols>
    <col min="1" max="2" width="1.90625" style="6" customWidth="1"/>
    <col min="3" max="3" width="1.90625" customWidth="1"/>
    <col min="4" max="4" width="15.6328125" customWidth="1"/>
    <col min="5" max="5" width="65.6328125" style="33" customWidth="1"/>
    <col min="6" max="6" width="8.6328125" style="33" customWidth="1"/>
    <col min="7" max="7" width="17.6328125" style="33" customWidth="1"/>
    <col min="8" max="8" width="9.6328125" style="33" customWidth="1"/>
    <col min="9" max="9" width="11.6328125" style="33" customWidth="1"/>
    <col min="10" max="10" width="2.08984375" style="33" customWidth="1"/>
    <col min="11" max="45" width="11.6328125" style="33" hidden="1" customWidth="1" outlineLevel="1"/>
    <col min="46" max="46" width="11.6328125" style="60" hidden="1" customWidth="1" outlineLevel="1"/>
    <col min="47" max="47" width="11.6328125" style="33" customWidth="1" collapsed="1"/>
    <col min="48" max="51" width="11.6328125" style="33" customWidth="1"/>
    <col min="52" max="52" width="18.6328125" style="33" customWidth="1"/>
    <col min="53" max="56" width="10.6328125" style="34" customWidth="1"/>
    <col min="57" max="57" width="10.6328125" style="33" customWidth="1"/>
    <col min="58" max="58" width="1.6328125" style="33" customWidth="1"/>
    <col min="59" max="59" width="1.6328125" style="6" customWidth="1"/>
    <col min="60" max="60" width="12.08984375" style="6" hidden="1" customWidth="1"/>
    <col min="61" max="61" width="16" style="6" hidden="1" customWidth="1"/>
    <col min="62" max="64" width="12.08984375" style="6" hidden="1" customWidth="1"/>
    <col min="65" max="65" width="1.90625" style="6" hidden="1" customWidth="1"/>
    <col min="66" max="16384" width="0" style="6" hidden="1"/>
  </cols>
  <sheetData>
    <row r="1" spans="1:65" s="115" customFormat="1" ht="14.5" x14ac:dyDescent="0.35">
      <c r="A1" s="114" t="str" cm="1">
        <f t="array" aca="1" ref="A1" ca="1">MID(CELL("filename",$A$1),FIND("]",CELL("filename",$A$1))+1,255)</f>
        <v>Checks</v>
      </c>
      <c r="G1" s="115" t="s">
        <v>572</v>
      </c>
      <c r="H1" s="27" t="e">
        <f>I7</f>
        <v>#REF!</v>
      </c>
      <c r="AT1" s="116"/>
      <c r="BA1" s="117"/>
    </row>
    <row r="2" spans="1:65" s="115" customFormat="1" ht="14.5" x14ac:dyDescent="0.35">
      <c r="AT2" s="116"/>
      <c r="BA2" s="117"/>
    </row>
    <row r="3" spans="1:65" s="115" customFormat="1" ht="14.5" x14ac:dyDescent="0.35">
      <c r="E3" s="115" t="s">
        <v>1</v>
      </c>
      <c r="F3" s="115" t="s">
        <v>2</v>
      </c>
      <c r="G3" s="115" t="s">
        <v>3</v>
      </c>
      <c r="H3" s="115" t="s">
        <v>4</v>
      </c>
      <c r="AT3" s="116"/>
      <c r="AU3" s="115" t="s">
        <v>6</v>
      </c>
      <c r="BA3" s="117"/>
    </row>
    <row r="4" spans="1:65" s="115" customFormat="1" ht="14.5" x14ac:dyDescent="0.35">
      <c r="E4" s="115" t="s">
        <v>7</v>
      </c>
      <c r="K4" s="118">
        <v>33328</v>
      </c>
      <c r="L4" s="118">
        <v>33694</v>
      </c>
      <c r="M4" s="118">
        <v>34059</v>
      </c>
      <c r="N4" s="118">
        <v>34424</v>
      </c>
      <c r="O4" s="118">
        <v>34789</v>
      </c>
      <c r="P4" s="118">
        <v>35155</v>
      </c>
      <c r="Q4" s="118">
        <v>35520</v>
      </c>
      <c r="R4" s="118">
        <v>35885</v>
      </c>
      <c r="S4" s="118">
        <v>36250</v>
      </c>
      <c r="T4" s="118">
        <v>36616</v>
      </c>
      <c r="U4" s="118">
        <v>36981</v>
      </c>
      <c r="V4" s="118">
        <v>37346</v>
      </c>
      <c r="W4" s="118">
        <v>37711</v>
      </c>
      <c r="X4" s="118">
        <v>38077</v>
      </c>
      <c r="Y4" s="118">
        <v>38442</v>
      </c>
      <c r="Z4" s="118">
        <v>38807</v>
      </c>
      <c r="AA4" s="118">
        <v>39172</v>
      </c>
      <c r="AB4" s="118">
        <v>39538</v>
      </c>
      <c r="AC4" s="118">
        <v>39903</v>
      </c>
      <c r="AD4" s="118">
        <v>40268</v>
      </c>
      <c r="AE4" s="118">
        <v>40633</v>
      </c>
      <c r="AF4" s="118">
        <v>40999</v>
      </c>
      <c r="AG4" s="118">
        <v>41364</v>
      </c>
      <c r="AH4" s="118">
        <v>41729</v>
      </c>
      <c r="AI4" s="118">
        <v>42094</v>
      </c>
      <c r="AJ4" s="118">
        <v>42460</v>
      </c>
      <c r="AK4" s="118">
        <v>42825</v>
      </c>
      <c r="AL4" s="118">
        <v>43190</v>
      </c>
      <c r="AM4" s="118">
        <v>43555</v>
      </c>
      <c r="AN4" s="118">
        <v>43921</v>
      </c>
      <c r="AO4" s="118">
        <v>44286</v>
      </c>
      <c r="AP4" s="118">
        <v>44651</v>
      </c>
      <c r="AQ4" s="118">
        <v>45016</v>
      </c>
      <c r="AR4" s="118">
        <v>45382</v>
      </c>
      <c r="AS4" s="118">
        <v>45747</v>
      </c>
      <c r="AT4" s="119">
        <v>46112</v>
      </c>
      <c r="AU4" s="118">
        <v>46477</v>
      </c>
      <c r="AV4" s="118">
        <v>46843</v>
      </c>
      <c r="AW4" s="118">
        <v>47208</v>
      </c>
      <c r="AX4" s="118">
        <v>47573</v>
      </c>
      <c r="AY4" s="118">
        <v>47938</v>
      </c>
      <c r="BA4" s="117"/>
    </row>
    <row r="5" spans="1:65" customFormat="1" ht="14.5" x14ac:dyDescent="0.35">
      <c r="AT5" s="61"/>
    </row>
    <row r="6" spans="1:65" customFormat="1" ht="20" thickBot="1" x14ac:dyDescent="0.5">
      <c r="A6" s="13" t="s">
        <v>571</v>
      </c>
      <c r="AT6" s="61"/>
    </row>
    <row r="7" spans="1:65" customFormat="1" ht="15" thickTop="1" x14ac:dyDescent="0.35">
      <c r="I7" s="12" t="e">
        <f>IF(SUM(I10:I24)&lt;&gt;0,"ERROR","No errors")</f>
        <v>#REF!</v>
      </c>
      <c r="AT7" s="61"/>
    </row>
    <row r="8" spans="1:65" customFormat="1" ht="14.5" x14ac:dyDescent="0.35">
      <c r="AT8" s="61"/>
    </row>
    <row r="9" spans="1:65" s="34" customFormat="1" ht="20" thickBot="1" x14ac:dyDescent="0.5">
      <c r="A9" s="13" t="s">
        <v>678</v>
      </c>
      <c r="B9" s="6"/>
      <c r="C9"/>
      <c r="D9"/>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60"/>
      <c r="AU9" s="33"/>
      <c r="AV9" s="33"/>
      <c r="AW9" s="33"/>
      <c r="AX9" s="33"/>
      <c r="AY9" s="33"/>
      <c r="AZ9" s="33"/>
      <c r="BE9" s="33"/>
      <c r="BF9" s="33"/>
      <c r="BG9" s="6"/>
      <c r="BH9" s="6"/>
      <c r="BI9" s="6"/>
      <c r="BJ9" s="6"/>
      <c r="BK9" s="6"/>
      <c r="BL9" s="6"/>
      <c r="BM9" s="6"/>
    </row>
    <row r="10" spans="1:65" s="34" customFormat="1" ht="16.5" thickTop="1" x14ac:dyDescent="0.35">
      <c r="A10" s="6"/>
      <c r="B10" s="6"/>
      <c r="C10"/>
      <c r="D10"/>
      <c r="E10" s="33" t="s">
        <v>679</v>
      </c>
      <c r="F10" s="33"/>
      <c r="G10" s="33"/>
      <c r="H10" s="33"/>
      <c r="I10" s="44">
        <f>COUNTIF(AU97:AY146,FALSE)</f>
        <v>0</v>
      </c>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60"/>
      <c r="AU10" s="33"/>
      <c r="AV10" s="33"/>
      <c r="AW10" s="33"/>
      <c r="AX10" s="33"/>
      <c r="AY10" s="33"/>
      <c r="AZ10" s="33"/>
      <c r="BE10" s="33"/>
      <c r="BF10" s="33"/>
      <c r="BG10" s="6"/>
      <c r="BH10" s="6"/>
      <c r="BI10" s="6"/>
      <c r="BJ10" s="6"/>
      <c r="BK10" s="6"/>
      <c r="BL10" s="6"/>
      <c r="BM10" s="6"/>
    </row>
    <row r="11" spans="1:65" s="34" customFormat="1" x14ac:dyDescent="0.35">
      <c r="A11" s="6"/>
      <c r="B11" s="6"/>
      <c r="C11"/>
      <c r="D11"/>
      <c r="E11" s="33" t="s">
        <v>680</v>
      </c>
      <c r="F11" s="33"/>
      <c r="G11" s="33"/>
      <c r="H11" s="33"/>
      <c r="I11" s="44">
        <f>COUNTIFS(BC97:BC147,TRUE)</f>
        <v>0</v>
      </c>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60"/>
      <c r="AU11" s="33"/>
      <c r="AV11" s="33"/>
      <c r="AW11" s="33"/>
      <c r="AX11" s="33"/>
      <c r="AY11" s="33"/>
      <c r="AZ11" s="33"/>
      <c r="BE11" s="33"/>
      <c r="BF11" s="33"/>
      <c r="BG11" s="6"/>
      <c r="BH11" s="6"/>
      <c r="BI11" s="6"/>
      <c r="BJ11" s="6"/>
      <c r="BK11" s="6"/>
      <c r="BL11" s="6"/>
      <c r="BM11" s="6"/>
    </row>
    <row r="12" spans="1:65" s="34" customFormat="1" x14ac:dyDescent="0.35">
      <c r="A12" s="6"/>
      <c r="B12" s="6"/>
      <c r="C12"/>
      <c r="D12"/>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60"/>
      <c r="AU12" s="33"/>
      <c r="AV12" s="33"/>
      <c r="AW12" s="33"/>
      <c r="AX12" s="33"/>
      <c r="AY12"/>
      <c r="AZ12" s="33"/>
      <c r="BE12" s="33"/>
      <c r="BF12" s="33"/>
      <c r="BG12" s="6"/>
      <c r="BH12" s="6"/>
      <c r="BI12" s="6"/>
      <c r="BJ12" s="6"/>
      <c r="BK12" s="6"/>
      <c r="BL12" s="6"/>
      <c r="BM12" s="6"/>
    </row>
    <row r="13" spans="1:65" customFormat="1" ht="14.5" x14ac:dyDescent="0.35">
      <c r="E13" t="s">
        <v>681</v>
      </c>
      <c r="I13" s="44">
        <f>IF(COUNTA(LicenseeSelect!E99:E150)=COUNTA(E97:E146),0,1)</f>
        <v>0</v>
      </c>
      <c r="AT13" s="61"/>
    </row>
    <row r="14" spans="1:65" customFormat="1" ht="14.5" x14ac:dyDescent="0.35">
      <c r="I14" s="44"/>
      <c r="AT14" s="61"/>
    </row>
    <row r="15" spans="1:65" customFormat="1" ht="14.5" x14ac:dyDescent="0.35">
      <c r="E15" s="33" t="s">
        <v>682</v>
      </c>
      <c r="I15" s="44" t="e">
        <f>SUM(I28:I35,K28:AY35)</f>
        <v>#REF!</v>
      </c>
      <c r="AT15" s="61"/>
    </row>
    <row r="16" spans="1:65" customFormat="1" ht="14.5" x14ac:dyDescent="0.35">
      <c r="E16" s="33" t="s">
        <v>683</v>
      </c>
      <c r="I16" s="44">
        <f ca="1">SUM(I38:I51,K38:AY51)</f>
        <v>0</v>
      </c>
      <c r="AT16" s="61"/>
    </row>
    <row r="17" spans="1:51" customFormat="1" ht="14.5" x14ac:dyDescent="0.35">
      <c r="E17" s="33" t="s">
        <v>572</v>
      </c>
      <c r="I17" s="44">
        <f ca="1">SUM(I54:I66,K54:AY66)</f>
        <v>0</v>
      </c>
      <c r="AT17" s="61"/>
    </row>
    <row r="18" spans="1:51" customFormat="1" ht="14.5" x14ac:dyDescent="0.35">
      <c r="AT18" s="61"/>
    </row>
    <row r="19" spans="1:51" customFormat="1" ht="14.5" x14ac:dyDescent="0.35">
      <c r="E19" s="33" t="s">
        <v>684</v>
      </c>
      <c r="I19" s="44">
        <f>IF(SUM(AU94:AY94)=5,0,1)</f>
        <v>0</v>
      </c>
      <c r="AT19" s="61"/>
    </row>
    <row r="20" spans="1:51" customFormat="1" ht="14.5" x14ac:dyDescent="0.35">
      <c r="E20" s="33"/>
      <c r="AT20" s="61"/>
    </row>
    <row r="21" spans="1:51" customFormat="1" ht="14.5" x14ac:dyDescent="0.35">
      <c r="E21" s="33" t="s">
        <v>685</v>
      </c>
      <c r="I21" s="44">
        <f>IF((SUM(I70:I78)/9)=I70,0,1)</f>
        <v>1</v>
      </c>
      <c r="AT21" s="61"/>
    </row>
    <row r="22" spans="1:51" customFormat="1" ht="14.5" x14ac:dyDescent="0.35">
      <c r="E22" s="33"/>
      <c r="AT22" s="61"/>
    </row>
    <row r="23" spans="1:51" customFormat="1" ht="14.5" x14ac:dyDescent="0.35">
      <c r="E23" t="s">
        <v>686</v>
      </c>
      <c r="I23" s="44">
        <f>(SUM(AU89:AY89)&lt;&gt;0)*1</f>
        <v>0</v>
      </c>
      <c r="AT23" s="61"/>
    </row>
    <row r="24" spans="1:51" customFormat="1" ht="14.5" x14ac:dyDescent="0.35">
      <c r="E24" t="s">
        <v>687</v>
      </c>
      <c r="I24" s="44">
        <f>(SUM(AU90:AY90)&lt;&gt;0)*1</f>
        <v>0</v>
      </c>
      <c r="AT24" s="61"/>
    </row>
    <row r="25" spans="1:51" customFormat="1" ht="14.5" x14ac:dyDescent="0.35">
      <c r="AT25" s="61"/>
    </row>
    <row r="26" spans="1:51" customFormat="1" ht="20" thickBot="1" x14ac:dyDescent="0.5">
      <c r="A26" s="13" t="s">
        <v>688</v>
      </c>
      <c r="AT26" s="61"/>
    </row>
    <row r="27" spans="1:51" customFormat="1" ht="18" thickTop="1" thickBot="1" x14ac:dyDescent="0.45">
      <c r="A27" s="6"/>
      <c r="B27" s="15" t="s">
        <v>689</v>
      </c>
      <c r="G27" s="58"/>
      <c r="I27" s="33"/>
      <c r="J27" s="33"/>
      <c r="K27" s="33"/>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60"/>
      <c r="AU27" s="33"/>
      <c r="AV27" s="33"/>
      <c r="AW27" s="33"/>
      <c r="AX27" s="33"/>
      <c r="AY27" s="33"/>
    </row>
    <row r="28" spans="1:51" customFormat="1" ht="15" thickTop="1" x14ac:dyDescent="0.35">
      <c r="E28" t="s">
        <v>581</v>
      </c>
      <c r="I28" s="44" t="e" cm="1">
        <f t="array" ref="I28">SUM(--_xlfn.ISFORMULA(#REF!))</f>
        <v>#REF!</v>
      </c>
      <c r="K28" s="44" t="e" cm="1">
        <f t="array" ref="K28">SUM(--_xlfn.ISFORMULA(#REF!))</f>
        <v>#REF!</v>
      </c>
      <c r="L28" s="44" t="e" cm="1">
        <f t="array" ref="L28">SUM(--_xlfn.ISFORMULA(#REF!))</f>
        <v>#REF!</v>
      </c>
      <c r="M28" s="44" t="e" cm="1">
        <f t="array" ref="M28">SUM(--_xlfn.ISFORMULA(#REF!))</f>
        <v>#REF!</v>
      </c>
      <c r="N28" s="44" t="e" cm="1">
        <f t="array" ref="N28">SUM(--_xlfn.ISFORMULA(#REF!))</f>
        <v>#REF!</v>
      </c>
      <c r="O28" s="44" t="e" cm="1">
        <f t="array" ref="O28">SUM(--_xlfn.ISFORMULA(#REF!))</f>
        <v>#REF!</v>
      </c>
      <c r="P28" s="44" t="e" cm="1">
        <f t="array" ref="P28">SUM(--_xlfn.ISFORMULA(#REF!))</f>
        <v>#REF!</v>
      </c>
      <c r="Q28" s="44" t="e" cm="1">
        <f t="array" ref="Q28">SUM(--_xlfn.ISFORMULA(#REF!))</f>
        <v>#REF!</v>
      </c>
      <c r="R28" s="44" t="e" cm="1">
        <f t="array" ref="R28">SUM(--_xlfn.ISFORMULA(#REF!))</f>
        <v>#REF!</v>
      </c>
      <c r="S28" s="44" t="e" cm="1">
        <f t="array" ref="S28">SUM(--_xlfn.ISFORMULA(#REF!))</f>
        <v>#REF!</v>
      </c>
      <c r="T28" s="44" t="e" cm="1">
        <f t="array" ref="T28">SUM(--_xlfn.ISFORMULA(#REF!))</f>
        <v>#REF!</v>
      </c>
      <c r="U28" s="44" t="e" cm="1">
        <f t="array" ref="U28">SUM(--_xlfn.ISFORMULA(#REF!))</f>
        <v>#REF!</v>
      </c>
      <c r="V28" s="44" t="e" cm="1">
        <f t="array" ref="V28">SUM(--_xlfn.ISFORMULA(#REF!))</f>
        <v>#REF!</v>
      </c>
      <c r="W28" s="44" t="e" cm="1">
        <f t="array" ref="W28">SUM(--_xlfn.ISFORMULA(#REF!))</f>
        <v>#REF!</v>
      </c>
      <c r="X28" s="44" t="e" cm="1">
        <f t="array" ref="X28">SUM(--_xlfn.ISFORMULA(#REF!))</f>
        <v>#REF!</v>
      </c>
      <c r="Y28" s="44" t="e" cm="1">
        <f t="array" ref="Y28">SUM(--_xlfn.ISFORMULA(#REF!))</f>
        <v>#REF!</v>
      </c>
      <c r="Z28" s="44" t="e" cm="1">
        <f t="array" ref="Z28">SUM(--_xlfn.ISFORMULA(#REF!))</f>
        <v>#REF!</v>
      </c>
      <c r="AA28" s="44" t="e" cm="1">
        <f t="array" ref="AA28">SUM(--_xlfn.ISFORMULA(#REF!))</f>
        <v>#REF!</v>
      </c>
      <c r="AB28" s="44" t="e" cm="1">
        <f t="array" ref="AB28">SUM(--_xlfn.ISFORMULA(#REF!))</f>
        <v>#REF!</v>
      </c>
      <c r="AC28" s="44" t="e" cm="1">
        <f t="array" ref="AC28">SUM(--_xlfn.ISFORMULA(#REF!))</f>
        <v>#REF!</v>
      </c>
      <c r="AD28" s="44" t="e" cm="1">
        <f t="array" ref="AD28">SUM(--_xlfn.ISFORMULA(#REF!))</f>
        <v>#REF!</v>
      </c>
      <c r="AE28" s="44" t="e" cm="1">
        <f t="array" ref="AE28">SUM(--_xlfn.ISFORMULA(#REF!))</f>
        <v>#REF!</v>
      </c>
      <c r="AF28" s="44" t="e" cm="1">
        <f t="array" ref="AF28">SUM(--_xlfn.ISFORMULA(#REF!))</f>
        <v>#REF!</v>
      </c>
      <c r="AG28" s="44" t="e" cm="1">
        <f t="array" ref="AG28">SUM(--_xlfn.ISFORMULA(#REF!))</f>
        <v>#REF!</v>
      </c>
      <c r="AH28" s="44" t="e" cm="1">
        <f t="array" ref="AH28">SUM(--_xlfn.ISFORMULA(#REF!))</f>
        <v>#REF!</v>
      </c>
      <c r="AI28" s="44" t="e" cm="1">
        <f t="array" ref="AI28">SUM(--_xlfn.ISFORMULA(#REF!))</f>
        <v>#REF!</v>
      </c>
      <c r="AJ28" s="44" t="e" cm="1">
        <f t="array" ref="AJ28">SUM(--_xlfn.ISFORMULA(#REF!))</f>
        <v>#REF!</v>
      </c>
      <c r="AK28" s="44" t="e" cm="1">
        <f t="array" ref="AK28">SUM(--_xlfn.ISFORMULA(#REF!))</f>
        <v>#REF!</v>
      </c>
      <c r="AL28" s="44" t="e" cm="1">
        <f t="array" ref="AL28">SUM(--_xlfn.ISFORMULA(#REF!))</f>
        <v>#REF!</v>
      </c>
      <c r="AM28" s="44" t="e" cm="1">
        <f t="array" ref="AM28">SUM(--_xlfn.ISFORMULA(#REF!))</f>
        <v>#REF!</v>
      </c>
      <c r="AN28" s="44" t="e" cm="1">
        <f t="array" ref="AN28">SUM(--_xlfn.ISFORMULA(#REF!))</f>
        <v>#REF!</v>
      </c>
      <c r="AO28" s="44" t="e" cm="1">
        <f t="array" ref="AO28">SUM(--_xlfn.ISFORMULA(#REF!))</f>
        <v>#REF!</v>
      </c>
      <c r="AP28" s="44" t="e" cm="1">
        <f t="array" ref="AP28">SUM(--_xlfn.ISFORMULA(#REF!))</f>
        <v>#REF!</v>
      </c>
      <c r="AQ28" s="44" t="e" cm="1">
        <f t="array" ref="AQ28">SUM(--_xlfn.ISFORMULA(#REF!))</f>
        <v>#REF!</v>
      </c>
      <c r="AR28" s="44" t="e" cm="1">
        <f t="array" ref="AR28">SUM(--_xlfn.ISFORMULA(#REF!))</f>
        <v>#REF!</v>
      </c>
      <c r="AS28" s="44" t="e" cm="1">
        <f t="array" ref="AS28">SUM(--_xlfn.ISFORMULA(#REF!))</f>
        <v>#REF!</v>
      </c>
      <c r="AT28" s="176" t="e" cm="1">
        <f t="array" ref="AT28">SUM(--_xlfn.ISFORMULA(#REF!))</f>
        <v>#REF!</v>
      </c>
      <c r="AU28" s="160" t="e" cm="1">
        <f t="array" ref="AU28">SUM(--_xlfn.ISFORMULA(#REF!))</f>
        <v>#REF!</v>
      </c>
      <c r="AV28" s="44" t="e" cm="1">
        <f t="array" ref="AV28">SUM(--_xlfn.ISFORMULA(#REF!))</f>
        <v>#REF!</v>
      </c>
      <c r="AW28" s="44" t="e" cm="1">
        <f t="array" ref="AW28">SUM(--_xlfn.ISFORMULA(#REF!))</f>
        <v>#REF!</v>
      </c>
      <c r="AX28" s="44" t="e" cm="1">
        <f t="array" ref="AX28">SUM(--_xlfn.ISFORMULA(#REF!))</f>
        <v>#REF!</v>
      </c>
      <c r="AY28" s="44" t="e" cm="1">
        <f t="array" ref="AY28">SUM(--_xlfn.ISFORMULA(#REF!))</f>
        <v>#REF!</v>
      </c>
    </row>
    <row r="29" spans="1:51" customFormat="1" ht="14.5" x14ac:dyDescent="0.35">
      <c r="E29" t="s">
        <v>582</v>
      </c>
      <c r="I29" s="44" t="e" cm="1">
        <f t="array" ref="I29">SUM(--_xlfn.ISFORMULA(#REF!))</f>
        <v>#REF!</v>
      </c>
      <c r="K29" s="44" t="e" cm="1">
        <f t="array" ref="K29">SUM(--_xlfn.ISFORMULA(#REF!))</f>
        <v>#REF!</v>
      </c>
      <c r="L29" s="44" t="e" cm="1">
        <f t="array" ref="L29">SUM(--_xlfn.ISFORMULA(#REF!))</f>
        <v>#REF!</v>
      </c>
      <c r="M29" s="44" t="e" cm="1">
        <f t="array" ref="M29">SUM(--_xlfn.ISFORMULA(#REF!))</f>
        <v>#REF!</v>
      </c>
      <c r="N29" s="44" t="e" cm="1">
        <f t="array" ref="N29">SUM(--_xlfn.ISFORMULA(#REF!))</f>
        <v>#REF!</v>
      </c>
      <c r="O29" s="44" t="e" cm="1">
        <f t="array" ref="O29">SUM(--_xlfn.ISFORMULA(#REF!))</f>
        <v>#REF!</v>
      </c>
      <c r="P29" s="44" t="e" cm="1">
        <f t="array" ref="P29">SUM(--_xlfn.ISFORMULA(#REF!))</f>
        <v>#REF!</v>
      </c>
      <c r="Q29" s="44" t="e" cm="1">
        <f t="array" ref="Q29">SUM(--_xlfn.ISFORMULA(#REF!))</f>
        <v>#REF!</v>
      </c>
      <c r="R29" s="44" t="e" cm="1">
        <f t="array" ref="R29">SUM(--_xlfn.ISFORMULA(#REF!))</f>
        <v>#REF!</v>
      </c>
      <c r="S29" s="44" t="e" cm="1">
        <f t="array" ref="S29">SUM(--_xlfn.ISFORMULA(#REF!))</f>
        <v>#REF!</v>
      </c>
      <c r="T29" s="44" t="e" cm="1">
        <f t="array" ref="T29">SUM(--_xlfn.ISFORMULA(#REF!))</f>
        <v>#REF!</v>
      </c>
      <c r="U29" s="44" t="e" cm="1">
        <f t="array" ref="U29">SUM(--_xlfn.ISFORMULA(#REF!))</f>
        <v>#REF!</v>
      </c>
      <c r="V29" s="44" t="e" cm="1">
        <f t="array" ref="V29">SUM(--_xlfn.ISFORMULA(#REF!))</f>
        <v>#REF!</v>
      </c>
      <c r="W29" s="44" t="e" cm="1">
        <f t="array" ref="W29">SUM(--_xlfn.ISFORMULA(#REF!))</f>
        <v>#REF!</v>
      </c>
      <c r="X29" s="44" t="e" cm="1">
        <f t="array" ref="X29">SUM(--_xlfn.ISFORMULA(#REF!))</f>
        <v>#REF!</v>
      </c>
      <c r="Y29" s="44" t="e" cm="1">
        <f t="array" ref="Y29">SUM(--_xlfn.ISFORMULA(#REF!))</f>
        <v>#REF!</v>
      </c>
      <c r="Z29" s="44" t="e" cm="1">
        <f t="array" ref="Z29">SUM(--_xlfn.ISFORMULA(#REF!))</f>
        <v>#REF!</v>
      </c>
      <c r="AA29" s="44" t="e" cm="1">
        <f t="array" ref="AA29">SUM(--_xlfn.ISFORMULA(#REF!))</f>
        <v>#REF!</v>
      </c>
      <c r="AB29" s="44" t="e" cm="1">
        <f t="array" ref="AB29">SUM(--_xlfn.ISFORMULA(#REF!))</f>
        <v>#REF!</v>
      </c>
      <c r="AC29" s="44" t="e" cm="1">
        <f t="array" ref="AC29">SUM(--_xlfn.ISFORMULA(#REF!))</f>
        <v>#REF!</v>
      </c>
      <c r="AD29" s="44" t="e" cm="1">
        <f t="array" ref="AD29">SUM(--_xlfn.ISFORMULA(#REF!))</f>
        <v>#REF!</v>
      </c>
      <c r="AE29" s="44" t="e" cm="1">
        <f t="array" ref="AE29">SUM(--_xlfn.ISFORMULA(#REF!))</f>
        <v>#REF!</v>
      </c>
      <c r="AF29" s="44" t="e" cm="1">
        <f t="array" ref="AF29">SUM(--_xlfn.ISFORMULA(#REF!))</f>
        <v>#REF!</v>
      </c>
      <c r="AG29" s="44" t="e" cm="1">
        <f t="array" ref="AG29">SUM(--_xlfn.ISFORMULA(#REF!))</f>
        <v>#REF!</v>
      </c>
      <c r="AH29" s="44" t="e" cm="1">
        <f t="array" ref="AH29">SUM(--_xlfn.ISFORMULA(#REF!))</f>
        <v>#REF!</v>
      </c>
      <c r="AI29" s="44" t="e" cm="1">
        <f t="array" ref="AI29">SUM(--_xlfn.ISFORMULA(#REF!))</f>
        <v>#REF!</v>
      </c>
      <c r="AJ29" s="44" t="e" cm="1">
        <f t="array" ref="AJ29">SUM(--_xlfn.ISFORMULA(#REF!))</f>
        <v>#REF!</v>
      </c>
      <c r="AK29" s="44" t="e" cm="1">
        <f t="array" ref="AK29">SUM(--_xlfn.ISFORMULA(#REF!))</f>
        <v>#REF!</v>
      </c>
      <c r="AL29" s="44" t="e" cm="1">
        <f t="array" ref="AL29">SUM(--_xlfn.ISFORMULA(#REF!))</f>
        <v>#REF!</v>
      </c>
      <c r="AM29" s="44" t="e" cm="1">
        <f t="array" ref="AM29">SUM(--_xlfn.ISFORMULA(#REF!))</f>
        <v>#REF!</v>
      </c>
      <c r="AN29" s="44" t="e" cm="1">
        <f t="array" ref="AN29">SUM(--_xlfn.ISFORMULA(#REF!))</f>
        <v>#REF!</v>
      </c>
      <c r="AO29" s="44" t="e" cm="1">
        <f t="array" ref="AO29">SUM(--_xlfn.ISFORMULA(#REF!))</f>
        <v>#REF!</v>
      </c>
      <c r="AP29" s="44" t="e" cm="1">
        <f t="array" ref="AP29">SUM(--_xlfn.ISFORMULA(#REF!))</f>
        <v>#REF!</v>
      </c>
      <c r="AQ29" s="44" t="e" cm="1">
        <f t="array" ref="AQ29">SUM(--_xlfn.ISFORMULA(#REF!))</f>
        <v>#REF!</v>
      </c>
      <c r="AR29" s="44" t="e" cm="1">
        <f t="array" ref="AR29">SUM(--_xlfn.ISFORMULA(#REF!))</f>
        <v>#REF!</v>
      </c>
      <c r="AS29" s="44" t="e" cm="1">
        <f t="array" ref="AS29">SUM(--_xlfn.ISFORMULA(#REF!))</f>
        <v>#REF!</v>
      </c>
      <c r="AT29" s="176" t="e" cm="1">
        <f t="array" ref="AT29">SUM(--_xlfn.ISFORMULA(#REF!))</f>
        <v>#REF!</v>
      </c>
      <c r="AU29" s="160" t="e" cm="1">
        <f t="array" ref="AU29">SUM(--_xlfn.ISFORMULA(#REF!))</f>
        <v>#REF!</v>
      </c>
      <c r="AV29" s="44" t="e" cm="1">
        <f t="array" ref="AV29">SUM(--_xlfn.ISFORMULA(#REF!))</f>
        <v>#REF!</v>
      </c>
      <c r="AW29" s="44" t="e" cm="1">
        <f t="array" ref="AW29">SUM(--_xlfn.ISFORMULA(#REF!))</f>
        <v>#REF!</v>
      </c>
      <c r="AX29" s="44" t="e" cm="1">
        <f t="array" ref="AX29">SUM(--_xlfn.ISFORMULA(#REF!))</f>
        <v>#REF!</v>
      </c>
      <c r="AY29" s="44" t="e" cm="1">
        <f t="array" ref="AY29">SUM(--_xlfn.ISFORMULA(#REF!))</f>
        <v>#REF!</v>
      </c>
    </row>
    <row r="30" spans="1:51" customFormat="1" ht="14.5" x14ac:dyDescent="0.35">
      <c r="E30" t="s">
        <v>583</v>
      </c>
      <c r="I30" s="44" t="e" cm="1">
        <f t="array" ref="I30">SUM(--_xlfn.ISFORMULA(#REF!))</f>
        <v>#REF!</v>
      </c>
      <c r="K30" s="44" t="e" cm="1">
        <f t="array" ref="K30">SUM(--_xlfn.ISFORMULA(#REF!))</f>
        <v>#REF!</v>
      </c>
      <c r="L30" s="44" t="e" cm="1">
        <f t="array" ref="L30">SUM(--_xlfn.ISFORMULA(#REF!))</f>
        <v>#REF!</v>
      </c>
      <c r="M30" s="44" t="e" cm="1">
        <f t="array" ref="M30">SUM(--_xlfn.ISFORMULA(#REF!))</f>
        <v>#REF!</v>
      </c>
      <c r="N30" s="44" t="e" cm="1">
        <f t="array" ref="N30">SUM(--_xlfn.ISFORMULA(#REF!))</f>
        <v>#REF!</v>
      </c>
      <c r="O30" s="44" t="e" cm="1">
        <f t="array" ref="O30">SUM(--_xlfn.ISFORMULA(#REF!))</f>
        <v>#REF!</v>
      </c>
      <c r="P30" s="44" t="e" cm="1">
        <f t="array" ref="P30">SUM(--_xlfn.ISFORMULA(#REF!))</f>
        <v>#REF!</v>
      </c>
      <c r="Q30" s="44" t="e" cm="1">
        <f t="array" ref="Q30">SUM(--_xlfn.ISFORMULA(#REF!))</f>
        <v>#REF!</v>
      </c>
      <c r="R30" s="44" t="e" cm="1">
        <f t="array" ref="R30">SUM(--_xlfn.ISFORMULA(#REF!))</f>
        <v>#REF!</v>
      </c>
      <c r="S30" s="44" t="e" cm="1">
        <f t="array" ref="S30">SUM(--_xlfn.ISFORMULA(#REF!))</f>
        <v>#REF!</v>
      </c>
      <c r="T30" s="44" t="e" cm="1">
        <f t="array" ref="T30">SUM(--_xlfn.ISFORMULA(#REF!))</f>
        <v>#REF!</v>
      </c>
      <c r="U30" s="44" t="e" cm="1">
        <f t="array" ref="U30">SUM(--_xlfn.ISFORMULA(#REF!))</f>
        <v>#REF!</v>
      </c>
      <c r="V30" s="44" t="e" cm="1">
        <f t="array" ref="V30">SUM(--_xlfn.ISFORMULA(#REF!))</f>
        <v>#REF!</v>
      </c>
      <c r="W30" s="44" t="e" cm="1">
        <f t="array" ref="W30">SUM(--_xlfn.ISFORMULA(#REF!))</f>
        <v>#REF!</v>
      </c>
      <c r="X30" s="44" t="e" cm="1">
        <f t="array" ref="X30">SUM(--_xlfn.ISFORMULA(#REF!))</f>
        <v>#REF!</v>
      </c>
      <c r="Y30" s="44" t="e" cm="1">
        <f t="array" ref="Y30">SUM(--_xlfn.ISFORMULA(#REF!))</f>
        <v>#REF!</v>
      </c>
      <c r="Z30" s="44" t="e" cm="1">
        <f t="array" ref="Z30">SUM(--_xlfn.ISFORMULA(#REF!))</f>
        <v>#REF!</v>
      </c>
      <c r="AA30" s="44" t="e" cm="1">
        <f t="array" ref="AA30">SUM(--_xlfn.ISFORMULA(#REF!))</f>
        <v>#REF!</v>
      </c>
      <c r="AB30" s="44" t="e" cm="1">
        <f t="array" ref="AB30">SUM(--_xlfn.ISFORMULA(#REF!))</f>
        <v>#REF!</v>
      </c>
      <c r="AC30" s="44" t="e" cm="1">
        <f t="array" ref="AC30">SUM(--_xlfn.ISFORMULA(#REF!))</f>
        <v>#REF!</v>
      </c>
      <c r="AD30" s="44" t="e" cm="1">
        <f t="array" ref="AD30">SUM(--_xlfn.ISFORMULA(#REF!))</f>
        <v>#REF!</v>
      </c>
      <c r="AE30" s="44" t="e" cm="1">
        <f t="array" ref="AE30">SUM(--_xlfn.ISFORMULA(#REF!))</f>
        <v>#REF!</v>
      </c>
      <c r="AF30" s="44" t="e" cm="1">
        <f t="array" ref="AF30">SUM(--_xlfn.ISFORMULA(#REF!))</f>
        <v>#REF!</v>
      </c>
      <c r="AG30" s="44" t="e" cm="1">
        <f t="array" ref="AG30">SUM(--_xlfn.ISFORMULA(#REF!))</f>
        <v>#REF!</v>
      </c>
      <c r="AH30" s="44" t="e" cm="1">
        <f t="array" ref="AH30">SUM(--_xlfn.ISFORMULA(#REF!))</f>
        <v>#REF!</v>
      </c>
      <c r="AI30" s="44" t="e" cm="1">
        <f t="array" ref="AI30">SUM(--_xlfn.ISFORMULA(#REF!))</f>
        <v>#REF!</v>
      </c>
      <c r="AJ30" s="44" t="e" cm="1">
        <f t="array" ref="AJ30">SUM(--_xlfn.ISFORMULA(#REF!))</f>
        <v>#REF!</v>
      </c>
      <c r="AK30" s="44" t="e" cm="1">
        <f t="array" ref="AK30">SUM(--_xlfn.ISFORMULA(#REF!))</f>
        <v>#REF!</v>
      </c>
      <c r="AL30" s="44" t="e" cm="1">
        <f t="array" ref="AL30">SUM(--_xlfn.ISFORMULA(#REF!))</f>
        <v>#REF!</v>
      </c>
      <c r="AM30" s="44" t="e" cm="1">
        <f t="array" ref="AM30">SUM(--_xlfn.ISFORMULA(#REF!))</f>
        <v>#REF!</v>
      </c>
      <c r="AN30" s="44" t="e" cm="1">
        <f t="array" ref="AN30">SUM(--_xlfn.ISFORMULA(#REF!))</f>
        <v>#REF!</v>
      </c>
      <c r="AO30" s="44" t="e" cm="1">
        <f t="array" ref="AO30">SUM(--_xlfn.ISFORMULA(#REF!))</f>
        <v>#REF!</v>
      </c>
      <c r="AP30" s="44" t="e" cm="1">
        <f t="array" ref="AP30">SUM(--_xlfn.ISFORMULA(#REF!))</f>
        <v>#REF!</v>
      </c>
      <c r="AQ30" s="44" t="e" cm="1">
        <f t="array" ref="AQ30">SUM(--_xlfn.ISFORMULA(#REF!))</f>
        <v>#REF!</v>
      </c>
      <c r="AR30" s="44" t="e" cm="1">
        <f t="array" ref="AR30">SUM(--_xlfn.ISFORMULA(#REF!))</f>
        <v>#REF!</v>
      </c>
      <c r="AS30" s="44" t="e" cm="1">
        <f t="array" ref="AS30">SUM(--_xlfn.ISFORMULA(#REF!))</f>
        <v>#REF!</v>
      </c>
      <c r="AT30" s="176" t="e" cm="1">
        <f t="array" ref="AT30">SUM(--_xlfn.ISFORMULA(#REF!))</f>
        <v>#REF!</v>
      </c>
      <c r="AU30" s="160" t="e" cm="1">
        <f t="array" ref="AU30">SUM(--_xlfn.ISFORMULA(#REF!))</f>
        <v>#REF!</v>
      </c>
      <c r="AV30" s="44" t="e" cm="1">
        <f t="array" ref="AV30">SUM(--_xlfn.ISFORMULA(#REF!))</f>
        <v>#REF!</v>
      </c>
      <c r="AW30" s="44" t="e" cm="1">
        <f t="array" ref="AW30">SUM(--_xlfn.ISFORMULA(#REF!))</f>
        <v>#REF!</v>
      </c>
      <c r="AX30" s="44" t="e" cm="1">
        <f t="array" ref="AX30">SUM(--_xlfn.ISFORMULA(#REF!))</f>
        <v>#REF!</v>
      </c>
      <c r="AY30" s="44" t="e" cm="1">
        <f t="array" ref="AY30">SUM(--_xlfn.ISFORMULA(#REF!))</f>
        <v>#REF!</v>
      </c>
    </row>
    <row r="31" spans="1:51" customFormat="1" ht="14.5" x14ac:dyDescent="0.35">
      <c r="E31" t="s">
        <v>584</v>
      </c>
      <c r="I31" s="44" t="e" cm="1">
        <f t="array" ref="I31">SUM(--_xlfn.ISFORMULA(#REF!))</f>
        <v>#REF!</v>
      </c>
      <c r="K31" s="44" t="e" cm="1">
        <f t="array" ref="K31">SUM(--_xlfn.ISFORMULA(#REF!))</f>
        <v>#REF!</v>
      </c>
      <c r="L31" s="44" t="e" cm="1">
        <f t="array" ref="L31">SUM(--_xlfn.ISFORMULA(#REF!))</f>
        <v>#REF!</v>
      </c>
      <c r="M31" s="44" t="e" cm="1">
        <f t="array" ref="M31">SUM(--_xlfn.ISFORMULA(#REF!))</f>
        <v>#REF!</v>
      </c>
      <c r="N31" s="44" t="e" cm="1">
        <f t="array" ref="N31">SUM(--_xlfn.ISFORMULA(#REF!))</f>
        <v>#REF!</v>
      </c>
      <c r="O31" s="44" t="e" cm="1">
        <f t="array" ref="O31">SUM(--_xlfn.ISFORMULA(#REF!))</f>
        <v>#REF!</v>
      </c>
      <c r="P31" s="44" t="e" cm="1">
        <f t="array" ref="P31">SUM(--_xlfn.ISFORMULA(#REF!))</f>
        <v>#REF!</v>
      </c>
      <c r="Q31" s="44" t="e" cm="1">
        <f t="array" ref="Q31">SUM(--_xlfn.ISFORMULA(#REF!))</f>
        <v>#REF!</v>
      </c>
      <c r="R31" s="44" t="e" cm="1">
        <f t="array" ref="R31">SUM(--_xlfn.ISFORMULA(#REF!))</f>
        <v>#REF!</v>
      </c>
      <c r="S31" s="44" t="e" cm="1">
        <f t="array" ref="S31">SUM(--_xlfn.ISFORMULA(#REF!))</f>
        <v>#REF!</v>
      </c>
      <c r="T31" s="44" t="e" cm="1">
        <f t="array" ref="T31">SUM(--_xlfn.ISFORMULA(#REF!))</f>
        <v>#REF!</v>
      </c>
      <c r="U31" s="44" t="e" cm="1">
        <f t="array" ref="U31">SUM(--_xlfn.ISFORMULA(#REF!))</f>
        <v>#REF!</v>
      </c>
      <c r="V31" s="44" t="e" cm="1">
        <f t="array" ref="V31">SUM(--_xlfn.ISFORMULA(#REF!))</f>
        <v>#REF!</v>
      </c>
      <c r="W31" s="44" t="e" cm="1">
        <f t="array" ref="W31">SUM(--_xlfn.ISFORMULA(#REF!))</f>
        <v>#REF!</v>
      </c>
      <c r="X31" s="44" t="e" cm="1">
        <f t="array" ref="X31">SUM(--_xlfn.ISFORMULA(#REF!))</f>
        <v>#REF!</v>
      </c>
      <c r="Y31" s="44" t="e" cm="1">
        <f t="array" ref="Y31">SUM(--_xlfn.ISFORMULA(#REF!))</f>
        <v>#REF!</v>
      </c>
      <c r="Z31" s="44" t="e" cm="1">
        <f t="array" ref="Z31">SUM(--_xlfn.ISFORMULA(#REF!))</f>
        <v>#REF!</v>
      </c>
      <c r="AA31" s="44" t="e" cm="1">
        <f t="array" ref="AA31">SUM(--_xlfn.ISFORMULA(#REF!))</f>
        <v>#REF!</v>
      </c>
      <c r="AB31" s="44" t="e" cm="1">
        <f t="array" ref="AB31">SUM(--_xlfn.ISFORMULA(#REF!))</f>
        <v>#REF!</v>
      </c>
      <c r="AC31" s="44" t="e" cm="1">
        <f t="array" ref="AC31">SUM(--_xlfn.ISFORMULA(#REF!))</f>
        <v>#REF!</v>
      </c>
      <c r="AD31" s="44" t="e" cm="1">
        <f t="array" ref="AD31">SUM(--_xlfn.ISFORMULA(#REF!))</f>
        <v>#REF!</v>
      </c>
      <c r="AE31" s="44" t="e" cm="1">
        <f t="array" ref="AE31">SUM(--_xlfn.ISFORMULA(#REF!))</f>
        <v>#REF!</v>
      </c>
      <c r="AF31" s="44" t="e" cm="1">
        <f t="array" ref="AF31">SUM(--_xlfn.ISFORMULA(#REF!))</f>
        <v>#REF!</v>
      </c>
      <c r="AG31" s="44" t="e" cm="1">
        <f t="array" ref="AG31">SUM(--_xlfn.ISFORMULA(#REF!))</f>
        <v>#REF!</v>
      </c>
      <c r="AH31" s="44" t="e" cm="1">
        <f t="array" ref="AH31">SUM(--_xlfn.ISFORMULA(#REF!))</f>
        <v>#REF!</v>
      </c>
      <c r="AI31" s="44" t="e" cm="1">
        <f t="array" ref="AI31">SUM(--_xlfn.ISFORMULA(#REF!))</f>
        <v>#REF!</v>
      </c>
      <c r="AJ31" s="44" t="e" cm="1">
        <f t="array" ref="AJ31">SUM(--_xlfn.ISFORMULA(#REF!))</f>
        <v>#REF!</v>
      </c>
      <c r="AK31" s="44" t="e" cm="1">
        <f t="array" ref="AK31">SUM(--_xlfn.ISFORMULA(#REF!))</f>
        <v>#REF!</v>
      </c>
      <c r="AL31" s="44" t="e" cm="1">
        <f t="array" ref="AL31">SUM(--_xlfn.ISFORMULA(#REF!))</f>
        <v>#REF!</v>
      </c>
      <c r="AM31" s="44" t="e" cm="1">
        <f t="array" ref="AM31">SUM(--_xlfn.ISFORMULA(#REF!))</f>
        <v>#REF!</v>
      </c>
      <c r="AN31" s="44" t="e" cm="1">
        <f t="array" ref="AN31">SUM(--_xlfn.ISFORMULA(#REF!))</f>
        <v>#REF!</v>
      </c>
      <c r="AO31" s="44" t="e" cm="1">
        <f t="array" ref="AO31">SUM(--_xlfn.ISFORMULA(#REF!))</f>
        <v>#REF!</v>
      </c>
      <c r="AP31" s="44" t="e" cm="1">
        <f t="array" ref="AP31">SUM(--_xlfn.ISFORMULA(#REF!))</f>
        <v>#REF!</v>
      </c>
      <c r="AQ31" s="44" t="e" cm="1">
        <f t="array" ref="AQ31">SUM(--_xlfn.ISFORMULA(#REF!))</f>
        <v>#REF!</v>
      </c>
      <c r="AR31" s="44" t="e" cm="1">
        <f t="array" ref="AR31">SUM(--_xlfn.ISFORMULA(#REF!))</f>
        <v>#REF!</v>
      </c>
      <c r="AS31" s="44" t="e" cm="1">
        <f t="array" ref="AS31">SUM(--_xlfn.ISFORMULA(#REF!))</f>
        <v>#REF!</v>
      </c>
      <c r="AT31" s="176" t="e" cm="1">
        <f t="array" ref="AT31">SUM(--_xlfn.ISFORMULA(#REF!))</f>
        <v>#REF!</v>
      </c>
      <c r="AU31" s="160" t="e" cm="1">
        <f t="array" ref="AU31">SUM(--_xlfn.ISFORMULA(#REF!))</f>
        <v>#REF!</v>
      </c>
      <c r="AV31" s="44" t="e" cm="1">
        <f t="array" ref="AV31">SUM(--_xlfn.ISFORMULA(#REF!))</f>
        <v>#REF!</v>
      </c>
      <c r="AW31" s="44" t="e" cm="1">
        <f t="array" ref="AW31">SUM(--_xlfn.ISFORMULA(#REF!))</f>
        <v>#REF!</v>
      </c>
      <c r="AX31" s="44" t="e" cm="1">
        <f t="array" ref="AX31">SUM(--_xlfn.ISFORMULA(#REF!))</f>
        <v>#REF!</v>
      </c>
      <c r="AY31" s="44" t="e" cm="1">
        <f t="array" ref="AY31">SUM(--_xlfn.ISFORMULA(#REF!))</f>
        <v>#REF!</v>
      </c>
    </row>
    <row r="32" spans="1:51" customFormat="1" ht="14.5" x14ac:dyDescent="0.35">
      <c r="E32" t="s">
        <v>585</v>
      </c>
      <c r="I32" s="44" t="e" cm="1">
        <f t="array" ref="I32">SUM(--_xlfn.ISFORMULA(#REF!))</f>
        <v>#REF!</v>
      </c>
      <c r="K32" s="44" t="e" cm="1">
        <f t="array" ref="K32">SUM(--_xlfn.ISFORMULA(#REF!))</f>
        <v>#REF!</v>
      </c>
      <c r="L32" s="44" t="e" cm="1">
        <f t="array" ref="L32">SUM(--_xlfn.ISFORMULA(#REF!))</f>
        <v>#REF!</v>
      </c>
      <c r="M32" s="44" t="e" cm="1">
        <f t="array" ref="M32">SUM(--_xlfn.ISFORMULA(#REF!))</f>
        <v>#REF!</v>
      </c>
      <c r="N32" s="44" t="e" cm="1">
        <f t="array" ref="N32">SUM(--_xlfn.ISFORMULA(#REF!))</f>
        <v>#REF!</v>
      </c>
      <c r="O32" s="44" t="e" cm="1">
        <f t="array" ref="O32">SUM(--_xlfn.ISFORMULA(#REF!))</f>
        <v>#REF!</v>
      </c>
      <c r="P32" s="44" t="e" cm="1">
        <f t="array" ref="P32">SUM(--_xlfn.ISFORMULA(#REF!))</f>
        <v>#REF!</v>
      </c>
      <c r="Q32" s="44" t="e" cm="1">
        <f t="array" ref="Q32">SUM(--_xlfn.ISFORMULA(#REF!))</f>
        <v>#REF!</v>
      </c>
      <c r="R32" s="44" t="e" cm="1">
        <f t="array" ref="R32">SUM(--_xlfn.ISFORMULA(#REF!))</f>
        <v>#REF!</v>
      </c>
      <c r="S32" s="44" t="e" cm="1">
        <f t="array" ref="S32">SUM(--_xlfn.ISFORMULA(#REF!))</f>
        <v>#REF!</v>
      </c>
      <c r="T32" s="44" t="e" cm="1">
        <f t="array" ref="T32">SUM(--_xlfn.ISFORMULA(#REF!))</f>
        <v>#REF!</v>
      </c>
      <c r="U32" s="44" t="e" cm="1">
        <f t="array" ref="U32">SUM(--_xlfn.ISFORMULA(#REF!))</f>
        <v>#REF!</v>
      </c>
      <c r="V32" s="44" t="e" cm="1">
        <f t="array" ref="V32">SUM(--_xlfn.ISFORMULA(#REF!))</f>
        <v>#REF!</v>
      </c>
      <c r="W32" s="44" t="e" cm="1">
        <f t="array" ref="W32">SUM(--_xlfn.ISFORMULA(#REF!))</f>
        <v>#REF!</v>
      </c>
      <c r="X32" s="44" t="e" cm="1">
        <f t="array" ref="X32">SUM(--_xlfn.ISFORMULA(#REF!))</f>
        <v>#REF!</v>
      </c>
      <c r="Y32" s="44" t="e" cm="1">
        <f t="array" ref="Y32">SUM(--_xlfn.ISFORMULA(#REF!))</f>
        <v>#REF!</v>
      </c>
      <c r="Z32" s="44" t="e" cm="1">
        <f t="array" ref="Z32">SUM(--_xlfn.ISFORMULA(#REF!))</f>
        <v>#REF!</v>
      </c>
      <c r="AA32" s="44" t="e" cm="1">
        <f t="array" ref="AA32">SUM(--_xlfn.ISFORMULA(#REF!))</f>
        <v>#REF!</v>
      </c>
      <c r="AB32" s="44" t="e" cm="1">
        <f t="array" ref="AB32">SUM(--_xlfn.ISFORMULA(#REF!))</f>
        <v>#REF!</v>
      </c>
      <c r="AC32" s="44" t="e" cm="1">
        <f t="array" ref="AC32">SUM(--_xlfn.ISFORMULA(#REF!))</f>
        <v>#REF!</v>
      </c>
      <c r="AD32" s="44" t="e" cm="1">
        <f t="array" ref="AD32">SUM(--_xlfn.ISFORMULA(#REF!))</f>
        <v>#REF!</v>
      </c>
      <c r="AE32" s="44" t="e" cm="1">
        <f t="array" ref="AE32">SUM(--_xlfn.ISFORMULA(#REF!))</f>
        <v>#REF!</v>
      </c>
      <c r="AF32" s="44" t="e" cm="1">
        <f t="array" ref="AF32">SUM(--_xlfn.ISFORMULA(#REF!))</f>
        <v>#REF!</v>
      </c>
      <c r="AG32" s="44" t="e" cm="1">
        <f t="array" ref="AG32">SUM(--_xlfn.ISFORMULA(#REF!))</f>
        <v>#REF!</v>
      </c>
      <c r="AH32" s="44" t="e" cm="1">
        <f t="array" ref="AH32">SUM(--_xlfn.ISFORMULA(#REF!))</f>
        <v>#REF!</v>
      </c>
      <c r="AI32" s="44" t="e" cm="1">
        <f t="array" ref="AI32">SUM(--_xlfn.ISFORMULA(#REF!))</f>
        <v>#REF!</v>
      </c>
      <c r="AJ32" s="44" t="e" cm="1">
        <f t="array" ref="AJ32">SUM(--_xlfn.ISFORMULA(#REF!))</f>
        <v>#REF!</v>
      </c>
      <c r="AK32" s="44" t="e" cm="1">
        <f t="array" ref="AK32">SUM(--_xlfn.ISFORMULA(#REF!))</f>
        <v>#REF!</v>
      </c>
      <c r="AL32" s="44" t="e" cm="1">
        <f t="array" ref="AL32">SUM(--_xlfn.ISFORMULA(#REF!))</f>
        <v>#REF!</v>
      </c>
      <c r="AM32" s="44" t="e" cm="1">
        <f t="array" ref="AM32">SUM(--_xlfn.ISFORMULA(#REF!))</f>
        <v>#REF!</v>
      </c>
      <c r="AN32" s="44" t="e" cm="1">
        <f t="array" ref="AN32">SUM(--_xlfn.ISFORMULA(#REF!))</f>
        <v>#REF!</v>
      </c>
      <c r="AO32" s="44" t="e" cm="1">
        <f t="array" ref="AO32">SUM(--_xlfn.ISFORMULA(#REF!))</f>
        <v>#REF!</v>
      </c>
      <c r="AP32" s="44" t="e" cm="1">
        <f t="array" ref="AP32">SUM(--_xlfn.ISFORMULA(#REF!))</f>
        <v>#REF!</v>
      </c>
      <c r="AQ32" s="44" t="e" cm="1">
        <f t="array" ref="AQ32">SUM(--_xlfn.ISFORMULA(#REF!))</f>
        <v>#REF!</v>
      </c>
      <c r="AR32" s="44" t="e" cm="1">
        <f t="array" ref="AR32">SUM(--_xlfn.ISFORMULA(#REF!))</f>
        <v>#REF!</v>
      </c>
      <c r="AS32" s="44" t="e" cm="1">
        <f t="array" ref="AS32">SUM(--_xlfn.ISFORMULA(#REF!))</f>
        <v>#REF!</v>
      </c>
      <c r="AT32" s="176" t="e" cm="1">
        <f t="array" ref="AT32">SUM(--_xlfn.ISFORMULA(#REF!))</f>
        <v>#REF!</v>
      </c>
      <c r="AU32" s="160" t="e" cm="1">
        <f t="array" ref="AU32">SUM(--_xlfn.ISFORMULA(#REF!))</f>
        <v>#REF!</v>
      </c>
      <c r="AV32" s="44" t="e" cm="1">
        <f t="array" ref="AV32">SUM(--_xlfn.ISFORMULA(#REF!))</f>
        <v>#REF!</v>
      </c>
      <c r="AW32" s="44" t="e" cm="1">
        <f t="array" ref="AW32">SUM(--_xlfn.ISFORMULA(#REF!))</f>
        <v>#REF!</v>
      </c>
      <c r="AX32" s="44" t="e" cm="1">
        <f t="array" ref="AX32">SUM(--_xlfn.ISFORMULA(#REF!))</f>
        <v>#REF!</v>
      </c>
      <c r="AY32" s="44" t="e" cm="1">
        <f t="array" ref="AY32">SUM(--_xlfn.ISFORMULA(#REF!))</f>
        <v>#REF!</v>
      </c>
    </row>
    <row r="33" spans="1:51" customFormat="1" ht="14.5" x14ac:dyDescent="0.35">
      <c r="E33" t="s">
        <v>586</v>
      </c>
      <c r="I33" s="44" cm="1">
        <f t="array" ref="I33">SUM(--_xlfn.ISFORMULA(Scotland!I$5:I$1230))</f>
        <v>0</v>
      </c>
      <c r="K33" s="44" cm="1">
        <f t="array" ref="K33">SUM(--_xlfn.ISFORMULA(Scotland!K$5:K$1230))</f>
        <v>0</v>
      </c>
      <c r="L33" s="44" cm="1">
        <f t="array" ref="L33">SUM(--_xlfn.ISFORMULA(Scotland!L$5:L$1230))</f>
        <v>0</v>
      </c>
      <c r="M33" s="44" cm="1">
        <f t="array" ref="M33">SUM(--_xlfn.ISFORMULA(Scotland!M$5:M$1230))</f>
        <v>0</v>
      </c>
      <c r="N33" s="44" cm="1">
        <f t="array" ref="N33">SUM(--_xlfn.ISFORMULA(Scotland!N$5:N$1230))</f>
        <v>0</v>
      </c>
      <c r="O33" s="44" cm="1">
        <f t="array" ref="O33">SUM(--_xlfn.ISFORMULA(Scotland!O$5:O$1230))</f>
        <v>0</v>
      </c>
      <c r="P33" s="44" cm="1">
        <f t="array" ref="P33">SUM(--_xlfn.ISFORMULA(Scotland!P$5:P$1230))</f>
        <v>0</v>
      </c>
      <c r="Q33" s="44" cm="1">
        <f t="array" ref="Q33">SUM(--_xlfn.ISFORMULA(Scotland!Q$5:Q$1230))</f>
        <v>0</v>
      </c>
      <c r="R33" s="44" cm="1">
        <f t="array" ref="R33">SUM(--_xlfn.ISFORMULA(Scotland!R$5:R$1230))</f>
        <v>0</v>
      </c>
      <c r="S33" s="44" cm="1">
        <f t="array" ref="S33">SUM(--_xlfn.ISFORMULA(Scotland!S$5:S$1230))</f>
        <v>0</v>
      </c>
      <c r="T33" s="44" cm="1">
        <f t="array" ref="T33">SUM(--_xlfn.ISFORMULA(Scotland!T$5:T$1230))</f>
        <v>0</v>
      </c>
      <c r="U33" s="44" cm="1">
        <f t="array" ref="U33">SUM(--_xlfn.ISFORMULA(Scotland!U$5:U$1230))</f>
        <v>0</v>
      </c>
      <c r="V33" s="44" cm="1">
        <f t="array" ref="V33">SUM(--_xlfn.ISFORMULA(Scotland!V$5:V$1230))</f>
        <v>0</v>
      </c>
      <c r="W33" s="44" cm="1">
        <f t="array" ref="W33">SUM(--_xlfn.ISFORMULA(Scotland!W$5:W$1230))</f>
        <v>0</v>
      </c>
      <c r="X33" s="44" cm="1">
        <f t="array" ref="X33">SUM(--_xlfn.ISFORMULA(Scotland!X$5:X$1230))</f>
        <v>0</v>
      </c>
      <c r="Y33" s="44" cm="1">
        <f t="array" ref="Y33">SUM(--_xlfn.ISFORMULA(Scotland!Y$5:Y$1230))</f>
        <v>0</v>
      </c>
      <c r="Z33" s="44" cm="1">
        <f t="array" ref="Z33">SUM(--_xlfn.ISFORMULA(Scotland!Z$5:Z$1230))</f>
        <v>0</v>
      </c>
      <c r="AA33" s="44" cm="1">
        <f t="array" ref="AA33">SUM(--_xlfn.ISFORMULA(Scotland!AA$5:AA$1230))</f>
        <v>0</v>
      </c>
      <c r="AB33" s="44" cm="1">
        <f t="array" ref="AB33">SUM(--_xlfn.ISFORMULA(Scotland!AB$5:AB$1230))</f>
        <v>0</v>
      </c>
      <c r="AC33" s="44" cm="1">
        <f t="array" ref="AC33">SUM(--_xlfn.ISFORMULA(Scotland!AC$5:AC$1230))</f>
        <v>0</v>
      </c>
      <c r="AD33" s="44" cm="1">
        <f t="array" ref="AD33">SUM(--_xlfn.ISFORMULA(Scotland!AD$5:AD$1230))</f>
        <v>0</v>
      </c>
      <c r="AE33" s="44" cm="1">
        <f t="array" ref="AE33">SUM(--_xlfn.ISFORMULA(Scotland!AE$5:AE$1230))</f>
        <v>0</v>
      </c>
      <c r="AF33" s="44" cm="1">
        <f t="array" ref="AF33">SUM(--_xlfn.ISFORMULA(Scotland!AF$5:AF$1230))</f>
        <v>0</v>
      </c>
      <c r="AG33" s="44" cm="1">
        <f t="array" ref="AG33">SUM(--_xlfn.ISFORMULA(Scotland!AG$5:AG$1230))</f>
        <v>0</v>
      </c>
      <c r="AH33" s="44" cm="1">
        <f t="array" ref="AH33">SUM(--_xlfn.ISFORMULA(Scotland!AH$5:AH$1230))</f>
        <v>0</v>
      </c>
      <c r="AI33" s="44" cm="1">
        <f t="array" ref="AI33">SUM(--_xlfn.ISFORMULA(Scotland!AI$5:AI$1230))</f>
        <v>0</v>
      </c>
      <c r="AJ33" s="44" cm="1">
        <f t="array" ref="AJ33">SUM(--_xlfn.ISFORMULA(Scotland!AJ$5:AJ$1230))</f>
        <v>0</v>
      </c>
      <c r="AK33" s="44" cm="1">
        <f t="array" ref="AK33">SUM(--_xlfn.ISFORMULA(Scotland!AK$5:AK$1230))</f>
        <v>0</v>
      </c>
      <c r="AL33" s="44" cm="1">
        <f t="array" ref="AL33">SUM(--_xlfn.ISFORMULA(Scotland!AL$5:AL$1230))</f>
        <v>0</v>
      </c>
      <c r="AM33" s="44" cm="1">
        <f t="array" ref="AM33">SUM(--_xlfn.ISFORMULA(Scotland!AM$5:AM$1230))</f>
        <v>0</v>
      </c>
      <c r="AN33" s="44" cm="1">
        <f t="array" ref="AN33">SUM(--_xlfn.ISFORMULA(Scotland!AN$5:AN$1230))</f>
        <v>0</v>
      </c>
      <c r="AO33" s="44" cm="1">
        <f t="array" ref="AO33">SUM(--_xlfn.ISFORMULA(Scotland!AO$5:AO$1230))</f>
        <v>0</v>
      </c>
      <c r="AP33" s="44" cm="1">
        <f t="array" ref="AP33">SUM(--_xlfn.ISFORMULA(Scotland!AP$5:AP$1230))</f>
        <v>0</v>
      </c>
      <c r="AQ33" s="44" cm="1">
        <f t="array" ref="AQ33">SUM(--_xlfn.ISFORMULA(Scotland!AQ$5:AQ$1230))</f>
        <v>0</v>
      </c>
      <c r="AR33" s="44" cm="1">
        <f t="array" ref="AR33">SUM(--_xlfn.ISFORMULA(Scotland!AR$5:AR$1230))</f>
        <v>0</v>
      </c>
      <c r="AS33" s="44" cm="1">
        <f t="array" ref="AS33">SUM(--_xlfn.ISFORMULA(Scotland!AS$5:AS$1230))</f>
        <v>0</v>
      </c>
      <c r="AT33" s="176" cm="1">
        <f t="array" ref="AT33">SUM(--_xlfn.ISFORMULA(Scotland!AT$5:AT$1230))</f>
        <v>0</v>
      </c>
      <c r="AU33" s="160" cm="1">
        <f t="array" ref="AU33">SUM(--_xlfn.ISFORMULA(Scotland!AU$5:AU$1230))</f>
        <v>0</v>
      </c>
      <c r="AV33" s="44" cm="1">
        <f t="array" ref="AV33">SUM(--_xlfn.ISFORMULA(Scotland!AV$5:AV$1230))</f>
        <v>0</v>
      </c>
      <c r="AW33" s="44" cm="1">
        <f t="array" ref="AW33">SUM(--_xlfn.ISFORMULA(Scotland!AW$5:AW$1230))</f>
        <v>0</v>
      </c>
      <c r="AX33" s="44" cm="1">
        <f t="array" ref="AX33">SUM(--_xlfn.ISFORMULA(Scotland!AX$5:AX$1230))</f>
        <v>0</v>
      </c>
      <c r="AY33" s="44" cm="1">
        <f t="array" ref="AY33">SUM(--_xlfn.ISFORMULA(Scotland!AY$5:AY$1230))</f>
        <v>0</v>
      </c>
    </row>
    <row r="34" spans="1:51" customFormat="1" ht="14.5" x14ac:dyDescent="0.35">
      <c r="E34" t="s">
        <v>587</v>
      </c>
      <c r="I34" s="44" cm="1">
        <f t="array" ref="I34">SUM(--_xlfn.ISFORMULA(Southern!I$5:I$1230))</f>
        <v>0</v>
      </c>
      <c r="K34" s="44" cm="1">
        <f t="array" ref="K34">SUM(--_xlfn.ISFORMULA(Southern!K$5:K$1230))</f>
        <v>0</v>
      </c>
      <c r="L34" s="44" cm="1">
        <f t="array" ref="L34">SUM(--_xlfn.ISFORMULA(Southern!L$5:L$1230))</f>
        <v>0</v>
      </c>
      <c r="M34" s="44" cm="1">
        <f t="array" ref="M34">SUM(--_xlfn.ISFORMULA(Southern!M$5:M$1230))</f>
        <v>0</v>
      </c>
      <c r="N34" s="44" cm="1">
        <f t="array" ref="N34">SUM(--_xlfn.ISFORMULA(Southern!N$5:N$1230))</f>
        <v>0</v>
      </c>
      <c r="O34" s="44" cm="1">
        <f t="array" ref="O34">SUM(--_xlfn.ISFORMULA(Southern!O$5:O$1230))</f>
        <v>0</v>
      </c>
      <c r="P34" s="44" cm="1">
        <f t="array" ref="P34">SUM(--_xlfn.ISFORMULA(Southern!P$5:P$1230))</f>
        <v>0</v>
      </c>
      <c r="Q34" s="44" cm="1">
        <f t="array" ref="Q34">SUM(--_xlfn.ISFORMULA(Southern!Q$5:Q$1230))</f>
        <v>0</v>
      </c>
      <c r="R34" s="44" cm="1">
        <f t="array" ref="R34">SUM(--_xlfn.ISFORMULA(Southern!R$5:R$1230))</f>
        <v>0</v>
      </c>
      <c r="S34" s="44" cm="1">
        <f t="array" ref="S34">SUM(--_xlfn.ISFORMULA(Southern!S$5:S$1230))</f>
        <v>0</v>
      </c>
      <c r="T34" s="44" cm="1">
        <f t="array" ref="T34">SUM(--_xlfn.ISFORMULA(Southern!T$5:T$1230))</f>
        <v>0</v>
      </c>
      <c r="U34" s="44" cm="1">
        <f t="array" ref="U34">SUM(--_xlfn.ISFORMULA(Southern!U$5:U$1230))</f>
        <v>0</v>
      </c>
      <c r="V34" s="44" cm="1">
        <f t="array" ref="V34">SUM(--_xlfn.ISFORMULA(Southern!V$5:V$1230))</f>
        <v>0</v>
      </c>
      <c r="W34" s="44" cm="1">
        <f t="array" ref="W34">SUM(--_xlfn.ISFORMULA(Southern!W$5:W$1230))</f>
        <v>0</v>
      </c>
      <c r="X34" s="44" cm="1">
        <f t="array" ref="X34">SUM(--_xlfn.ISFORMULA(Southern!X$5:X$1230))</f>
        <v>0</v>
      </c>
      <c r="Y34" s="44" cm="1">
        <f t="array" ref="Y34">SUM(--_xlfn.ISFORMULA(Southern!Y$5:Y$1230))</f>
        <v>0</v>
      </c>
      <c r="Z34" s="44" cm="1">
        <f t="array" ref="Z34">SUM(--_xlfn.ISFORMULA(Southern!Z$5:Z$1230))</f>
        <v>0</v>
      </c>
      <c r="AA34" s="44" cm="1">
        <f t="array" ref="AA34">SUM(--_xlfn.ISFORMULA(Southern!AA$5:AA$1230))</f>
        <v>0</v>
      </c>
      <c r="AB34" s="44" cm="1">
        <f t="array" ref="AB34">SUM(--_xlfn.ISFORMULA(Southern!AB$5:AB$1230))</f>
        <v>0</v>
      </c>
      <c r="AC34" s="44" cm="1">
        <f t="array" ref="AC34">SUM(--_xlfn.ISFORMULA(Southern!AC$5:AC$1230))</f>
        <v>0</v>
      </c>
      <c r="AD34" s="44" cm="1">
        <f t="array" ref="AD34">SUM(--_xlfn.ISFORMULA(Southern!AD$5:AD$1230))</f>
        <v>0</v>
      </c>
      <c r="AE34" s="44" cm="1">
        <f t="array" ref="AE34">SUM(--_xlfn.ISFORMULA(Southern!AE$5:AE$1230))</f>
        <v>0</v>
      </c>
      <c r="AF34" s="44" cm="1">
        <f t="array" ref="AF34">SUM(--_xlfn.ISFORMULA(Southern!AF$5:AF$1230))</f>
        <v>0</v>
      </c>
      <c r="AG34" s="44" cm="1">
        <f t="array" ref="AG34">SUM(--_xlfn.ISFORMULA(Southern!AG$5:AG$1230))</f>
        <v>0</v>
      </c>
      <c r="AH34" s="44" cm="1">
        <f t="array" ref="AH34">SUM(--_xlfn.ISFORMULA(Southern!AH$5:AH$1230))</f>
        <v>0</v>
      </c>
      <c r="AI34" s="44" cm="1">
        <f t="array" ref="AI34">SUM(--_xlfn.ISFORMULA(Southern!AI$5:AI$1230))</f>
        <v>0</v>
      </c>
      <c r="AJ34" s="44" cm="1">
        <f t="array" ref="AJ34">SUM(--_xlfn.ISFORMULA(Southern!AJ$5:AJ$1230))</f>
        <v>0</v>
      </c>
      <c r="AK34" s="44" cm="1">
        <f t="array" ref="AK34">SUM(--_xlfn.ISFORMULA(Southern!AK$5:AK$1230))</f>
        <v>0</v>
      </c>
      <c r="AL34" s="44" cm="1">
        <f t="array" ref="AL34">SUM(--_xlfn.ISFORMULA(Southern!AL$5:AL$1230))</f>
        <v>0</v>
      </c>
      <c r="AM34" s="44" cm="1">
        <f t="array" ref="AM34">SUM(--_xlfn.ISFORMULA(Southern!AM$5:AM$1230))</f>
        <v>0</v>
      </c>
      <c r="AN34" s="44" cm="1">
        <f t="array" ref="AN34">SUM(--_xlfn.ISFORMULA(Southern!AN$5:AN$1230))</f>
        <v>0</v>
      </c>
      <c r="AO34" s="44" cm="1">
        <f t="array" ref="AO34">SUM(--_xlfn.ISFORMULA(Southern!AO$5:AO$1230))</f>
        <v>0</v>
      </c>
      <c r="AP34" s="44" cm="1">
        <f t="array" ref="AP34">SUM(--_xlfn.ISFORMULA(Southern!AP$5:AP$1230))</f>
        <v>0</v>
      </c>
      <c r="AQ34" s="44" cm="1">
        <f t="array" ref="AQ34">SUM(--_xlfn.ISFORMULA(Southern!AQ$5:AQ$1230))</f>
        <v>0</v>
      </c>
      <c r="AR34" s="44" cm="1">
        <f t="array" ref="AR34">SUM(--_xlfn.ISFORMULA(Southern!AR$5:AR$1230))</f>
        <v>0</v>
      </c>
      <c r="AS34" s="44" cm="1">
        <f t="array" ref="AS34">SUM(--_xlfn.ISFORMULA(Southern!AS$5:AS$1230))</f>
        <v>0</v>
      </c>
      <c r="AT34" s="176" cm="1">
        <f t="array" ref="AT34">SUM(--_xlfn.ISFORMULA(Southern!AT$5:AT$1230))</f>
        <v>0</v>
      </c>
      <c r="AU34" s="160" cm="1">
        <f t="array" ref="AU34">SUM(--_xlfn.ISFORMULA(Southern!AU$5:AU$1230))</f>
        <v>0</v>
      </c>
      <c r="AV34" s="44" cm="1">
        <f t="array" ref="AV34">SUM(--_xlfn.ISFORMULA(Southern!AV$5:AV$1230))</f>
        <v>0</v>
      </c>
      <c r="AW34" s="44" cm="1">
        <f t="array" ref="AW34">SUM(--_xlfn.ISFORMULA(Southern!AW$5:AW$1230))</f>
        <v>0</v>
      </c>
      <c r="AX34" s="44" cm="1">
        <f t="array" ref="AX34">SUM(--_xlfn.ISFORMULA(Southern!AX$5:AX$1230))</f>
        <v>0</v>
      </c>
      <c r="AY34" s="44" cm="1">
        <f t="array" ref="AY34">SUM(--_xlfn.ISFORMULA(Southern!AY$5:AY$1230))</f>
        <v>0</v>
      </c>
    </row>
    <row r="35" spans="1:51" customFormat="1" ht="14.5" x14ac:dyDescent="0.35">
      <c r="E35" t="s">
        <v>588</v>
      </c>
      <c r="I35" s="44" t="e" cm="1">
        <f t="array" ref="I35">SUM(--_xlfn.ISFORMULA(#REF!))</f>
        <v>#REF!</v>
      </c>
      <c r="K35" s="44" t="e" cm="1">
        <f t="array" ref="K35">SUM(--_xlfn.ISFORMULA(#REF!))</f>
        <v>#REF!</v>
      </c>
      <c r="L35" s="44" t="e" cm="1">
        <f t="array" ref="L35">SUM(--_xlfn.ISFORMULA(#REF!))</f>
        <v>#REF!</v>
      </c>
      <c r="M35" s="44" t="e" cm="1">
        <f t="array" ref="M35">SUM(--_xlfn.ISFORMULA(#REF!))</f>
        <v>#REF!</v>
      </c>
      <c r="N35" s="44" t="e" cm="1">
        <f t="array" ref="N35">SUM(--_xlfn.ISFORMULA(#REF!))</f>
        <v>#REF!</v>
      </c>
      <c r="O35" s="44" t="e" cm="1">
        <f t="array" ref="O35">SUM(--_xlfn.ISFORMULA(#REF!))</f>
        <v>#REF!</v>
      </c>
      <c r="P35" s="44" t="e" cm="1">
        <f t="array" ref="P35">SUM(--_xlfn.ISFORMULA(#REF!))</f>
        <v>#REF!</v>
      </c>
      <c r="Q35" s="44" t="e" cm="1">
        <f t="array" ref="Q35">SUM(--_xlfn.ISFORMULA(#REF!))</f>
        <v>#REF!</v>
      </c>
      <c r="R35" s="44" t="e" cm="1">
        <f t="array" ref="R35">SUM(--_xlfn.ISFORMULA(#REF!))</f>
        <v>#REF!</v>
      </c>
      <c r="S35" s="44" t="e" cm="1">
        <f t="array" ref="S35">SUM(--_xlfn.ISFORMULA(#REF!))</f>
        <v>#REF!</v>
      </c>
      <c r="T35" s="44" t="e" cm="1">
        <f t="array" ref="T35">SUM(--_xlfn.ISFORMULA(#REF!))</f>
        <v>#REF!</v>
      </c>
      <c r="U35" s="44" t="e" cm="1">
        <f t="array" ref="U35">SUM(--_xlfn.ISFORMULA(#REF!))</f>
        <v>#REF!</v>
      </c>
      <c r="V35" s="44" t="e" cm="1">
        <f t="array" ref="V35">SUM(--_xlfn.ISFORMULA(#REF!))</f>
        <v>#REF!</v>
      </c>
      <c r="W35" s="44" t="e" cm="1">
        <f t="array" ref="W35">SUM(--_xlfn.ISFORMULA(#REF!))</f>
        <v>#REF!</v>
      </c>
      <c r="X35" s="44" t="e" cm="1">
        <f t="array" ref="X35">SUM(--_xlfn.ISFORMULA(#REF!))</f>
        <v>#REF!</v>
      </c>
      <c r="Y35" s="44" t="e" cm="1">
        <f t="array" ref="Y35">SUM(--_xlfn.ISFORMULA(#REF!))</f>
        <v>#REF!</v>
      </c>
      <c r="Z35" s="44" t="e" cm="1">
        <f t="array" ref="Z35">SUM(--_xlfn.ISFORMULA(#REF!))</f>
        <v>#REF!</v>
      </c>
      <c r="AA35" s="44" t="e" cm="1">
        <f t="array" ref="AA35">SUM(--_xlfn.ISFORMULA(#REF!))</f>
        <v>#REF!</v>
      </c>
      <c r="AB35" s="44" t="e" cm="1">
        <f t="array" ref="AB35">SUM(--_xlfn.ISFORMULA(#REF!))</f>
        <v>#REF!</v>
      </c>
      <c r="AC35" s="44" t="e" cm="1">
        <f t="array" ref="AC35">SUM(--_xlfn.ISFORMULA(#REF!))</f>
        <v>#REF!</v>
      </c>
      <c r="AD35" s="44" t="e" cm="1">
        <f t="array" ref="AD35">SUM(--_xlfn.ISFORMULA(#REF!))</f>
        <v>#REF!</v>
      </c>
      <c r="AE35" s="44" t="e" cm="1">
        <f t="array" ref="AE35">SUM(--_xlfn.ISFORMULA(#REF!))</f>
        <v>#REF!</v>
      </c>
      <c r="AF35" s="44" t="e" cm="1">
        <f t="array" ref="AF35">SUM(--_xlfn.ISFORMULA(#REF!))</f>
        <v>#REF!</v>
      </c>
      <c r="AG35" s="44" t="e" cm="1">
        <f t="array" ref="AG35">SUM(--_xlfn.ISFORMULA(#REF!))</f>
        <v>#REF!</v>
      </c>
      <c r="AH35" s="44" t="e" cm="1">
        <f t="array" ref="AH35">SUM(--_xlfn.ISFORMULA(#REF!))</f>
        <v>#REF!</v>
      </c>
      <c r="AI35" s="44" t="e" cm="1">
        <f t="array" ref="AI35">SUM(--_xlfn.ISFORMULA(#REF!))</f>
        <v>#REF!</v>
      </c>
      <c r="AJ35" s="44" t="e" cm="1">
        <f t="array" ref="AJ35">SUM(--_xlfn.ISFORMULA(#REF!))</f>
        <v>#REF!</v>
      </c>
      <c r="AK35" s="44" t="e" cm="1">
        <f t="array" ref="AK35">SUM(--_xlfn.ISFORMULA(#REF!))</f>
        <v>#REF!</v>
      </c>
      <c r="AL35" s="44" t="e" cm="1">
        <f t="array" ref="AL35">SUM(--_xlfn.ISFORMULA(#REF!))</f>
        <v>#REF!</v>
      </c>
      <c r="AM35" s="44" t="e" cm="1">
        <f t="array" ref="AM35">SUM(--_xlfn.ISFORMULA(#REF!))</f>
        <v>#REF!</v>
      </c>
      <c r="AN35" s="44" t="e" cm="1">
        <f t="array" ref="AN35">SUM(--_xlfn.ISFORMULA(#REF!))</f>
        <v>#REF!</v>
      </c>
      <c r="AO35" s="44" t="e" cm="1">
        <f t="array" ref="AO35">SUM(--_xlfn.ISFORMULA(#REF!))</f>
        <v>#REF!</v>
      </c>
      <c r="AP35" s="44" t="e" cm="1">
        <f t="array" ref="AP35">SUM(--_xlfn.ISFORMULA(#REF!))</f>
        <v>#REF!</v>
      </c>
      <c r="AQ35" s="44" t="e" cm="1">
        <f t="array" ref="AQ35">SUM(--_xlfn.ISFORMULA(#REF!))</f>
        <v>#REF!</v>
      </c>
      <c r="AR35" s="44" t="e" cm="1">
        <f t="array" ref="AR35">SUM(--_xlfn.ISFORMULA(#REF!))</f>
        <v>#REF!</v>
      </c>
      <c r="AS35" s="44" t="e" cm="1">
        <f t="array" ref="AS35">SUM(--_xlfn.ISFORMULA(#REF!))</f>
        <v>#REF!</v>
      </c>
      <c r="AT35" s="176" t="e" cm="1">
        <f t="array" ref="AT35">SUM(--_xlfn.ISFORMULA(#REF!))</f>
        <v>#REF!</v>
      </c>
      <c r="AU35" s="160" t="e" cm="1">
        <f t="array" ref="AU35">SUM(--_xlfn.ISFORMULA(#REF!))</f>
        <v>#REF!</v>
      </c>
      <c r="AV35" s="44" t="e" cm="1">
        <f t="array" ref="AV35">SUM(--_xlfn.ISFORMULA(#REF!))</f>
        <v>#REF!</v>
      </c>
      <c r="AW35" s="44" t="e" cm="1">
        <f t="array" ref="AW35">SUM(--_xlfn.ISFORMULA(#REF!))</f>
        <v>#REF!</v>
      </c>
      <c r="AX35" s="44" t="e" cm="1">
        <f t="array" ref="AX35">SUM(--_xlfn.ISFORMULA(#REF!))</f>
        <v>#REF!</v>
      </c>
      <c r="AY35" s="44" t="e" cm="1">
        <f t="array" ref="AY35">SUM(--_xlfn.ISFORMULA(#REF!))</f>
        <v>#REF!</v>
      </c>
    </row>
    <row r="36" spans="1:51" customFormat="1" ht="14.5" x14ac:dyDescent="0.35">
      <c r="AT36" s="61"/>
    </row>
    <row r="37" spans="1:51" customFormat="1" ht="17.5" thickBot="1" x14ac:dyDescent="0.45">
      <c r="A37" s="6"/>
      <c r="B37" s="15" t="s">
        <v>690</v>
      </c>
      <c r="G37" s="58"/>
      <c r="AT37" s="61"/>
    </row>
    <row r="38" spans="1:51" customFormat="1" ht="15" thickTop="1" x14ac:dyDescent="0.35">
      <c r="E38" t="s">
        <v>567</v>
      </c>
      <c r="I38" s="44" cm="1">
        <f t="array" ref="I38">COUNTA(LicenseeSelect!I$5:I$1230)-SUM(--_xlfn.ISFORMULA(LicenseeSelect!I$5:I$1230))</f>
        <v>0</v>
      </c>
      <c r="K38" s="44" cm="1">
        <f t="array" ref="K38">COUNTA(LicenseeSelect!K$5:K$1230)-SUM(--_xlfn.ISFORMULA(LicenseeSelect!K$5:K$1230))</f>
        <v>0</v>
      </c>
      <c r="L38" s="44" cm="1">
        <f t="array" ref="L38">COUNTA(LicenseeSelect!L$5:L$1230)-SUM(--_xlfn.ISFORMULA(LicenseeSelect!L$5:L$1230))</f>
        <v>0</v>
      </c>
      <c r="M38" s="44" cm="1">
        <f t="array" ref="M38">COUNTA(LicenseeSelect!M$5:M$1230)-SUM(--_xlfn.ISFORMULA(LicenseeSelect!M$5:M$1230))</f>
        <v>0</v>
      </c>
      <c r="N38" s="44" cm="1">
        <f t="array" ref="N38">COUNTA(LicenseeSelect!N$5:N$1230)-SUM(--_xlfn.ISFORMULA(LicenseeSelect!N$5:N$1230))</f>
        <v>0</v>
      </c>
      <c r="O38" s="44" cm="1">
        <f t="array" ref="O38">COUNTA(LicenseeSelect!O$5:O$1230)-SUM(--_xlfn.ISFORMULA(LicenseeSelect!O$5:O$1230))</f>
        <v>0</v>
      </c>
      <c r="P38" s="44" cm="1">
        <f t="array" ref="P38">COUNTA(LicenseeSelect!P$5:P$1230)-SUM(--_xlfn.ISFORMULA(LicenseeSelect!P$5:P$1230))</f>
        <v>0</v>
      </c>
      <c r="Q38" s="44" cm="1">
        <f t="array" ref="Q38">COUNTA(LicenseeSelect!Q$5:Q$1230)-SUM(--_xlfn.ISFORMULA(LicenseeSelect!Q$5:Q$1230))</f>
        <v>0</v>
      </c>
      <c r="R38" s="44" cm="1">
        <f t="array" ref="R38">COUNTA(LicenseeSelect!R$5:R$1230)-SUM(--_xlfn.ISFORMULA(LicenseeSelect!R$5:R$1230))</f>
        <v>0</v>
      </c>
      <c r="S38" s="44" cm="1">
        <f t="array" ref="S38">COUNTA(LicenseeSelect!S$5:S$1230)-SUM(--_xlfn.ISFORMULA(LicenseeSelect!S$5:S$1230))</f>
        <v>0</v>
      </c>
      <c r="T38" s="44" cm="1">
        <f t="array" ref="T38">COUNTA(LicenseeSelect!T$5:T$1230)-SUM(--_xlfn.ISFORMULA(LicenseeSelect!T$5:T$1230))</f>
        <v>0</v>
      </c>
      <c r="U38" s="44" cm="1">
        <f t="array" ref="U38">COUNTA(LicenseeSelect!U$5:U$1230)-SUM(--_xlfn.ISFORMULA(LicenseeSelect!U$5:U$1230))</f>
        <v>0</v>
      </c>
      <c r="V38" s="44" cm="1">
        <f t="array" ref="V38">COUNTA(LicenseeSelect!V$5:V$1230)-SUM(--_xlfn.ISFORMULA(LicenseeSelect!V$5:V$1230))</f>
        <v>0</v>
      </c>
      <c r="W38" s="44" cm="1">
        <f t="array" ref="W38">COUNTA(LicenseeSelect!W$5:W$1230)-SUM(--_xlfn.ISFORMULA(LicenseeSelect!W$5:W$1230))</f>
        <v>0</v>
      </c>
      <c r="X38" s="44" cm="1">
        <f t="array" ref="X38">COUNTA(LicenseeSelect!X$5:X$1230)-SUM(--_xlfn.ISFORMULA(LicenseeSelect!X$5:X$1230))</f>
        <v>0</v>
      </c>
      <c r="Y38" s="44" cm="1">
        <f t="array" ref="Y38">COUNTA(LicenseeSelect!Y$5:Y$1230)-SUM(--_xlfn.ISFORMULA(LicenseeSelect!Y$5:Y$1230))</f>
        <v>0</v>
      </c>
      <c r="Z38" s="44" cm="1">
        <f t="array" ref="Z38">COUNTA(LicenseeSelect!Z$5:Z$1230)-SUM(--_xlfn.ISFORMULA(LicenseeSelect!Z$5:Z$1230))</f>
        <v>0</v>
      </c>
      <c r="AA38" s="44" cm="1">
        <f t="array" ref="AA38">COUNTA(LicenseeSelect!AA$5:AA$1230)-SUM(--_xlfn.ISFORMULA(LicenseeSelect!AA$5:AA$1230))</f>
        <v>0</v>
      </c>
      <c r="AB38" s="44" cm="1">
        <f t="array" ref="AB38">COUNTA(LicenseeSelect!AB$5:AB$1230)-SUM(--_xlfn.ISFORMULA(LicenseeSelect!AB$5:AB$1230))</f>
        <v>0</v>
      </c>
      <c r="AC38" s="44" cm="1">
        <f t="array" ref="AC38">COUNTA(LicenseeSelect!AC$5:AC$1230)-SUM(--_xlfn.ISFORMULA(LicenseeSelect!AC$5:AC$1230))</f>
        <v>0</v>
      </c>
      <c r="AD38" s="44" cm="1">
        <f t="array" ref="AD38">COUNTA(LicenseeSelect!AD$5:AD$1230)-SUM(--_xlfn.ISFORMULA(LicenseeSelect!AD$5:AD$1230))</f>
        <v>0</v>
      </c>
      <c r="AE38" s="44" cm="1">
        <f t="array" ref="AE38">COUNTA(LicenseeSelect!AE$5:AE$1230)-SUM(--_xlfn.ISFORMULA(LicenseeSelect!AE$5:AE$1230))</f>
        <v>0</v>
      </c>
      <c r="AF38" s="44" cm="1">
        <f t="array" ref="AF38">COUNTA(LicenseeSelect!AF$5:AF$1230)-SUM(--_xlfn.ISFORMULA(LicenseeSelect!AF$5:AF$1230))</f>
        <v>0</v>
      </c>
      <c r="AG38" s="44" cm="1">
        <f t="array" ref="AG38">COUNTA(LicenseeSelect!AG$5:AG$1230)-SUM(--_xlfn.ISFORMULA(LicenseeSelect!AG$5:AG$1230))</f>
        <v>0</v>
      </c>
      <c r="AH38" s="44" cm="1">
        <f t="array" ref="AH38">COUNTA(LicenseeSelect!AH$5:AH$1230)-SUM(--_xlfn.ISFORMULA(LicenseeSelect!AH$5:AH$1230))</f>
        <v>0</v>
      </c>
      <c r="AI38" s="44" cm="1">
        <f t="array" ref="AI38">COUNTA(LicenseeSelect!AI$5:AI$1230)-SUM(--_xlfn.ISFORMULA(LicenseeSelect!AI$5:AI$1230))</f>
        <v>0</v>
      </c>
      <c r="AJ38" s="44" cm="1">
        <f t="array" ref="AJ38">COUNTA(LicenseeSelect!AJ$5:AJ$1230)-SUM(--_xlfn.ISFORMULA(LicenseeSelect!AJ$5:AJ$1230))</f>
        <v>0</v>
      </c>
      <c r="AK38" s="44" cm="1">
        <f t="array" ref="AK38">COUNTA(LicenseeSelect!AK$5:AK$1230)-SUM(--_xlfn.ISFORMULA(LicenseeSelect!AK$5:AK$1230))</f>
        <v>0</v>
      </c>
      <c r="AL38" s="44" cm="1">
        <f t="array" ref="AL38">COUNTA(LicenseeSelect!AL$5:AL$1230)-SUM(--_xlfn.ISFORMULA(LicenseeSelect!AL$5:AL$1230))</f>
        <v>0</v>
      </c>
      <c r="AM38" s="44" cm="1">
        <f t="array" ref="AM38">COUNTA(LicenseeSelect!AM$5:AM$1230)-SUM(--_xlfn.ISFORMULA(LicenseeSelect!AM$5:AM$1230))</f>
        <v>0</v>
      </c>
      <c r="AN38" s="44" cm="1">
        <f t="array" ref="AN38">COUNTA(LicenseeSelect!AN$5:AN$1230)-SUM(--_xlfn.ISFORMULA(LicenseeSelect!AN$5:AN$1230))</f>
        <v>0</v>
      </c>
      <c r="AO38" s="44" cm="1">
        <f t="array" ref="AO38">COUNTA(LicenseeSelect!AO$5:AO$1230)-SUM(--_xlfn.ISFORMULA(LicenseeSelect!AO$5:AO$1230))</f>
        <v>0</v>
      </c>
      <c r="AP38" s="44" cm="1">
        <f t="array" ref="AP38">COUNTA(LicenseeSelect!AP$5:AP$1230)-SUM(--_xlfn.ISFORMULA(LicenseeSelect!AP$5:AP$1230))</f>
        <v>0</v>
      </c>
      <c r="AQ38" s="44" cm="1">
        <f t="array" ref="AQ38">COUNTA(LicenseeSelect!AQ$5:AQ$1230)-SUM(--_xlfn.ISFORMULA(LicenseeSelect!AQ$5:AQ$1230))</f>
        <v>0</v>
      </c>
      <c r="AR38" s="44" cm="1">
        <f t="array" ref="AR38">COUNTA(LicenseeSelect!AR$5:AR$1230)-SUM(--_xlfn.ISFORMULA(LicenseeSelect!AR$5:AR$1230))</f>
        <v>0</v>
      </c>
      <c r="AS38" s="44" cm="1">
        <f t="array" ref="AS38">COUNTA(LicenseeSelect!AS$5:AS$1230)-SUM(--_xlfn.ISFORMULA(LicenseeSelect!AS$5:AS$1230))</f>
        <v>0</v>
      </c>
      <c r="AT38" s="176" cm="1">
        <f t="array" ref="AT38">COUNTA(LicenseeSelect!AT$5:AT$1230)-SUM(--_xlfn.ISFORMULA(LicenseeSelect!AT$5:AT$1230))</f>
        <v>0</v>
      </c>
      <c r="AU38" s="160" cm="1">
        <f t="array" ref="AU38">COUNTA(LicenseeSelect!AU$5:AU$1230)-SUM(--_xlfn.ISFORMULA(LicenseeSelect!AU$5:AU$1230))</f>
        <v>0</v>
      </c>
      <c r="AV38" s="44" cm="1">
        <f t="array" ref="AV38">COUNTA(LicenseeSelect!AV$5:AV$1230)-SUM(--_xlfn.ISFORMULA(LicenseeSelect!AV$5:AV$1230))</f>
        <v>0</v>
      </c>
      <c r="AW38" s="44" cm="1">
        <f t="array" ref="AW38">COUNTA(LicenseeSelect!AW$5:AW$1230)-SUM(--_xlfn.ISFORMULA(LicenseeSelect!AW$5:AW$1230))</f>
        <v>0</v>
      </c>
      <c r="AX38" s="44" cm="1">
        <f t="array" ref="AX38">COUNTA(LicenseeSelect!AX$5:AX$1230)-SUM(--_xlfn.ISFORMULA(LicenseeSelect!AX$5:AX$1230))</f>
        <v>0</v>
      </c>
      <c r="AY38" s="44" cm="1">
        <f t="array" ref="AY38">COUNTA(LicenseeSelect!AY$5:AY$1230)-SUM(--_xlfn.ISFORMULA(LicenseeSelect!AY$5:AY$1230))</f>
        <v>0</v>
      </c>
    </row>
    <row r="39" spans="1:51" customFormat="1" ht="14.5" x14ac:dyDescent="0.35">
      <c r="E39" t="s">
        <v>568</v>
      </c>
      <c r="I39" s="44" cm="1">
        <f t="array" ref="I39">COUNTA(VariantAllowances!I$5:I$1520)-SUM(--_xlfn.ISFORMULA(VariantAllowances!I$5:I$1520))</f>
        <v>0</v>
      </c>
      <c r="K39" s="44" cm="1">
        <f t="array" ref="K39">COUNTA(VariantAllowances!K$5:K$1520)-SUM(--_xlfn.ISFORMULA(VariantAllowances!K$5:K$1520))</f>
        <v>0</v>
      </c>
      <c r="L39" s="44" cm="1">
        <f t="array" ref="L39">COUNTA(VariantAllowances!L$5:L$1520)-SUM(--_xlfn.ISFORMULA(VariantAllowances!L$5:L$1520))</f>
        <v>0</v>
      </c>
      <c r="M39" s="44" cm="1">
        <f t="array" ref="M39">COUNTA(VariantAllowances!M$5:M$1520)-SUM(--_xlfn.ISFORMULA(VariantAllowances!M$5:M$1520))</f>
        <v>0</v>
      </c>
      <c r="N39" s="44" cm="1">
        <f t="array" ref="N39">COUNTA(VariantAllowances!N$5:N$1520)-SUM(--_xlfn.ISFORMULA(VariantAllowances!N$5:N$1520))</f>
        <v>0</v>
      </c>
      <c r="O39" s="44" cm="1">
        <f t="array" ref="O39">COUNTA(VariantAllowances!O$5:O$1520)-SUM(--_xlfn.ISFORMULA(VariantAllowances!O$5:O$1520))</f>
        <v>0</v>
      </c>
      <c r="P39" s="44" cm="1">
        <f t="array" ref="P39">COUNTA(VariantAllowances!P$5:P$1520)-SUM(--_xlfn.ISFORMULA(VariantAllowances!P$5:P$1520))</f>
        <v>0</v>
      </c>
      <c r="Q39" s="44" cm="1">
        <f t="array" ref="Q39">COUNTA(VariantAllowances!Q$5:Q$1520)-SUM(--_xlfn.ISFORMULA(VariantAllowances!Q$5:Q$1520))</f>
        <v>0</v>
      </c>
      <c r="R39" s="44" cm="1">
        <f t="array" ref="R39">COUNTA(VariantAllowances!R$5:R$1520)-SUM(--_xlfn.ISFORMULA(VariantAllowances!R$5:R$1520))</f>
        <v>0</v>
      </c>
      <c r="S39" s="44" cm="1">
        <f t="array" ref="S39">COUNTA(VariantAllowances!S$5:S$1520)-SUM(--_xlfn.ISFORMULA(VariantAllowances!S$5:S$1520))</f>
        <v>0</v>
      </c>
      <c r="T39" s="44" cm="1">
        <f t="array" ref="T39">COUNTA(VariantAllowances!T$5:T$1520)-SUM(--_xlfn.ISFORMULA(VariantAllowances!T$5:T$1520))</f>
        <v>0</v>
      </c>
      <c r="U39" s="44" cm="1">
        <f t="array" ref="U39">COUNTA(VariantAllowances!U$5:U$1520)-SUM(--_xlfn.ISFORMULA(VariantAllowances!U$5:U$1520))</f>
        <v>0</v>
      </c>
      <c r="V39" s="44" cm="1">
        <f t="array" ref="V39">COUNTA(VariantAllowances!V$5:V$1520)-SUM(--_xlfn.ISFORMULA(VariantAllowances!V$5:V$1520))</f>
        <v>0</v>
      </c>
      <c r="W39" s="44" cm="1">
        <f t="array" ref="W39">COUNTA(VariantAllowances!W$5:W$1520)-SUM(--_xlfn.ISFORMULA(VariantAllowances!W$5:W$1520))</f>
        <v>0</v>
      </c>
      <c r="X39" s="44" cm="1">
        <f t="array" ref="X39">COUNTA(VariantAllowances!X$5:X$1520)-SUM(--_xlfn.ISFORMULA(VariantAllowances!X$5:X$1520))</f>
        <v>0</v>
      </c>
      <c r="Y39" s="44" cm="1">
        <f t="array" ref="Y39">COUNTA(VariantAllowances!Y$5:Y$1520)-SUM(--_xlfn.ISFORMULA(VariantAllowances!Y$5:Y$1520))</f>
        <v>0</v>
      </c>
      <c r="Z39" s="44" cm="1">
        <f t="array" ref="Z39">COUNTA(VariantAllowances!Z$5:Z$1520)-SUM(--_xlfn.ISFORMULA(VariantAllowances!Z$5:Z$1520))</f>
        <v>0</v>
      </c>
      <c r="AA39" s="44" cm="1">
        <f t="array" ref="AA39">COUNTA(VariantAllowances!AA$5:AA$1520)-SUM(--_xlfn.ISFORMULA(VariantAllowances!AA$5:AA$1520))</f>
        <v>0</v>
      </c>
      <c r="AB39" s="44" cm="1">
        <f t="array" ref="AB39">COUNTA(VariantAllowances!AB$5:AB$1520)-SUM(--_xlfn.ISFORMULA(VariantAllowances!AB$5:AB$1520))</f>
        <v>0</v>
      </c>
      <c r="AC39" s="44" cm="1">
        <f t="array" ref="AC39">COUNTA(VariantAllowances!AC$5:AC$1520)-SUM(--_xlfn.ISFORMULA(VariantAllowances!AC$5:AC$1520))</f>
        <v>0</v>
      </c>
      <c r="AD39" s="44" cm="1">
        <f t="array" ref="AD39">COUNTA(VariantAllowances!AD$5:AD$1520)-SUM(--_xlfn.ISFORMULA(VariantAllowances!AD$5:AD$1520))</f>
        <v>0</v>
      </c>
      <c r="AE39" s="44" cm="1">
        <f t="array" ref="AE39">COUNTA(VariantAllowances!AE$5:AE$1520)-SUM(--_xlfn.ISFORMULA(VariantAllowances!AE$5:AE$1520))</f>
        <v>0</v>
      </c>
      <c r="AF39" s="44" cm="1">
        <f t="array" ref="AF39">COUNTA(VariantAllowances!AF$5:AF$1520)-SUM(--_xlfn.ISFORMULA(VariantAllowances!AF$5:AF$1520))</f>
        <v>0</v>
      </c>
      <c r="AG39" s="44" cm="1">
        <f t="array" ref="AG39">COUNTA(VariantAllowances!AG$5:AG$1520)-SUM(--_xlfn.ISFORMULA(VariantAllowances!AG$5:AG$1520))</f>
        <v>0</v>
      </c>
      <c r="AH39" s="44" cm="1">
        <f t="array" ref="AH39">COUNTA(VariantAllowances!AH$5:AH$1520)-SUM(--_xlfn.ISFORMULA(VariantAllowances!AH$5:AH$1520))</f>
        <v>0</v>
      </c>
      <c r="AI39" s="44" cm="1">
        <f t="array" ref="AI39">COUNTA(VariantAllowances!AI$5:AI$1520)-SUM(--_xlfn.ISFORMULA(VariantAllowances!AI$5:AI$1520))</f>
        <v>0</v>
      </c>
      <c r="AJ39" s="44" cm="1">
        <f t="array" ref="AJ39">COUNTA(VariantAllowances!AJ$5:AJ$1520)-SUM(--_xlfn.ISFORMULA(VariantAllowances!AJ$5:AJ$1520))</f>
        <v>0</v>
      </c>
      <c r="AK39" s="44" cm="1">
        <f t="array" ref="AK39">COUNTA(VariantAllowances!AK$5:AK$1520)-SUM(--_xlfn.ISFORMULA(VariantAllowances!AK$5:AK$1520))</f>
        <v>0</v>
      </c>
      <c r="AL39" s="44" cm="1">
        <f t="array" ref="AL39">COUNTA(VariantAllowances!AL$5:AL$1520)-SUM(--_xlfn.ISFORMULA(VariantAllowances!AL$5:AL$1520))</f>
        <v>0</v>
      </c>
      <c r="AM39" s="44" cm="1">
        <f t="array" ref="AM39">COUNTA(VariantAllowances!AM$5:AM$1520)-SUM(--_xlfn.ISFORMULA(VariantAllowances!AM$5:AM$1520))</f>
        <v>0</v>
      </c>
      <c r="AN39" s="44" cm="1">
        <f t="array" ref="AN39">COUNTA(VariantAllowances!AN$5:AN$1520)-SUM(--_xlfn.ISFORMULA(VariantAllowances!AN$5:AN$1520))</f>
        <v>0</v>
      </c>
      <c r="AO39" s="44" cm="1">
        <f t="array" ref="AO39">COUNTA(VariantAllowances!AO$5:AO$1520)-SUM(--_xlfn.ISFORMULA(VariantAllowances!AO$5:AO$1520))</f>
        <v>0</v>
      </c>
      <c r="AP39" s="44" cm="1">
        <f t="array" ref="AP39">COUNTA(VariantAllowances!AP$5:AP$1520)-SUM(--_xlfn.ISFORMULA(VariantAllowances!AP$5:AP$1520))</f>
        <v>0</v>
      </c>
      <c r="AQ39" s="44" cm="1">
        <f t="array" ref="AQ39">COUNTA(VariantAllowances!AQ$5:AQ$1520)-SUM(--_xlfn.ISFORMULA(VariantAllowances!AQ$5:AQ$1520))</f>
        <v>0</v>
      </c>
      <c r="AR39" s="44" cm="1">
        <f t="array" ref="AR39">COUNTA(VariantAllowances!AR$5:AR$1520)-SUM(--_xlfn.ISFORMULA(VariantAllowances!AR$5:AR$1520))</f>
        <v>0</v>
      </c>
      <c r="AS39" s="44" cm="1">
        <f t="array" ref="AS39">COUNTA(VariantAllowances!AS$5:AS$1520)-SUM(--_xlfn.ISFORMULA(VariantAllowances!AS$5:AS$1520))</f>
        <v>0</v>
      </c>
      <c r="AT39" s="176" cm="1">
        <f t="array" ref="AT39">COUNTA(VariantAllowances!AT$5:AT$1520)-SUM(--_xlfn.ISFORMULA(VariantAllowances!AT$5:AT$1520))</f>
        <v>0</v>
      </c>
      <c r="AU39" s="160" cm="1">
        <f t="array" ref="AU39">COUNTA(VariantAllowances!AU$5:AU$1520)-SUM(--_xlfn.ISFORMULA(VariantAllowances!AU$5:AU$1520))</f>
        <v>0</v>
      </c>
      <c r="AV39" s="44" cm="1">
        <f t="array" ref="AV39">COUNTA(VariantAllowances!AV$5:AV$1520)-SUM(--_xlfn.ISFORMULA(VariantAllowances!AV$5:AV$1520))</f>
        <v>0</v>
      </c>
      <c r="AW39" s="44" cm="1">
        <f t="array" ref="AW39">COUNTA(VariantAllowances!AW$5:AW$1520)-SUM(--_xlfn.ISFORMULA(VariantAllowances!AW$5:AW$1520))</f>
        <v>0</v>
      </c>
      <c r="AX39" s="44" cm="1">
        <f t="array" ref="AX39">COUNTA(VariantAllowances!AX$5:AX$1520)-SUM(--_xlfn.ISFORMULA(VariantAllowances!AX$5:AX$1520))</f>
        <v>0</v>
      </c>
      <c r="AY39" s="44" cm="1">
        <f t="array" ref="AY39">COUNTA(VariantAllowances!AY$5:AY$1520)-SUM(--_xlfn.ISFORMULA(VariantAllowances!AY$5:AY$1520))</f>
        <v>0</v>
      </c>
    </row>
    <row r="40" spans="1:51" customFormat="1" ht="14.5" x14ac:dyDescent="0.35">
      <c r="E40" t="s">
        <v>569</v>
      </c>
      <c r="I40" s="44" cm="1">
        <f t="array" ref="I40">COUNTA(Transform!I$5:I$513)-SUM(--_xlfn.ISFORMULA(Transform!I$5:I$513))</f>
        <v>0</v>
      </c>
      <c r="K40" s="44" cm="1">
        <f t="array" ref="K40">COUNTA(Transform!K$5:K$513)-SUM(--_xlfn.ISFORMULA(Transform!K$5:K$513))</f>
        <v>0</v>
      </c>
      <c r="L40" s="44" cm="1">
        <f t="array" ref="L40">COUNTA(Transform!L$5:L$513)-SUM(--_xlfn.ISFORMULA(Transform!L$5:L$513))</f>
        <v>0</v>
      </c>
      <c r="M40" s="44" cm="1">
        <f t="array" ref="M40">COUNTA(Transform!M$5:M$513)-SUM(--_xlfn.ISFORMULA(Transform!M$5:M$513))</f>
        <v>0</v>
      </c>
      <c r="N40" s="44" cm="1">
        <f t="array" ref="N40">COUNTA(Transform!N$5:N$513)-SUM(--_xlfn.ISFORMULA(Transform!N$5:N$513))</f>
        <v>0</v>
      </c>
      <c r="O40" s="44" cm="1">
        <f t="array" ref="O40">COUNTA(Transform!O$5:O$513)-SUM(--_xlfn.ISFORMULA(Transform!O$5:O$513))</f>
        <v>0</v>
      </c>
      <c r="P40" s="44" cm="1">
        <f t="array" ref="P40">COUNTA(Transform!P$5:P$513)-SUM(--_xlfn.ISFORMULA(Transform!P$5:P$513))</f>
        <v>0</v>
      </c>
      <c r="Q40" s="44" cm="1">
        <f t="array" ref="Q40">COUNTA(Transform!Q$5:Q$513)-SUM(--_xlfn.ISFORMULA(Transform!Q$5:Q$513))</f>
        <v>0</v>
      </c>
      <c r="R40" s="44" cm="1">
        <f t="array" ref="R40">COUNTA(Transform!R$5:R$513)-SUM(--_xlfn.ISFORMULA(Transform!R$5:R$513))</f>
        <v>0</v>
      </c>
      <c r="S40" s="44" cm="1">
        <f t="array" ref="S40">COUNTA(Transform!S$5:S$513)-SUM(--_xlfn.ISFORMULA(Transform!S$5:S$513))</f>
        <v>0</v>
      </c>
      <c r="T40" s="44" cm="1">
        <f t="array" ref="T40">COUNTA(Transform!T$5:T$513)-SUM(--_xlfn.ISFORMULA(Transform!T$5:T$513))</f>
        <v>0</v>
      </c>
      <c r="U40" s="44" cm="1">
        <f t="array" ref="U40">COUNTA(Transform!U$5:U$513)-SUM(--_xlfn.ISFORMULA(Transform!U$5:U$513))</f>
        <v>0</v>
      </c>
      <c r="V40" s="44" cm="1">
        <f t="array" ref="V40">COUNTA(Transform!V$5:V$513)-SUM(--_xlfn.ISFORMULA(Transform!V$5:V$513))</f>
        <v>0</v>
      </c>
      <c r="W40" s="44" cm="1">
        <f t="array" ref="W40">COUNTA(Transform!W$5:W$513)-SUM(--_xlfn.ISFORMULA(Transform!W$5:W$513))</f>
        <v>0</v>
      </c>
      <c r="X40" s="44" cm="1">
        <f t="array" ref="X40">COUNTA(Transform!X$5:X$513)-SUM(--_xlfn.ISFORMULA(Transform!X$5:X$513))</f>
        <v>0</v>
      </c>
      <c r="Y40" s="44" cm="1">
        <f t="array" ref="Y40">COUNTA(Transform!Y$5:Y$513)-SUM(--_xlfn.ISFORMULA(Transform!Y$5:Y$513))</f>
        <v>0</v>
      </c>
      <c r="Z40" s="44" cm="1">
        <f t="array" ref="Z40">COUNTA(Transform!Z$5:Z$513)-SUM(--_xlfn.ISFORMULA(Transform!Z$5:Z$513))</f>
        <v>0</v>
      </c>
      <c r="AA40" s="44" cm="1">
        <f t="array" ref="AA40">COUNTA(Transform!AA$5:AA$513)-SUM(--_xlfn.ISFORMULA(Transform!AA$5:AA$513))</f>
        <v>0</v>
      </c>
      <c r="AB40" s="44" cm="1">
        <f t="array" ref="AB40">COUNTA(Transform!AB$5:AB$513)-SUM(--_xlfn.ISFORMULA(Transform!AB$5:AB$513))</f>
        <v>0</v>
      </c>
      <c r="AC40" s="44" cm="1">
        <f t="array" ref="AC40">COUNTA(Transform!AC$5:AC$513)-SUM(--_xlfn.ISFORMULA(Transform!AC$5:AC$513))</f>
        <v>0</v>
      </c>
      <c r="AD40" s="44" cm="1">
        <f t="array" ref="AD40">COUNTA(Transform!AD$5:AD$513)-SUM(--_xlfn.ISFORMULA(Transform!AD$5:AD$513))</f>
        <v>0</v>
      </c>
      <c r="AE40" s="44" cm="1">
        <f t="array" ref="AE40">COUNTA(Transform!AE$5:AE$513)-SUM(--_xlfn.ISFORMULA(Transform!AE$5:AE$513))</f>
        <v>0</v>
      </c>
      <c r="AF40" s="44" cm="1">
        <f t="array" ref="AF40">COUNTA(Transform!AF$5:AF$513)-SUM(--_xlfn.ISFORMULA(Transform!AF$5:AF$513))</f>
        <v>0</v>
      </c>
      <c r="AG40" s="44" cm="1">
        <f t="array" ref="AG40">COUNTA(Transform!AG$5:AG$513)-SUM(--_xlfn.ISFORMULA(Transform!AG$5:AG$513))</f>
        <v>0</v>
      </c>
      <c r="AH40" s="44" cm="1">
        <f t="array" ref="AH40">COUNTA(Transform!AH$5:AH$513)-SUM(--_xlfn.ISFORMULA(Transform!AH$5:AH$513))</f>
        <v>0</v>
      </c>
      <c r="AI40" s="44" cm="1">
        <f t="array" ref="AI40">COUNTA(Transform!AI$5:AI$513)-SUM(--_xlfn.ISFORMULA(Transform!AI$5:AI$513))</f>
        <v>0</v>
      </c>
      <c r="AJ40" s="44" cm="1">
        <f t="array" ref="AJ40">COUNTA(Transform!AJ$5:AJ$513)-SUM(--_xlfn.ISFORMULA(Transform!AJ$5:AJ$513))</f>
        <v>0</v>
      </c>
      <c r="AK40" s="44" cm="1">
        <f t="array" ref="AK40">COUNTA(Transform!AK$5:AK$513)-SUM(--_xlfn.ISFORMULA(Transform!AK$5:AK$513))</f>
        <v>0</v>
      </c>
      <c r="AL40" s="44" cm="1">
        <f t="array" ref="AL40">COUNTA(Transform!AL$5:AL$513)-SUM(--_xlfn.ISFORMULA(Transform!AL$5:AL$513))</f>
        <v>0</v>
      </c>
      <c r="AM40" s="44" cm="1">
        <f t="array" ref="AM40">COUNTA(Transform!AM$5:AM$513)-SUM(--_xlfn.ISFORMULA(Transform!AM$5:AM$513))</f>
        <v>0</v>
      </c>
      <c r="AN40" s="44" cm="1">
        <f t="array" ref="AN40">COUNTA(Transform!AN$5:AN$513)-SUM(--_xlfn.ISFORMULA(Transform!AN$5:AN$513))</f>
        <v>0</v>
      </c>
      <c r="AO40" s="44" cm="1">
        <f t="array" ref="AO40">COUNTA(Transform!AO$5:AO$513)-SUM(--_xlfn.ISFORMULA(Transform!AO$5:AO$513))</f>
        <v>0</v>
      </c>
      <c r="AP40" s="44" cm="1">
        <f t="array" ref="AP40">COUNTA(Transform!AP$5:AP$513)-SUM(--_xlfn.ISFORMULA(Transform!AP$5:AP$513))</f>
        <v>0</v>
      </c>
      <c r="AQ40" s="44" cm="1">
        <f t="array" ref="AQ40">COUNTA(Transform!AQ$5:AQ$513)-SUM(--_xlfn.ISFORMULA(Transform!AQ$5:AQ$513))</f>
        <v>0</v>
      </c>
      <c r="AR40" s="44" cm="1">
        <f t="array" ref="AR40">COUNTA(Transform!AR$5:AR$513)-SUM(--_xlfn.ISFORMULA(Transform!AR$5:AR$513))</f>
        <v>0</v>
      </c>
      <c r="AS40" s="44" cm="1">
        <f t="array" ref="AS40">COUNTA(Transform!AS$5:AS$513)-SUM(--_xlfn.ISFORMULA(Transform!AS$5:AS$513))</f>
        <v>0</v>
      </c>
      <c r="AT40" s="176" cm="1">
        <f t="array" ref="AT40">COUNTA(Transform!AT$5:AT$513)-SUM(--_xlfn.ISFORMULA(Transform!AT$5:AT$513))</f>
        <v>0</v>
      </c>
      <c r="AU40" s="160" cm="1">
        <f t="array" ref="AU40">COUNTA(Transform!AU$5:AU$513)-SUM(--_xlfn.ISFORMULA(Transform!AU$5:AU$513))</f>
        <v>0</v>
      </c>
      <c r="AV40" s="44" cm="1">
        <f t="array" ref="AV40">COUNTA(Transform!AV$5:AV$513)-SUM(--_xlfn.ISFORMULA(Transform!AV$5:AV$513))</f>
        <v>0</v>
      </c>
      <c r="AW40" s="44" cm="1">
        <f t="array" ref="AW40">COUNTA(Transform!AW$5:AW$513)-SUM(--_xlfn.ISFORMULA(Transform!AW$5:AW$513))</f>
        <v>0</v>
      </c>
      <c r="AX40" s="44" cm="1">
        <f t="array" ref="AX40">COUNTA(Transform!AX$5:AX$513)-SUM(--_xlfn.ISFORMULA(Transform!AX$5:AX$513))</f>
        <v>0</v>
      </c>
      <c r="AY40" s="44" cm="1">
        <f t="array" ref="AY40">COUNTA(Transform!AY$5:AY$513)-SUM(--_xlfn.ISFORMULA(Transform!AY$5:AY$513))</f>
        <v>0</v>
      </c>
    </row>
    <row r="41" spans="1:51" customFormat="1" ht="14.5" x14ac:dyDescent="0.35">
      <c r="E41" t="s">
        <v>282</v>
      </c>
      <c r="I41" s="44" cm="1">
        <f t="array" ref="I41">COUNTA(Totex!I$5:I$200)-SUM(--_xlfn.ISFORMULA(Totex!I$5:I$200))</f>
        <v>0</v>
      </c>
      <c r="K41" s="44" cm="1">
        <f t="array" ref="K41">COUNTA(Totex!K$5:K$200)-SUM(--_xlfn.ISFORMULA(Totex!K$5:K$200))</f>
        <v>0</v>
      </c>
      <c r="L41" s="44" cm="1">
        <f t="array" ref="L41">COUNTA(Totex!L$5:L$200)-SUM(--_xlfn.ISFORMULA(Totex!L$5:L$200))</f>
        <v>0</v>
      </c>
      <c r="M41" s="44" cm="1">
        <f t="array" ref="M41">COUNTA(Totex!M$5:M$200)-SUM(--_xlfn.ISFORMULA(Totex!M$5:M$200))</f>
        <v>0</v>
      </c>
      <c r="N41" s="44" cm="1">
        <f t="array" ref="N41">COUNTA(Totex!N$5:N$200)-SUM(--_xlfn.ISFORMULA(Totex!N$5:N$200))</f>
        <v>0</v>
      </c>
      <c r="O41" s="44" cm="1">
        <f t="array" ref="O41">COUNTA(Totex!O$5:O$200)-SUM(--_xlfn.ISFORMULA(Totex!O$5:O$200))</f>
        <v>0</v>
      </c>
      <c r="P41" s="44" cm="1">
        <f t="array" ref="P41">COUNTA(Totex!P$5:P$200)-SUM(--_xlfn.ISFORMULA(Totex!P$5:P$200))</f>
        <v>0</v>
      </c>
      <c r="Q41" s="44" cm="1">
        <f t="array" ref="Q41">COUNTA(Totex!Q$5:Q$200)-SUM(--_xlfn.ISFORMULA(Totex!Q$5:Q$200))</f>
        <v>0</v>
      </c>
      <c r="R41" s="44" cm="1">
        <f t="array" ref="R41">COUNTA(Totex!R$5:R$200)-SUM(--_xlfn.ISFORMULA(Totex!R$5:R$200))</f>
        <v>0</v>
      </c>
      <c r="S41" s="44" cm="1">
        <f t="array" ref="S41">COUNTA(Totex!S$5:S$200)-SUM(--_xlfn.ISFORMULA(Totex!S$5:S$200))</f>
        <v>0</v>
      </c>
      <c r="T41" s="44" cm="1">
        <f t="array" ref="T41">COUNTA(Totex!T$5:T$200)-SUM(--_xlfn.ISFORMULA(Totex!T$5:T$200))</f>
        <v>0</v>
      </c>
      <c r="U41" s="44" cm="1">
        <f t="array" ref="U41">COUNTA(Totex!U$5:U$200)-SUM(--_xlfn.ISFORMULA(Totex!U$5:U$200))</f>
        <v>0</v>
      </c>
      <c r="V41" s="44" cm="1">
        <f t="array" ref="V41">COUNTA(Totex!V$5:V$200)-SUM(--_xlfn.ISFORMULA(Totex!V$5:V$200))</f>
        <v>0</v>
      </c>
      <c r="W41" s="44" cm="1">
        <f t="array" ref="W41">COUNTA(Totex!W$5:W$200)-SUM(--_xlfn.ISFORMULA(Totex!W$5:W$200))</f>
        <v>0</v>
      </c>
      <c r="X41" s="44" cm="1">
        <f t="array" ref="X41">COUNTA(Totex!X$5:X$200)-SUM(--_xlfn.ISFORMULA(Totex!X$5:X$200))</f>
        <v>0</v>
      </c>
      <c r="Y41" s="44" cm="1">
        <f t="array" ref="Y41">COUNTA(Totex!Y$5:Y$200)-SUM(--_xlfn.ISFORMULA(Totex!Y$5:Y$200))</f>
        <v>0</v>
      </c>
      <c r="Z41" s="44" cm="1">
        <f t="array" ref="Z41">COUNTA(Totex!Z$5:Z$200)-SUM(--_xlfn.ISFORMULA(Totex!Z$5:Z$200))</f>
        <v>0</v>
      </c>
      <c r="AA41" s="44" cm="1">
        <f t="array" ref="AA41">COUNTA(Totex!AA$5:AA$200)-SUM(--_xlfn.ISFORMULA(Totex!AA$5:AA$200))</f>
        <v>0</v>
      </c>
      <c r="AB41" s="44" cm="1">
        <f t="array" ref="AB41">COUNTA(Totex!AB$5:AB$200)-SUM(--_xlfn.ISFORMULA(Totex!AB$5:AB$200))</f>
        <v>0</v>
      </c>
      <c r="AC41" s="44" cm="1">
        <f t="array" ref="AC41">COUNTA(Totex!AC$5:AC$200)-SUM(--_xlfn.ISFORMULA(Totex!AC$5:AC$200))</f>
        <v>0</v>
      </c>
      <c r="AD41" s="44" cm="1">
        <f t="array" ref="AD41">COUNTA(Totex!AD$5:AD$200)-SUM(--_xlfn.ISFORMULA(Totex!AD$5:AD$200))</f>
        <v>0</v>
      </c>
      <c r="AE41" s="44" cm="1">
        <f t="array" ref="AE41">COUNTA(Totex!AE$5:AE$200)-SUM(--_xlfn.ISFORMULA(Totex!AE$5:AE$200))</f>
        <v>0</v>
      </c>
      <c r="AF41" s="44" cm="1">
        <f t="array" ref="AF41">COUNTA(Totex!AF$5:AF$200)-SUM(--_xlfn.ISFORMULA(Totex!AF$5:AF$200))</f>
        <v>0</v>
      </c>
      <c r="AG41" s="44" cm="1">
        <f t="array" ref="AG41">COUNTA(Totex!AG$5:AG$200)-SUM(--_xlfn.ISFORMULA(Totex!AG$5:AG$200))</f>
        <v>0</v>
      </c>
      <c r="AH41" s="44" cm="1">
        <f t="array" ref="AH41">COUNTA(Totex!AH$5:AH$200)-SUM(--_xlfn.ISFORMULA(Totex!AH$5:AH$200))</f>
        <v>0</v>
      </c>
      <c r="AI41" s="44" cm="1">
        <f t="array" ref="AI41">COUNTA(Totex!AI$5:AI$200)-SUM(--_xlfn.ISFORMULA(Totex!AI$5:AI$200))</f>
        <v>0</v>
      </c>
      <c r="AJ41" s="44" cm="1">
        <f t="array" ref="AJ41">COUNTA(Totex!AJ$5:AJ$200)-SUM(--_xlfn.ISFORMULA(Totex!AJ$5:AJ$200))</f>
        <v>0</v>
      </c>
      <c r="AK41" s="44" cm="1">
        <f t="array" ref="AK41">COUNTA(Totex!AK$5:AK$200)-SUM(--_xlfn.ISFORMULA(Totex!AK$5:AK$200))</f>
        <v>0</v>
      </c>
      <c r="AL41" s="44" cm="1">
        <f t="array" ref="AL41">COUNTA(Totex!AL$5:AL$200)-SUM(--_xlfn.ISFORMULA(Totex!AL$5:AL$200))</f>
        <v>0</v>
      </c>
      <c r="AM41" s="44" cm="1">
        <f t="array" ref="AM41">COUNTA(Totex!AM$5:AM$200)-SUM(--_xlfn.ISFORMULA(Totex!AM$5:AM$200))</f>
        <v>0</v>
      </c>
      <c r="AN41" s="44" cm="1">
        <f t="array" ref="AN41">COUNTA(Totex!AN$5:AN$200)-SUM(--_xlfn.ISFORMULA(Totex!AN$5:AN$200))</f>
        <v>0</v>
      </c>
      <c r="AO41" s="44" cm="1">
        <f t="array" ref="AO41">COUNTA(Totex!AO$5:AO$200)-SUM(--_xlfn.ISFORMULA(Totex!AO$5:AO$200))</f>
        <v>0</v>
      </c>
      <c r="AP41" s="44" cm="1">
        <f t="array" ref="AP41">COUNTA(Totex!AP$5:AP$200)-SUM(--_xlfn.ISFORMULA(Totex!AP$5:AP$200))</f>
        <v>0</v>
      </c>
      <c r="AQ41" s="44" cm="1">
        <f t="array" ref="AQ41">COUNTA(Totex!AQ$5:AQ$200)-SUM(--_xlfn.ISFORMULA(Totex!AQ$5:AQ$200))</f>
        <v>0</v>
      </c>
      <c r="AR41" s="44" cm="1">
        <f t="array" ref="AR41">COUNTA(Totex!AR$5:AR$200)-SUM(--_xlfn.ISFORMULA(Totex!AR$5:AR$200))</f>
        <v>0</v>
      </c>
      <c r="AS41" s="44" cm="1">
        <f t="array" ref="AS41">COUNTA(Totex!AS$5:AS$200)-SUM(--_xlfn.ISFORMULA(Totex!AS$5:AS$200))</f>
        <v>0</v>
      </c>
      <c r="AT41" s="176" cm="1">
        <f t="array" ref="AT41">COUNTA(Totex!AT$5:AT$200)-SUM(--_xlfn.ISFORMULA(Totex!AT$5:AT$200))</f>
        <v>0</v>
      </c>
      <c r="AU41" s="160" cm="1">
        <f t="array" ref="AU41">COUNTA(Totex!AU$5:AU$200)-SUM(--_xlfn.ISFORMULA(Totex!AU$5:AU$200))</f>
        <v>0</v>
      </c>
      <c r="AV41" s="44" cm="1">
        <f t="array" ref="AV41">COUNTA(Totex!AV$5:AV$200)-SUM(--_xlfn.ISFORMULA(Totex!AV$5:AV$200))</f>
        <v>0</v>
      </c>
      <c r="AW41" s="44" cm="1">
        <f t="array" ref="AW41">COUNTA(Totex!AW$5:AW$200)-SUM(--_xlfn.ISFORMULA(Totex!AW$5:AW$200))</f>
        <v>0</v>
      </c>
      <c r="AX41" s="44" cm="1">
        <f t="array" ref="AX41">COUNTA(Totex!AX$5:AX$200)-SUM(--_xlfn.ISFORMULA(Totex!AX$5:AX$200))</f>
        <v>0</v>
      </c>
      <c r="AY41" s="44" cm="1">
        <f t="array" ref="AY41">COUNTA(Totex!AY$5:AY$200)-SUM(--_xlfn.ISFORMULA(Totex!AY$5:AY$200))</f>
        <v>0</v>
      </c>
    </row>
    <row r="42" spans="1:51" customFormat="1" ht="14.5" x14ac:dyDescent="0.35">
      <c r="E42" t="s">
        <v>164</v>
      </c>
      <c r="I42" s="44" cm="1">
        <f t="array" ref="I42">COUNTA(TIM!I$5:I$200)-SUM(--_xlfn.ISFORMULA(TIM!I$5:I$200))</f>
        <v>0</v>
      </c>
      <c r="K42" s="44" cm="1">
        <f t="array" ref="K42">COUNTA(TIM!K$5:K$200)-SUM(--_xlfn.ISFORMULA(TIM!K$5:K$200))</f>
        <v>0</v>
      </c>
      <c r="L42" s="44" cm="1">
        <f t="array" ref="L42">COUNTA(TIM!L$5:L$200)-SUM(--_xlfn.ISFORMULA(TIM!L$5:L$200))</f>
        <v>0</v>
      </c>
      <c r="M42" s="44" cm="1">
        <f t="array" ref="M42">COUNTA(TIM!M$5:M$200)-SUM(--_xlfn.ISFORMULA(TIM!M$5:M$200))</f>
        <v>0</v>
      </c>
      <c r="N42" s="44" cm="1">
        <f t="array" ref="N42">COUNTA(TIM!N$5:N$200)-SUM(--_xlfn.ISFORMULA(TIM!N$5:N$200))</f>
        <v>0</v>
      </c>
      <c r="O42" s="44" cm="1">
        <f t="array" ref="O42">COUNTA(TIM!O$5:O$200)-SUM(--_xlfn.ISFORMULA(TIM!O$5:O$200))</f>
        <v>0</v>
      </c>
      <c r="P42" s="44" cm="1">
        <f t="array" ref="P42">COUNTA(TIM!P$5:P$200)-SUM(--_xlfn.ISFORMULA(TIM!P$5:P$200))</f>
        <v>0</v>
      </c>
      <c r="Q42" s="44" cm="1">
        <f t="array" ref="Q42">COUNTA(TIM!Q$5:Q$200)-SUM(--_xlfn.ISFORMULA(TIM!Q$5:Q$200))</f>
        <v>0</v>
      </c>
      <c r="R42" s="44" cm="1">
        <f t="array" ref="R42">COUNTA(TIM!R$5:R$200)-SUM(--_xlfn.ISFORMULA(TIM!R$5:R$200))</f>
        <v>0</v>
      </c>
      <c r="S42" s="44" cm="1">
        <f t="array" ref="S42">COUNTA(TIM!S$5:S$200)-SUM(--_xlfn.ISFORMULA(TIM!S$5:S$200))</f>
        <v>0</v>
      </c>
      <c r="T42" s="44" cm="1">
        <f t="array" ref="T42">COUNTA(TIM!T$5:T$200)-SUM(--_xlfn.ISFORMULA(TIM!T$5:T$200))</f>
        <v>0</v>
      </c>
      <c r="U42" s="44" cm="1">
        <f t="array" ref="U42">COUNTA(TIM!U$5:U$200)-SUM(--_xlfn.ISFORMULA(TIM!U$5:U$200))</f>
        <v>0</v>
      </c>
      <c r="V42" s="44" cm="1">
        <f t="array" ref="V42">COUNTA(TIM!V$5:V$200)-SUM(--_xlfn.ISFORMULA(TIM!V$5:V$200))</f>
        <v>0</v>
      </c>
      <c r="W42" s="44" cm="1">
        <f t="array" ref="W42">COUNTA(TIM!W$5:W$200)-SUM(--_xlfn.ISFORMULA(TIM!W$5:W$200))</f>
        <v>0</v>
      </c>
      <c r="X42" s="44" cm="1">
        <f t="array" ref="X42">COUNTA(TIM!X$5:X$200)-SUM(--_xlfn.ISFORMULA(TIM!X$5:X$200))</f>
        <v>0</v>
      </c>
      <c r="Y42" s="44" cm="1">
        <f t="array" ref="Y42">COUNTA(TIM!Y$5:Y$200)-SUM(--_xlfn.ISFORMULA(TIM!Y$5:Y$200))</f>
        <v>0</v>
      </c>
      <c r="Z42" s="44" cm="1">
        <f t="array" ref="Z42">COUNTA(TIM!Z$5:Z$200)-SUM(--_xlfn.ISFORMULA(TIM!Z$5:Z$200))</f>
        <v>0</v>
      </c>
      <c r="AA42" s="44" cm="1">
        <f t="array" ref="AA42">COUNTA(TIM!AA$5:AA$200)-SUM(--_xlfn.ISFORMULA(TIM!AA$5:AA$200))</f>
        <v>0</v>
      </c>
      <c r="AB42" s="44" cm="1">
        <f t="array" ref="AB42">COUNTA(TIM!AB$5:AB$200)-SUM(--_xlfn.ISFORMULA(TIM!AB$5:AB$200))</f>
        <v>0</v>
      </c>
      <c r="AC42" s="44" cm="1">
        <f t="array" ref="AC42">COUNTA(TIM!AC$5:AC$200)-SUM(--_xlfn.ISFORMULA(TIM!AC$5:AC$200))</f>
        <v>0</v>
      </c>
      <c r="AD42" s="44" cm="1">
        <f t="array" ref="AD42">COUNTA(TIM!AD$5:AD$200)-SUM(--_xlfn.ISFORMULA(TIM!AD$5:AD$200))</f>
        <v>0</v>
      </c>
      <c r="AE42" s="44" cm="1">
        <f t="array" ref="AE42">COUNTA(TIM!AE$5:AE$200)-SUM(--_xlfn.ISFORMULA(TIM!AE$5:AE$200))</f>
        <v>0</v>
      </c>
      <c r="AF42" s="44" cm="1">
        <f t="array" ref="AF42">COUNTA(TIM!AF$5:AF$200)-SUM(--_xlfn.ISFORMULA(TIM!AF$5:AF$200))</f>
        <v>0</v>
      </c>
      <c r="AG42" s="44" cm="1">
        <f t="array" ref="AG42">COUNTA(TIM!AG$5:AG$200)-SUM(--_xlfn.ISFORMULA(TIM!AG$5:AG$200))</f>
        <v>0</v>
      </c>
      <c r="AH42" s="44" cm="1">
        <f t="array" ref="AH42">COUNTA(TIM!AH$5:AH$200)-SUM(--_xlfn.ISFORMULA(TIM!AH$5:AH$200))</f>
        <v>0</v>
      </c>
      <c r="AI42" s="44" cm="1">
        <f t="array" ref="AI42">COUNTA(TIM!AI$5:AI$200)-SUM(--_xlfn.ISFORMULA(TIM!AI$5:AI$200))</f>
        <v>0</v>
      </c>
      <c r="AJ42" s="44" cm="1">
        <f t="array" ref="AJ42">COUNTA(TIM!AJ$5:AJ$200)-SUM(--_xlfn.ISFORMULA(TIM!AJ$5:AJ$200))</f>
        <v>0</v>
      </c>
      <c r="AK42" s="44" cm="1">
        <f t="array" ref="AK42">COUNTA(TIM!AK$5:AK$200)-SUM(--_xlfn.ISFORMULA(TIM!AK$5:AK$200))</f>
        <v>0</v>
      </c>
      <c r="AL42" s="44" cm="1">
        <f t="array" ref="AL42">COUNTA(TIM!AL$5:AL$200)-SUM(--_xlfn.ISFORMULA(TIM!AL$5:AL$200))</f>
        <v>0</v>
      </c>
      <c r="AM42" s="44" cm="1">
        <f t="array" ref="AM42">COUNTA(TIM!AM$5:AM$200)-SUM(--_xlfn.ISFORMULA(TIM!AM$5:AM$200))</f>
        <v>0</v>
      </c>
      <c r="AN42" s="44" cm="1">
        <f t="array" ref="AN42">COUNTA(TIM!AN$5:AN$200)-SUM(--_xlfn.ISFORMULA(TIM!AN$5:AN$200))</f>
        <v>0</v>
      </c>
      <c r="AO42" s="44" cm="1">
        <f t="array" ref="AO42">COUNTA(TIM!AO$5:AO$200)-SUM(--_xlfn.ISFORMULA(TIM!AO$5:AO$200))</f>
        <v>0</v>
      </c>
      <c r="AP42" s="44" cm="1">
        <f t="array" ref="AP42">COUNTA(TIM!AP$5:AP$200)-SUM(--_xlfn.ISFORMULA(TIM!AP$5:AP$200))</f>
        <v>0</v>
      </c>
      <c r="AQ42" s="44" cm="1">
        <f t="array" ref="AQ42">COUNTA(TIM!AQ$5:AQ$200)-SUM(--_xlfn.ISFORMULA(TIM!AQ$5:AQ$200))</f>
        <v>0</v>
      </c>
      <c r="AR42" s="44" cm="1">
        <f t="array" ref="AR42">COUNTA(TIM!AR$5:AR$200)-SUM(--_xlfn.ISFORMULA(TIM!AR$5:AR$200))</f>
        <v>0</v>
      </c>
      <c r="AS42" s="44" cm="1">
        <f t="array" ref="AS42">COUNTA(TIM!AS$5:AS$200)-SUM(--_xlfn.ISFORMULA(TIM!AS$5:AS$200))</f>
        <v>0</v>
      </c>
      <c r="AT42" s="176" cm="1">
        <f t="array" ref="AT42">COUNTA(TIM!AT$5:AT$200)-SUM(--_xlfn.ISFORMULA(TIM!AT$5:AT$200))</f>
        <v>0</v>
      </c>
      <c r="AU42" s="160" cm="1">
        <f t="array" ref="AU42">COUNTA(TIM!AU$5:AU$200)-SUM(--_xlfn.ISFORMULA(TIM!AU$5:AU$200))</f>
        <v>0</v>
      </c>
      <c r="AV42" s="44" cm="1">
        <f t="array" ref="AV42">COUNTA(TIM!AV$5:AV$200)-SUM(--_xlfn.ISFORMULA(TIM!AV$5:AV$200))</f>
        <v>0</v>
      </c>
      <c r="AW42" s="44" cm="1">
        <f t="array" ref="AW42">COUNTA(TIM!AW$5:AW$200)-SUM(--_xlfn.ISFORMULA(TIM!AW$5:AW$200))</f>
        <v>0</v>
      </c>
      <c r="AX42" s="44" cm="1">
        <f t="array" ref="AX42">COUNTA(TIM!AX$5:AX$200)-SUM(--_xlfn.ISFORMULA(TIM!AX$5:AX$200))</f>
        <v>0</v>
      </c>
      <c r="AY42" s="44" cm="1">
        <f t="array" ref="AY42">COUNTA(TIM!AY$5:AY$200)-SUM(--_xlfn.ISFORMULA(TIM!AY$5:AY$200))</f>
        <v>0</v>
      </c>
    </row>
    <row r="43" spans="1:51" customFormat="1" ht="14.5" x14ac:dyDescent="0.35">
      <c r="E43" t="s">
        <v>273</v>
      </c>
      <c r="I43" s="120" cm="1">
        <f t="array" ref="I43">COUNTA(FuelPoor!I$5:I$200)-SUM(--_xlfn.ISFORMULA(FuelPoor!I$5:I$200))</f>
        <v>0</v>
      </c>
      <c r="K43" s="44" cm="1">
        <f t="array" ref="K43">COUNTA(FuelPoor!K$5:K$200)-SUM(--_xlfn.ISFORMULA(FuelPoor!K$5:K$200))</f>
        <v>0</v>
      </c>
      <c r="L43" s="44" cm="1">
        <f t="array" ref="L43">COUNTA(FuelPoor!L$5:L$200)-SUM(--_xlfn.ISFORMULA(FuelPoor!L$5:L$200))</f>
        <v>0</v>
      </c>
      <c r="M43" s="44" cm="1">
        <f t="array" ref="M43">COUNTA(FuelPoor!M$5:M$200)-SUM(--_xlfn.ISFORMULA(FuelPoor!M$5:M$200))</f>
        <v>0</v>
      </c>
      <c r="N43" s="44" cm="1">
        <f t="array" ref="N43">COUNTA(FuelPoor!N$5:N$200)-SUM(--_xlfn.ISFORMULA(FuelPoor!N$5:N$200))</f>
        <v>0</v>
      </c>
      <c r="O43" s="44" cm="1">
        <f t="array" ref="O43">COUNTA(FuelPoor!O$5:O$200)-SUM(--_xlfn.ISFORMULA(FuelPoor!O$5:O$200))</f>
        <v>0</v>
      </c>
      <c r="P43" s="44" cm="1">
        <f t="array" ref="P43">COUNTA(FuelPoor!P$5:P$200)-SUM(--_xlfn.ISFORMULA(FuelPoor!P$5:P$200))</f>
        <v>0</v>
      </c>
      <c r="Q43" s="44" cm="1">
        <f t="array" ref="Q43">COUNTA(FuelPoor!Q$5:Q$200)-SUM(--_xlfn.ISFORMULA(FuelPoor!Q$5:Q$200))</f>
        <v>0</v>
      </c>
      <c r="R43" s="44" cm="1">
        <f t="array" ref="R43">COUNTA(FuelPoor!R$5:R$200)-SUM(--_xlfn.ISFORMULA(FuelPoor!R$5:R$200))</f>
        <v>0</v>
      </c>
      <c r="S43" s="44" cm="1">
        <f t="array" ref="S43">COUNTA(FuelPoor!S$5:S$200)-SUM(--_xlfn.ISFORMULA(FuelPoor!S$5:S$200))</f>
        <v>0</v>
      </c>
      <c r="T43" s="44" cm="1">
        <f t="array" ref="T43">COUNTA(FuelPoor!T$5:T$200)-SUM(--_xlfn.ISFORMULA(FuelPoor!T$5:T$200))</f>
        <v>0</v>
      </c>
      <c r="U43" s="44" cm="1">
        <f t="array" ref="U43">COUNTA(FuelPoor!U$5:U$200)-SUM(--_xlfn.ISFORMULA(FuelPoor!U$5:U$200))</f>
        <v>0</v>
      </c>
      <c r="V43" s="44" cm="1">
        <f t="array" ref="V43">COUNTA(FuelPoor!V$5:V$200)-SUM(--_xlfn.ISFORMULA(FuelPoor!V$5:V$200))</f>
        <v>0</v>
      </c>
      <c r="W43" s="44" cm="1">
        <f t="array" ref="W43">COUNTA(FuelPoor!W$5:W$200)-SUM(--_xlfn.ISFORMULA(FuelPoor!W$5:W$200))</f>
        <v>0</v>
      </c>
      <c r="X43" s="44" cm="1">
        <f t="array" ref="X43">COUNTA(FuelPoor!X$5:X$200)-SUM(--_xlfn.ISFORMULA(FuelPoor!X$5:X$200))</f>
        <v>0</v>
      </c>
      <c r="Y43" s="44" cm="1">
        <f t="array" ref="Y43">COUNTA(FuelPoor!Y$5:Y$200)-SUM(--_xlfn.ISFORMULA(FuelPoor!Y$5:Y$200))</f>
        <v>0</v>
      </c>
      <c r="Z43" s="44" cm="1">
        <f t="array" ref="Z43">COUNTA(FuelPoor!Z$5:Z$200)-SUM(--_xlfn.ISFORMULA(FuelPoor!Z$5:Z$200))</f>
        <v>0</v>
      </c>
      <c r="AA43" s="44" cm="1">
        <f t="array" ref="AA43">COUNTA(FuelPoor!AA$5:AA$200)-SUM(--_xlfn.ISFORMULA(FuelPoor!AA$5:AA$200))</f>
        <v>0</v>
      </c>
      <c r="AB43" s="44" cm="1">
        <f t="array" ref="AB43">COUNTA(FuelPoor!AB$5:AB$200)-SUM(--_xlfn.ISFORMULA(FuelPoor!AB$5:AB$200))</f>
        <v>0</v>
      </c>
      <c r="AC43" s="44" cm="1">
        <f t="array" ref="AC43">COUNTA(FuelPoor!AC$5:AC$200)-SUM(--_xlfn.ISFORMULA(FuelPoor!AC$5:AC$200))</f>
        <v>0</v>
      </c>
      <c r="AD43" s="44" cm="1">
        <f t="array" ref="AD43">COUNTA(FuelPoor!AD$5:AD$200)-SUM(--_xlfn.ISFORMULA(FuelPoor!AD$5:AD$200))</f>
        <v>0</v>
      </c>
      <c r="AE43" s="44" cm="1">
        <f t="array" ref="AE43">COUNTA(FuelPoor!AE$5:AE$200)-SUM(--_xlfn.ISFORMULA(FuelPoor!AE$5:AE$200))</f>
        <v>0</v>
      </c>
      <c r="AF43" s="44" cm="1">
        <f t="array" ref="AF43">COUNTA(FuelPoor!AF$5:AF$200)-SUM(--_xlfn.ISFORMULA(FuelPoor!AF$5:AF$200))</f>
        <v>0</v>
      </c>
      <c r="AG43" s="44" cm="1">
        <f t="array" ref="AG43">COUNTA(FuelPoor!AG$5:AG$200)-SUM(--_xlfn.ISFORMULA(FuelPoor!AG$5:AG$200))</f>
        <v>0</v>
      </c>
      <c r="AH43" s="44" cm="1">
        <f t="array" ref="AH43">COUNTA(FuelPoor!AH$5:AH$200)-SUM(--_xlfn.ISFORMULA(FuelPoor!AH$5:AH$200))</f>
        <v>0</v>
      </c>
      <c r="AI43" s="44" cm="1">
        <f t="array" ref="AI43">COUNTA(FuelPoor!AI$5:AI$200)-SUM(--_xlfn.ISFORMULA(FuelPoor!AI$5:AI$200))</f>
        <v>0</v>
      </c>
      <c r="AJ43" s="44" cm="1">
        <f t="array" ref="AJ43">COUNTA(FuelPoor!AJ$5:AJ$200)-SUM(--_xlfn.ISFORMULA(FuelPoor!AJ$5:AJ$200))</f>
        <v>0</v>
      </c>
      <c r="AK43" s="44" cm="1">
        <f t="array" ref="AK43">COUNTA(FuelPoor!AK$5:AK$200)-SUM(--_xlfn.ISFORMULA(FuelPoor!AK$5:AK$200))</f>
        <v>0</v>
      </c>
      <c r="AL43" s="44" cm="1">
        <f t="array" ref="AL43">COUNTA(FuelPoor!AL$5:AL$200)-SUM(--_xlfn.ISFORMULA(FuelPoor!AL$5:AL$200))</f>
        <v>0</v>
      </c>
      <c r="AM43" s="44" cm="1">
        <f t="array" ref="AM43">COUNTA(FuelPoor!AM$5:AM$200)-SUM(--_xlfn.ISFORMULA(FuelPoor!AM$5:AM$200))</f>
        <v>0</v>
      </c>
      <c r="AN43" s="44" cm="1">
        <f t="array" ref="AN43">COUNTA(FuelPoor!AN$5:AN$200)-SUM(--_xlfn.ISFORMULA(FuelPoor!AN$5:AN$200))</f>
        <v>0</v>
      </c>
      <c r="AO43" s="44" cm="1">
        <f t="array" ref="AO43">COUNTA(FuelPoor!AO$5:AO$200)-SUM(--_xlfn.ISFORMULA(FuelPoor!AO$5:AO$200))</f>
        <v>0</v>
      </c>
      <c r="AP43" s="44" cm="1">
        <f t="array" ref="AP43">COUNTA(FuelPoor!AP$5:AP$200)-SUM(--_xlfn.ISFORMULA(FuelPoor!AP$5:AP$200))</f>
        <v>0</v>
      </c>
      <c r="AQ43" s="44" cm="1">
        <f t="array" ref="AQ43">COUNTA(FuelPoor!AQ$5:AQ$200)-SUM(--_xlfn.ISFORMULA(FuelPoor!AQ$5:AQ$200))</f>
        <v>0</v>
      </c>
      <c r="AR43" s="44" cm="1">
        <f t="array" ref="AR43">COUNTA(FuelPoor!AR$5:AR$200)-SUM(--_xlfn.ISFORMULA(FuelPoor!AR$5:AR$200))</f>
        <v>0</v>
      </c>
      <c r="AS43" s="44" cm="1">
        <f t="array" ref="AS43">COUNTA(FuelPoor!AS$5:AS$200)-SUM(--_xlfn.ISFORMULA(FuelPoor!AS$5:AS$200))</f>
        <v>0</v>
      </c>
      <c r="AT43" s="176" cm="1">
        <f t="array" ref="AT43">COUNTA(FuelPoor!AT$5:AT$200)-SUM(--_xlfn.ISFORMULA(FuelPoor!AT$5:AT$200))</f>
        <v>0</v>
      </c>
      <c r="AU43" s="160" cm="1">
        <f t="array" ref="AU43">COUNTA(FuelPoor!AU$5:AU$200)-SUM(--_xlfn.ISFORMULA(FuelPoor!AU$5:AU$200))</f>
        <v>0</v>
      </c>
      <c r="AV43" s="44" cm="1">
        <f t="array" ref="AV43">COUNTA(FuelPoor!AV$5:AV$200)-SUM(--_xlfn.ISFORMULA(FuelPoor!AV$5:AV$200))</f>
        <v>0</v>
      </c>
      <c r="AW43" s="44" cm="1">
        <f t="array" ref="AW43">COUNTA(FuelPoor!AW$5:AW$200)-SUM(--_xlfn.ISFORMULA(FuelPoor!AW$5:AW$200))</f>
        <v>0</v>
      </c>
      <c r="AX43" s="44" cm="1">
        <f t="array" ref="AX43">COUNTA(FuelPoor!AX$5:AX$200)-SUM(--_xlfn.ISFORMULA(FuelPoor!AX$5:AX$200))</f>
        <v>0</v>
      </c>
      <c r="AY43" s="44" cm="1">
        <f t="array" ref="AY43">COUNTA(FuelPoor!AY$5:AY$200)-SUM(--_xlfn.ISFORMULA(FuelPoor!AY$5:AY$200))</f>
        <v>0</v>
      </c>
    </row>
    <row r="44" spans="1:51" customFormat="1" ht="14.5" x14ac:dyDescent="0.35">
      <c r="E44" t="s">
        <v>293</v>
      </c>
      <c r="I44" s="122" cm="1">
        <f t="array" ref="I44">COUNTA(Depreciation!I$5:I$400)-SUM(--_xlfn.ISFORMULA(Depreciation!I$5:I$400))-(28*4)</f>
        <v>0</v>
      </c>
      <c r="K44" s="44" cm="1">
        <f t="array" ref="K44">COUNTA(Depreciation!K$5:K$400)-SUM(--_xlfn.ISFORMULA(Depreciation!K$5:K$400))</f>
        <v>0</v>
      </c>
      <c r="L44" s="44" cm="1">
        <f t="array" ref="L44">COUNTA(Depreciation!L$5:L$400)-SUM(--_xlfn.ISFORMULA(Depreciation!L$5:L$400))</f>
        <v>0</v>
      </c>
      <c r="M44" s="44" cm="1">
        <f t="array" ref="M44">COUNTA(Depreciation!M$5:M$400)-SUM(--_xlfn.ISFORMULA(Depreciation!M$5:M$400))</f>
        <v>0</v>
      </c>
      <c r="N44" s="44" cm="1">
        <f t="array" ref="N44">COUNTA(Depreciation!N$5:N$400)-SUM(--_xlfn.ISFORMULA(Depreciation!N$5:N$400))</f>
        <v>0</v>
      </c>
      <c r="O44" s="44" cm="1">
        <f t="array" ref="O44">COUNTA(Depreciation!O$5:O$400)-SUM(--_xlfn.ISFORMULA(Depreciation!O$5:O$400))</f>
        <v>0</v>
      </c>
      <c r="P44" s="44" cm="1">
        <f t="array" ref="P44">COUNTA(Depreciation!P$5:P$400)-SUM(--_xlfn.ISFORMULA(Depreciation!P$5:P$400))</f>
        <v>0</v>
      </c>
      <c r="Q44" s="44" cm="1">
        <f t="array" ref="Q44">COUNTA(Depreciation!Q$5:Q$400)-SUM(--_xlfn.ISFORMULA(Depreciation!Q$5:Q$400))</f>
        <v>0</v>
      </c>
      <c r="R44" s="44" cm="1">
        <f t="array" ref="R44">COUNTA(Depreciation!R$5:R$400)-SUM(--_xlfn.ISFORMULA(Depreciation!R$5:R$400))</f>
        <v>0</v>
      </c>
      <c r="S44" s="44" cm="1">
        <f t="array" ref="S44">COUNTA(Depreciation!S$5:S$400)-SUM(--_xlfn.ISFORMULA(Depreciation!S$5:S$400))</f>
        <v>0</v>
      </c>
      <c r="T44" s="44" cm="1">
        <f t="array" ref="T44">COUNTA(Depreciation!T$5:T$400)-SUM(--_xlfn.ISFORMULA(Depreciation!T$5:T$400))</f>
        <v>0</v>
      </c>
      <c r="U44" s="44" cm="1">
        <f t="array" ref="U44">COUNTA(Depreciation!U$5:U$400)-SUM(--_xlfn.ISFORMULA(Depreciation!U$5:U$400))</f>
        <v>0</v>
      </c>
      <c r="V44" s="44" cm="1">
        <f t="array" ref="V44">COUNTA(Depreciation!V$5:V$400)-SUM(--_xlfn.ISFORMULA(Depreciation!V$5:V$400))</f>
        <v>0</v>
      </c>
      <c r="W44" s="44" cm="1">
        <f t="array" ref="W44">COUNTA(Depreciation!W$5:W$400)-SUM(--_xlfn.ISFORMULA(Depreciation!W$5:W$400))</f>
        <v>0</v>
      </c>
      <c r="X44" s="44" cm="1">
        <f t="array" ref="X44">COUNTA(Depreciation!X$5:X$400)-SUM(--_xlfn.ISFORMULA(Depreciation!X$5:X$400))</f>
        <v>0</v>
      </c>
      <c r="Y44" s="44" cm="1">
        <f t="array" ref="Y44">COUNTA(Depreciation!Y$5:Y$400)-SUM(--_xlfn.ISFORMULA(Depreciation!Y$5:Y$400))</f>
        <v>0</v>
      </c>
      <c r="Z44" s="44" cm="1">
        <f t="array" ref="Z44">COUNTA(Depreciation!Z$5:Z$400)-SUM(--_xlfn.ISFORMULA(Depreciation!Z$5:Z$400))</f>
        <v>0</v>
      </c>
      <c r="AA44" s="44" cm="1">
        <f t="array" ref="AA44">COUNTA(Depreciation!AA$5:AA$400)-SUM(--_xlfn.ISFORMULA(Depreciation!AA$5:AA$400))</f>
        <v>0</v>
      </c>
      <c r="AB44" s="44" cm="1">
        <f t="array" ref="AB44">COUNTA(Depreciation!AB$5:AB$400)-SUM(--_xlfn.ISFORMULA(Depreciation!AB$5:AB$400))</f>
        <v>0</v>
      </c>
      <c r="AC44" s="44" cm="1">
        <f t="array" ref="AC44">COUNTA(Depreciation!AC$5:AC$400)-SUM(--_xlfn.ISFORMULA(Depreciation!AC$5:AC$400))</f>
        <v>0</v>
      </c>
      <c r="AD44" s="44" cm="1">
        <f t="array" ref="AD44">COUNTA(Depreciation!AD$5:AD$400)-SUM(--_xlfn.ISFORMULA(Depreciation!AD$5:AD$400))</f>
        <v>0</v>
      </c>
      <c r="AE44" s="44" cm="1">
        <f t="array" ref="AE44">COUNTA(Depreciation!AE$5:AE$400)-SUM(--_xlfn.ISFORMULA(Depreciation!AE$5:AE$400))</f>
        <v>0</v>
      </c>
      <c r="AF44" s="44" cm="1">
        <f t="array" ref="AF44">COUNTA(Depreciation!AF$5:AF$400)-SUM(--_xlfn.ISFORMULA(Depreciation!AF$5:AF$400))</f>
        <v>0</v>
      </c>
      <c r="AG44" s="44" cm="1">
        <f t="array" ref="AG44">COUNTA(Depreciation!AG$5:AG$400)-SUM(--_xlfn.ISFORMULA(Depreciation!AG$5:AG$400))</f>
        <v>0</v>
      </c>
      <c r="AH44" s="44" cm="1">
        <f t="array" ref="AH44">COUNTA(Depreciation!AH$5:AH$400)-SUM(--_xlfn.ISFORMULA(Depreciation!AH$5:AH$400))</f>
        <v>0</v>
      </c>
      <c r="AI44" s="44" cm="1">
        <f t="array" ref="AI44">COUNTA(Depreciation!AI$5:AI$400)-SUM(--_xlfn.ISFORMULA(Depreciation!AI$5:AI$400))</f>
        <v>0</v>
      </c>
      <c r="AJ44" s="44" cm="1">
        <f t="array" ref="AJ44">COUNTA(Depreciation!AJ$5:AJ$400)-SUM(--_xlfn.ISFORMULA(Depreciation!AJ$5:AJ$400))</f>
        <v>0</v>
      </c>
      <c r="AK44" s="44" cm="1">
        <f t="array" ref="AK44">COUNTA(Depreciation!AK$5:AK$400)-SUM(--_xlfn.ISFORMULA(Depreciation!AK$5:AK$400))</f>
        <v>0</v>
      </c>
      <c r="AL44" s="44" cm="1">
        <f t="array" ref="AL44">COUNTA(Depreciation!AL$5:AL$400)-SUM(--_xlfn.ISFORMULA(Depreciation!AL$5:AL$400))</f>
        <v>0</v>
      </c>
      <c r="AM44" s="44" cm="1">
        <f t="array" ref="AM44">COUNTA(Depreciation!AM$5:AM$400)-SUM(--_xlfn.ISFORMULA(Depreciation!AM$5:AM$400))</f>
        <v>0</v>
      </c>
      <c r="AN44" s="44" cm="1">
        <f t="array" ref="AN44">COUNTA(Depreciation!AN$5:AN$400)-SUM(--_xlfn.ISFORMULA(Depreciation!AN$5:AN$400))</f>
        <v>0</v>
      </c>
      <c r="AO44" s="44" cm="1">
        <f t="array" ref="AO44">COUNTA(Depreciation!AO$5:AO$400)-SUM(--_xlfn.ISFORMULA(Depreciation!AO$5:AO$400))</f>
        <v>0</v>
      </c>
      <c r="AP44" s="44" cm="1">
        <f t="array" ref="AP44">COUNTA(Depreciation!AP$5:AP$400)-SUM(--_xlfn.ISFORMULA(Depreciation!AP$5:AP$400))</f>
        <v>0</v>
      </c>
      <c r="AQ44" s="44" cm="1">
        <f t="array" ref="AQ44">COUNTA(Depreciation!AQ$5:AQ$400)-SUM(--_xlfn.ISFORMULA(Depreciation!AQ$5:AQ$400))</f>
        <v>0</v>
      </c>
      <c r="AR44" s="44" cm="1">
        <f t="array" ref="AR44">COUNTA(Depreciation!AR$5:AR$400)-SUM(--_xlfn.ISFORMULA(Depreciation!AR$5:AR$400))</f>
        <v>0</v>
      </c>
      <c r="AS44" s="44" cm="1">
        <f t="array" ref="AS44">COUNTA(Depreciation!AS$5:AS$400)-SUM(--_xlfn.ISFORMULA(Depreciation!AS$5:AS$400))</f>
        <v>0</v>
      </c>
      <c r="AT44" s="176" cm="1">
        <f t="array" ref="AT44">COUNTA(Depreciation!AT$5:AT$400)-SUM(--_xlfn.ISFORMULA(Depreciation!AT$5:AT$400))</f>
        <v>0</v>
      </c>
      <c r="AU44" s="160" cm="1">
        <f t="array" ref="AU44">COUNTA(Depreciation!AU$5:AU$400)-SUM(--_xlfn.ISFORMULA(Depreciation!AU$5:AU$400))</f>
        <v>0</v>
      </c>
      <c r="AV44" s="44" cm="1">
        <f t="array" ref="AV44">COUNTA(Depreciation!AV$5:AV$400)-SUM(--_xlfn.ISFORMULA(Depreciation!AV$5:AV$400))</f>
        <v>0</v>
      </c>
      <c r="AW44" s="44" cm="1">
        <f t="array" ref="AW44">COUNTA(Depreciation!AW$5:AW$400)-SUM(--_xlfn.ISFORMULA(Depreciation!AW$5:AW$400))</f>
        <v>0</v>
      </c>
      <c r="AX44" s="44" cm="1">
        <f t="array" ref="AX44">COUNTA(Depreciation!AX$5:AX$400)-SUM(--_xlfn.ISFORMULA(Depreciation!AX$5:AX$400))</f>
        <v>0</v>
      </c>
      <c r="AY44" s="44" cm="1">
        <f t="array" ref="AY44">COUNTA(Depreciation!AY$5:AY$400)-SUM(--_xlfn.ISFORMULA(Depreciation!AY$5:AY$400))</f>
        <v>0</v>
      </c>
    </row>
    <row r="45" spans="1:51" customFormat="1" ht="14.5" x14ac:dyDescent="0.35">
      <c r="E45" t="s">
        <v>466</v>
      </c>
      <c r="I45" s="121" cm="1">
        <f t="array" ref="I45">COUNTA('Return&amp;RAV'!I$5:I$201)-SUM(--_xlfn.ISFORMULA('Return&amp;RAV'!I$5:I$201))</f>
        <v>0</v>
      </c>
      <c r="K45" s="44" cm="1">
        <f t="array" ref="K45">COUNTA('Return&amp;RAV'!K$5:K$201)-SUM(--_xlfn.ISFORMULA('Return&amp;RAV'!K$5:K$201))</f>
        <v>0</v>
      </c>
      <c r="L45" s="44" cm="1">
        <f t="array" ref="L45">COUNTA('Return&amp;RAV'!L$5:L$201)-SUM(--_xlfn.ISFORMULA('Return&amp;RAV'!L$5:L$201))</f>
        <v>0</v>
      </c>
      <c r="M45" s="44" cm="1">
        <f t="array" ref="M45">COUNTA('Return&amp;RAV'!M$5:M$201)-SUM(--_xlfn.ISFORMULA('Return&amp;RAV'!M$5:M$201))</f>
        <v>0</v>
      </c>
      <c r="N45" s="44" cm="1">
        <f t="array" ref="N45">COUNTA('Return&amp;RAV'!N$5:N$201)-SUM(--_xlfn.ISFORMULA('Return&amp;RAV'!N$5:N$201))</f>
        <v>0</v>
      </c>
      <c r="O45" s="44" cm="1">
        <f t="array" ref="O45">COUNTA('Return&amp;RAV'!O$5:O$201)-SUM(--_xlfn.ISFORMULA('Return&amp;RAV'!O$5:O$201))</f>
        <v>0</v>
      </c>
      <c r="P45" s="44" cm="1">
        <f t="array" ref="P45">COUNTA('Return&amp;RAV'!P$5:P$201)-SUM(--_xlfn.ISFORMULA('Return&amp;RAV'!P$5:P$201))</f>
        <v>0</v>
      </c>
      <c r="Q45" s="44" cm="1">
        <f t="array" ref="Q45">COUNTA('Return&amp;RAV'!Q$5:Q$201)-SUM(--_xlfn.ISFORMULA('Return&amp;RAV'!Q$5:Q$201))</f>
        <v>0</v>
      </c>
      <c r="R45" s="44" cm="1">
        <f t="array" ref="R45">COUNTA('Return&amp;RAV'!R$5:R$201)-SUM(--_xlfn.ISFORMULA('Return&amp;RAV'!R$5:R$201))</f>
        <v>0</v>
      </c>
      <c r="S45" s="44" cm="1">
        <f t="array" ref="S45">COUNTA('Return&amp;RAV'!S$5:S$201)-SUM(--_xlfn.ISFORMULA('Return&amp;RAV'!S$5:S$201))</f>
        <v>0</v>
      </c>
      <c r="T45" s="44" cm="1">
        <f t="array" ref="T45">COUNTA('Return&amp;RAV'!T$5:T$201)-SUM(--_xlfn.ISFORMULA('Return&amp;RAV'!T$5:T$201))</f>
        <v>0</v>
      </c>
      <c r="U45" s="44" cm="1">
        <f t="array" ref="U45">COUNTA('Return&amp;RAV'!U$5:U$201)-SUM(--_xlfn.ISFORMULA('Return&amp;RAV'!U$5:U$201))</f>
        <v>0</v>
      </c>
      <c r="V45" s="44" cm="1">
        <f t="array" ref="V45">COUNTA('Return&amp;RAV'!V$5:V$201)-SUM(--_xlfn.ISFORMULA('Return&amp;RAV'!V$5:V$201))</f>
        <v>0</v>
      </c>
      <c r="W45" s="44" cm="1">
        <f t="array" ref="W45">COUNTA('Return&amp;RAV'!W$5:W$201)-SUM(--_xlfn.ISFORMULA('Return&amp;RAV'!W$5:W$201))</f>
        <v>0</v>
      </c>
      <c r="X45" s="44" cm="1">
        <f t="array" ref="X45">COUNTA('Return&amp;RAV'!X$5:X$201)-SUM(--_xlfn.ISFORMULA('Return&amp;RAV'!X$5:X$201))</f>
        <v>0</v>
      </c>
      <c r="Y45" s="44" cm="1">
        <f t="array" ref="Y45">COUNTA('Return&amp;RAV'!Y$5:Y$201)-SUM(--_xlfn.ISFORMULA('Return&amp;RAV'!Y$5:Y$201))</f>
        <v>0</v>
      </c>
      <c r="Z45" s="44" cm="1">
        <f t="array" ref="Z45">COUNTA('Return&amp;RAV'!Z$5:Z$201)-SUM(--_xlfn.ISFORMULA('Return&amp;RAV'!Z$5:Z$201))</f>
        <v>0</v>
      </c>
      <c r="AA45" s="44" cm="1">
        <f t="array" ref="AA45">COUNTA('Return&amp;RAV'!AA$5:AA$201)-SUM(--_xlfn.ISFORMULA('Return&amp;RAV'!AA$5:AA$201))</f>
        <v>0</v>
      </c>
      <c r="AB45" s="44" cm="1">
        <f t="array" ref="AB45">COUNTA('Return&amp;RAV'!AB$5:AB$201)-SUM(--_xlfn.ISFORMULA('Return&amp;RAV'!AB$5:AB$201))</f>
        <v>0</v>
      </c>
      <c r="AC45" s="44" cm="1">
        <f t="array" ref="AC45">COUNTA('Return&amp;RAV'!AC$5:AC$201)-SUM(--_xlfn.ISFORMULA('Return&amp;RAV'!AC$5:AC$201))</f>
        <v>0</v>
      </c>
      <c r="AD45" s="44" cm="1">
        <f t="array" ref="AD45">COUNTA('Return&amp;RAV'!AD$5:AD$201)-SUM(--_xlfn.ISFORMULA('Return&amp;RAV'!AD$5:AD$201))</f>
        <v>0</v>
      </c>
      <c r="AE45" s="44" cm="1">
        <f t="array" ref="AE45">COUNTA('Return&amp;RAV'!AE$5:AE$201)-SUM(--_xlfn.ISFORMULA('Return&amp;RAV'!AE$5:AE$201))</f>
        <v>0</v>
      </c>
      <c r="AF45" s="44" cm="1">
        <f t="array" ref="AF45">COUNTA('Return&amp;RAV'!AF$5:AF$201)-SUM(--_xlfn.ISFORMULA('Return&amp;RAV'!AF$5:AF$201))</f>
        <v>0</v>
      </c>
      <c r="AG45" s="44" cm="1">
        <f t="array" ref="AG45">COUNTA('Return&amp;RAV'!AG$5:AG$201)-SUM(--_xlfn.ISFORMULA('Return&amp;RAV'!AG$5:AG$201))</f>
        <v>0</v>
      </c>
      <c r="AH45" s="44" cm="1">
        <f t="array" ref="AH45">COUNTA('Return&amp;RAV'!AH$5:AH$201)-SUM(--_xlfn.ISFORMULA('Return&amp;RAV'!AH$5:AH$201))</f>
        <v>0</v>
      </c>
      <c r="AI45" s="44" cm="1">
        <f t="array" ref="AI45">COUNTA('Return&amp;RAV'!AI$5:AI$201)-SUM(--_xlfn.ISFORMULA('Return&amp;RAV'!AI$5:AI$201))</f>
        <v>0</v>
      </c>
      <c r="AJ45" s="44" cm="1">
        <f t="array" ref="AJ45">COUNTA('Return&amp;RAV'!AJ$5:AJ$201)-SUM(--_xlfn.ISFORMULA('Return&amp;RAV'!AJ$5:AJ$201))</f>
        <v>0</v>
      </c>
      <c r="AK45" s="44" cm="1">
        <f t="array" ref="AK45">COUNTA('Return&amp;RAV'!AK$5:AK$201)-SUM(--_xlfn.ISFORMULA('Return&amp;RAV'!AK$5:AK$201))</f>
        <v>0</v>
      </c>
      <c r="AL45" s="44" cm="1">
        <f t="array" ref="AL45">COUNTA('Return&amp;RAV'!AL$5:AL$201)-SUM(--_xlfn.ISFORMULA('Return&amp;RAV'!AL$5:AL$201))</f>
        <v>0</v>
      </c>
      <c r="AM45" s="44" cm="1">
        <f t="array" ref="AM45">COUNTA('Return&amp;RAV'!AM$5:AM$201)-SUM(--_xlfn.ISFORMULA('Return&amp;RAV'!AM$5:AM$201))</f>
        <v>0</v>
      </c>
      <c r="AN45" s="44" cm="1">
        <f t="array" ref="AN45">COUNTA('Return&amp;RAV'!AN$5:AN$201)-SUM(--_xlfn.ISFORMULA('Return&amp;RAV'!AN$5:AN$201))</f>
        <v>0</v>
      </c>
      <c r="AO45" s="44" cm="1">
        <f t="array" ref="AO45">COUNTA('Return&amp;RAV'!AO$5:AO$201)-SUM(--_xlfn.ISFORMULA('Return&amp;RAV'!AO$5:AO$201))</f>
        <v>0</v>
      </c>
      <c r="AP45" s="44" cm="1">
        <f t="array" ref="AP45">COUNTA('Return&amp;RAV'!AP$5:AP$201)-SUM(--_xlfn.ISFORMULA('Return&amp;RAV'!AP$5:AP$201))</f>
        <v>0</v>
      </c>
      <c r="AQ45" s="44" cm="1">
        <f t="array" ref="AQ45">COUNTA('Return&amp;RAV'!AQ$5:AQ$201)-SUM(--_xlfn.ISFORMULA('Return&amp;RAV'!AQ$5:AQ$201))</f>
        <v>0</v>
      </c>
      <c r="AR45" s="44" cm="1">
        <f t="array" ref="AR45">COUNTA('Return&amp;RAV'!AR$5:AR$201)-SUM(--_xlfn.ISFORMULA('Return&amp;RAV'!AR$5:AR$201))</f>
        <v>0</v>
      </c>
      <c r="AS45" s="44" cm="1">
        <f t="array" ref="AS45">COUNTA('Return&amp;RAV'!AS$5:AS$201)-SUM(--_xlfn.ISFORMULA('Return&amp;RAV'!AS$5:AS$201))</f>
        <v>0</v>
      </c>
      <c r="AT45" s="176" cm="1">
        <f t="array" ref="AT45">COUNTA('Return&amp;RAV'!AT$5:AT$201)-SUM(--_xlfn.ISFORMULA('Return&amp;RAV'!AT$5:AT$201))</f>
        <v>0</v>
      </c>
      <c r="AU45" s="160" cm="1">
        <f t="array" ref="AU45">COUNTA('Return&amp;RAV'!AU$5:AU$201)-SUM(--_xlfn.ISFORMULA('Return&amp;RAV'!AU$5:AU$201))</f>
        <v>0</v>
      </c>
      <c r="AV45" s="44" cm="1">
        <f t="array" ref="AV45">COUNTA('Return&amp;RAV'!AV$5:AV$201)-SUM(--_xlfn.ISFORMULA('Return&amp;RAV'!AV$5:AV$201))</f>
        <v>0</v>
      </c>
      <c r="AW45" s="44" cm="1">
        <f t="array" ref="AW45">COUNTA('Return&amp;RAV'!AW$5:AW$201)-SUM(--_xlfn.ISFORMULA('Return&amp;RAV'!AW$5:AW$201))</f>
        <v>0</v>
      </c>
      <c r="AX45" s="44" cm="1">
        <f t="array" ref="AX45">COUNTA('Return&amp;RAV'!AX$5:AX$201)-SUM(--_xlfn.ISFORMULA('Return&amp;RAV'!AX$5:AX$201))</f>
        <v>0</v>
      </c>
      <c r="AY45" s="44" cm="1">
        <f t="array" ref="AY45">COUNTA('Return&amp;RAV'!AY$5:AY$201)-SUM(--_xlfn.ISFORMULA('Return&amp;RAV'!AY$5:AY$201))</f>
        <v>0</v>
      </c>
    </row>
    <row r="46" spans="1:51" customFormat="1" ht="14.5" x14ac:dyDescent="0.35">
      <c r="E46" t="s">
        <v>467</v>
      </c>
      <c r="I46" s="44" cm="1">
        <f t="array" ref="I46">COUNTA(TaxPools!I$5:I$200)-SUM(--_xlfn.ISFORMULA(TaxPools!I$5:I$200))</f>
        <v>0</v>
      </c>
      <c r="K46" s="44" cm="1">
        <f t="array" ref="K46">COUNTA(TaxPools!K$5:K$200)-SUM(--_xlfn.ISFORMULA(TaxPools!K$5:K$200))</f>
        <v>0</v>
      </c>
      <c r="L46" s="44" cm="1">
        <f t="array" ref="L46">COUNTA(TaxPools!L$5:L$200)-SUM(--_xlfn.ISFORMULA(TaxPools!L$5:L$200))</f>
        <v>0</v>
      </c>
      <c r="M46" s="44" cm="1">
        <f t="array" ref="M46">COUNTA(TaxPools!M$5:M$200)-SUM(--_xlfn.ISFORMULA(TaxPools!M$5:M$200))</f>
        <v>0</v>
      </c>
      <c r="N46" s="44" cm="1">
        <f t="array" ref="N46">COUNTA(TaxPools!N$5:N$200)-SUM(--_xlfn.ISFORMULA(TaxPools!N$5:N$200))</f>
        <v>0</v>
      </c>
      <c r="O46" s="44" cm="1">
        <f t="array" ref="O46">COUNTA(TaxPools!O$5:O$200)-SUM(--_xlfn.ISFORMULA(TaxPools!O$5:O$200))</f>
        <v>0</v>
      </c>
      <c r="P46" s="44" cm="1">
        <f t="array" ref="P46">COUNTA(TaxPools!P$5:P$200)-SUM(--_xlfn.ISFORMULA(TaxPools!P$5:P$200))</f>
        <v>0</v>
      </c>
      <c r="Q46" s="44" cm="1">
        <f t="array" ref="Q46">COUNTA(TaxPools!Q$5:Q$200)-SUM(--_xlfn.ISFORMULA(TaxPools!Q$5:Q$200))</f>
        <v>0</v>
      </c>
      <c r="R46" s="44" cm="1">
        <f t="array" ref="R46">COUNTA(TaxPools!R$5:R$200)-SUM(--_xlfn.ISFORMULA(TaxPools!R$5:R$200))</f>
        <v>0</v>
      </c>
      <c r="S46" s="44" cm="1">
        <f t="array" ref="S46">COUNTA(TaxPools!S$5:S$200)-SUM(--_xlfn.ISFORMULA(TaxPools!S$5:S$200))</f>
        <v>0</v>
      </c>
      <c r="T46" s="44" cm="1">
        <f t="array" ref="T46">COUNTA(TaxPools!T$5:T$200)-SUM(--_xlfn.ISFORMULA(TaxPools!T$5:T$200))</f>
        <v>0</v>
      </c>
      <c r="U46" s="44" cm="1">
        <f t="array" ref="U46">COUNTA(TaxPools!U$5:U$200)-SUM(--_xlfn.ISFORMULA(TaxPools!U$5:U$200))</f>
        <v>0</v>
      </c>
      <c r="V46" s="44" cm="1">
        <f t="array" ref="V46">COUNTA(TaxPools!V$5:V$200)-SUM(--_xlfn.ISFORMULA(TaxPools!V$5:V$200))</f>
        <v>0</v>
      </c>
      <c r="W46" s="44" cm="1">
        <f t="array" ref="W46">COUNTA(TaxPools!W$5:W$200)-SUM(--_xlfn.ISFORMULA(TaxPools!W$5:W$200))</f>
        <v>0</v>
      </c>
      <c r="X46" s="44" cm="1">
        <f t="array" ref="X46">COUNTA(TaxPools!X$5:X$200)-SUM(--_xlfn.ISFORMULA(TaxPools!X$5:X$200))</f>
        <v>0</v>
      </c>
      <c r="Y46" s="44" cm="1">
        <f t="array" ref="Y46">COUNTA(TaxPools!Y$5:Y$200)-SUM(--_xlfn.ISFORMULA(TaxPools!Y$5:Y$200))</f>
        <v>0</v>
      </c>
      <c r="Z46" s="44" cm="1">
        <f t="array" ref="Z46">COUNTA(TaxPools!Z$5:Z$200)-SUM(--_xlfn.ISFORMULA(TaxPools!Z$5:Z$200))</f>
        <v>0</v>
      </c>
      <c r="AA46" s="44" cm="1">
        <f t="array" ref="AA46">COUNTA(TaxPools!AA$5:AA$200)-SUM(--_xlfn.ISFORMULA(TaxPools!AA$5:AA$200))</f>
        <v>0</v>
      </c>
      <c r="AB46" s="44" cm="1">
        <f t="array" ref="AB46">COUNTA(TaxPools!AB$5:AB$200)-SUM(--_xlfn.ISFORMULA(TaxPools!AB$5:AB$200))</f>
        <v>0</v>
      </c>
      <c r="AC46" s="44" cm="1">
        <f t="array" ref="AC46">COUNTA(TaxPools!AC$5:AC$200)-SUM(--_xlfn.ISFORMULA(TaxPools!AC$5:AC$200))</f>
        <v>0</v>
      </c>
      <c r="AD46" s="44" cm="1">
        <f t="array" ref="AD46">COUNTA(TaxPools!AD$5:AD$200)-SUM(--_xlfn.ISFORMULA(TaxPools!AD$5:AD$200))</f>
        <v>0</v>
      </c>
      <c r="AE46" s="44" cm="1">
        <f t="array" ref="AE46">COUNTA(TaxPools!AE$5:AE$200)-SUM(--_xlfn.ISFORMULA(TaxPools!AE$5:AE$200))</f>
        <v>0</v>
      </c>
      <c r="AF46" s="44" cm="1">
        <f t="array" ref="AF46">COUNTA(TaxPools!AF$5:AF$200)-SUM(--_xlfn.ISFORMULA(TaxPools!AF$5:AF$200))</f>
        <v>0</v>
      </c>
      <c r="AG46" s="44" cm="1">
        <f t="array" ref="AG46">COUNTA(TaxPools!AG$5:AG$200)-SUM(--_xlfn.ISFORMULA(TaxPools!AG$5:AG$200))</f>
        <v>0</v>
      </c>
      <c r="AH46" s="44" cm="1">
        <f t="array" ref="AH46">COUNTA(TaxPools!AH$5:AH$200)-SUM(--_xlfn.ISFORMULA(TaxPools!AH$5:AH$200))</f>
        <v>0</v>
      </c>
      <c r="AI46" s="44" cm="1">
        <f t="array" ref="AI46">COUNTA(TaxPools!AI$5:AI$200)-SUM(--_xlfn.ISFORMULA(TaxPools!AI$5:AI$200))</f>
        <v>0</v>
      </c>
      <c r="AJ46" s="44" cm="1">
        <f t="array" ref="AJ46">COUNTA(TaxPools!AJ$5:AJ$200)-SUM(--_xlfn.ISFORMULA(TaxPools!AJ$5:AJ$200))</f>
        <v>0</v>
      </c>
      <c r="AK46" s="44" cm="1">
        <f t="array" ref="AK46">COUNTA(TaxPools!AK$5:AK$200)-SUM(--_xlfn.ISFORMULA(TaxPools!AK$5:AK$200))</f>
        <v>0</v>
      </c>
      <c r="AL46" s="44" cm="1">
        <f t="array" ref="AL46">COUNTA(TaxPools!AL$5:AL$200)-SUM(--_xlfn.ISFORMULA(TaxPools!AL$5:AL$200))</f>
        <v>0</v>
      </c>
      <c r="AM46" s="44" cm="1">
        <f t="array" ref="AM46">COUNTA(TaxPools!AM$5:AM$200)-SUM(--_xlfn.ISFORMULA(TaxPools!AM$5:AM$200))</f>
        <v>0</v>
      </c>
      <c r="AN46" s="44" cm="1">
        <f t="array" ref="AN46">COUNTA(TaxPools!AN$5:AN$200)-SUM(--_xlfn.ISFORMULA(TaxPools!AN$5:AN$200))</f>
        <v>0</v>
      </c>
      <c r="AO46" s="44" cm="1">
        <f t="array" ref="AO46">COUNTA(TaxPools!AO$5:AO$200)-SUM(--_xlfn.ISFORMULA(TaxPools!AO$5:AO$200))</f>
        <v>0</v>
      </c>
      <c r="AP46" s="44" cm="1">
        <f t="array" ref="AP46">COUNTA(TaxPools!AP$5:AP$200)-SUM(--_xlfn.ISFORMULA(TaxPools!AP$5:AP$200))</f>
        <v>0</v>
      </c>
      <c r="AQ46" s="44" cm="1">
        <f t="array" ref="AQ46">COUNTA(TaxPools!AQ$5:AQ$200)-SUM(--_xlfn.ISFORMULA(TaxPools!AQ$5:AQ$200))</f>
        <v>0</v>
      </c>
      <c r="AR46" s="44" cm="1">
        <f t="array" ref="AR46">COUNTA(TaxPools!AR$5:AR$200)-SUM(--_xlfn.ISFORMULA(TaxPools!AR$5:AR$200))</f>
        <v>0</v>
      </c>
      <c r="AS46" s="44" cm="1">
        <f t="array" ref="AS46">COUNTA(TaxPools!AS$5:AS$200)-SUM(--_xlfn.ISFORMULA(TaxPools!AS$5:AS$200))</f>
        <v>0</v>
      </c>
      <c r="AT46" s="176" cm="1">
        <f t="array" ref="AT46">COUNTA(TaxPools!AT$5:AT$200)-SUM(--_xlfn.ISFORMULA(TaxPools!AT$5:AT$200))</f>
        <v>0</v>
      </c>
      <c r="AU46" s="160" cm="1">
        <f t="array" aca="1" ref="AU46" ca="1">COUNTA(TaxPools!AU$5:AU$200)-SUM(--_xlfn.ISFORMULA(TaxPools!AU$5:AU$200))</f>
        <v>0</v>
      </c>
      <c r="AV46" s="44" cm="1">
        <f t="array" aca="1" ref="AV46" ca="1">COUNTA(TaxPools!AV$5:AV$200)-SUM(--_xlfn.ISFORMULA(TaxPools!AV$5:AV$200))</f>
        <v>0</v>
      </c>
      <c r="AW46" s="44" cm="1">
        <f t="array" aca="1" ref="AW46" ca="1">COUNTA(TaxPools!AW$5:AW$200)-SUM(--_xlfn.ISFORMULA(TaxPools!AW$5:AW$200))</f>
        <v>0</v>
      </c>
      <c r="AX46" s="44" cm="1">
        <f t="array" aca="1" ref="AX46" ca="1">COUNTA(TaxPools!AX$5:AX$200)-SUM(--_xlfn.ISFORMULA(TaxPools!AX$5:AX$200))</f>
        <v>0</v>
      </c>
      <c r="AY46" s="44" cm="1">
        <f t="array" aca="1" ref="AY46" ca="1">COUNTA(TaxPools!AY$5:AY$200)-SUM(--_xlfn.ISFORMULA(TaxPools!AY$5:AY$200))</f>
        <v>0</v>
      </c>
    </row>
    <row r="47" spans="1:51" customFormat="1" ht="14.5" x14ac:dyDescent="0.35">
      <c r="E47" t="s">
        <v>226</v>
      </c>
      <c r="I47" s="44" cm="1">
        <f t="array" ref="I47">COUNTA(Finance!I$5:I$200)-SUM(--_xlfn.ISFORMULA(Finance!I$5:I$200))</f>
        <v>0</v>
      </c>
      <c r="K47" s="44" cm="1">
        <f t="array" ref="K47">COUNTA(Finance!K$5:K$200)-SUM(--_xlfn.ISFORMULA(Finance!K$5:K$200))</f>
        <v>0</v>
      </c>
      <c r="L47" s="44" cm="1">
        <f t="array" ref="L47">COUNTA(Finance!L$5:L$200)-SUM(--_xlfn.ISFORMULA(Finance!L$5:L$200))</f>
        <v>0</v>
      </c>
      <c r="M47" s="44" cm="1">
        <f t="array" ref="M47">COUNTA(Finance!M$5:M$200)-SUM(--_xlfn.ISFORMULA(Finance!M$5:M$200))</f>
        <v>0</v>
      </c>
      <c r="N47" s="44" cm="1">
        <f t="array" ref="N47">COUNTA(Finance!N$5:N$200)-SUM(--_xlfn.ISFORMULA(Finance!N$5:N$200))</f>
        <v>0</v>
      </c>
      <c r="O47" s="44" cm="1">
        <f t="array" ref="O47">COUNTA(Finance!O$5:O$200)-SUM(--_xlfn.ISFORMULA(Finance!O$5:O$200))</f>
        <v>0</v>
      </c>
      <c r="P47" s="44" cm="1">
        <f t="array" ref="P47">COUNTA(Finance!P$5:P$200)-SUM(--_xlfn.ISFORMULA(Finance!P$5:P$200))</f>
        <v>0</v>
      </c>
      <c r="Q47" s="44" cm="1">
        <f t="array" ref="Q47">COUNTA(Finance!Q$5:Q$200)-SUM(--_xlfn.ISFORMULA(Finance!Q$5:Q$200))</f>
        <v>0</v>
      </c>
      <c r="R47" s="44" cm="1">
        <f t="array" ref="R47">COUNTA(Finance!R$5:R$200)-SUM(--_xlfn.ISFORMULA(Finance!R$5:R$200))</f>
        <v>0</v>
      </c>
      <c r="S47" s="44" cm="1">
        <f t="array" ref="S47">COUNTA(Finance!S$5:S$200)-SUM(--_xlfn.ISFORMULA(Finance!S$5:S$200))</f>
        <v>0</v>
      </c>
      <c r="T47" s="44" cm="1">
        <f t="array" ref="T47">COUNTA(Finance!T$5:T$200)-SUM(--_xlfn.ISFORMULA(Finance!T$5:T$200))</f>
        <v>0</v>
      </c>
      <c r="U47" s="44" cm="1">
        <f t="array" ref="U47">COUNTA(Finance!U$5:U$200)-SUM(--_xlfn.ISFORMULA(Finance!U$5:U$200))</f>
        <v>0</v>
      </c>
      <c r="V47" s="44" cm="1">
        <f t="array" ref="V47">COUNTA(Finance!V$5:V$200)-SUM(--_xlfn.ISFORMULA(Finance!V$5:V$200))</f>
        <v>0</v>
      </c>
      <c r="W47" s="44" cm="1">
        <f t="array" ref="W47">COUNTA(Finance!W$5:W$200)-SUM(--_xlfn.ISFORMULA(Finance!W$5:W$200))</f>
        <v>0</v>
      </c>
      <c r="X47" s="44" cm="1">
        <f t="array" ref="X47">COUNTA(Finance!X$5:X$200)-SUM(--_xlfn.ISFORMULA(Finance!X$5:X$200))</f>
        <v>0</v>
      </c>
      <c r="Y47" s="44" cm="1">
        <f t="array" ref="Y47">COUNTA(Finance!Y$5:Y$200)-SUM(--_xlfn.ISFORMULA(Finance!Y$5:Y$200))</f>
        <v>0</v>
      </c>
      <c r="Z47" s="44" cm="1">
        <f t="array" ref="Z47">COUNTA(Finance!Z$5:Z$200)-SUM(--_xlfn.ISFORMULA(Finance!Z$5:Z$200))</f>
        <v>0</v>
      </c>
      <c r="AA47" s="44" cm="1">
        <f t="array" ref="AA47">COUNTA(Finance!AA$5:AA$200)-SUM(--_xlfn.ISFORMULA(Finance!AA$5:AA$200))</f>
        <v>0</v>
      </c>
      <c r="AB47" s="44" cm="1">
        <f t="array" ref="AB47">COUNTA(Finance!AB$5:AB$200)-SUM(--_xlfn.ISFORMULA(Finance!AB$5:AB$200))</f>
        <v>0</v>
      </c>
      <c r="AC47" s="44" cm="1">
        <f t="array" ref="AC47">COUNTA(Finance!AC$5:AC$200)-SUM(--_xlfn.ISFORMULA(Finance!AC$5:AC$200))</f>
        <v>0</v>
      </c>
      <c r="AD47" s="44" cm="1">
        <f t="array" ref="AD47">COUNTA(Finance!AD$5:AD$200)-SUM(--_xlfn.ISFORMULA(Finance!AD$5:AD$200))</f>
        <v>0</v>
      </c>
      <c r="AE47" s="44" cm="1">
        <f t="array" ref="AE47">COUNTA(Finance!AE$5:AE$200)-SUM(--_xlfn.ISFORMULA(Finance!AE$5:AE$200))</f>
        <v>0</v>
      </c>
      <c r="AF47" s="44" cm="1">
        <f t="array" ref="AF47">COUNTA(Finance!AF$5:AF$200)-SUM(--_xlfn.ISFORMULA(Finance!AF$5:AF$200))</f>
        <v>0</v>
      </c>
      <c r="AG47" s="44" cm="1">
        <f t="array" ref="AG47">COUNTA(Finance!AG$5:AG$200)-SUM(--_xlfn.ISFORMULA(Finance!AG$5:AG$200))</f>
        <v>0</v>
      </c>
      <c r="AH47" s="44" cm="1">
        <f t="array" ref="AH47">COUNTA(Finance!AH$5:AH$200)-SUM(--_xlfn.ISFORMULA(Finance!AH$5:AH$200))</f>
        <v>0</v>
      </c>
      <c r="AI47" s="44" cm="1">
        <f t="array" ref="AI47">COUNTA(Finance!AI$5:AI$200)-SUM(--_xlfn.ISFORMULA(Finance!AI$5:AI$200))</f>
        <v>0</v>
      </c>
      <c r="AJ47" s="44" cm="1">
        <f t="array" ref="AJ47">COUNTA(Finance!AJ$5:AJ$200)-SUM(--_xlfn.ISFORMULA(Finance!AJ$5:AJ$200))</f>
        <v>0</v>
      </c>
      <c r="AK47" s="44" cm="1">
        <f t="array" ref="AK47">COUNTA(Finance!AK$5:AK$200)-SUM(--_xlfn.ISFORMULA(Finance!AK$5:AK$200))</f>
        <v>0</v>
      </c>
      <c r="AL47" s="44" cm="1">
        <f t="array" ref="AL47">COUNTA(Finance!AL$5:AL$200)-SUM(--_xlfn.ISFORMULA(Finance!AL$5:AL$200))</f>
        <v>0</v>
      </c>
      <c r="AM47" s="44" cm="1">
        <f t="array" ref="AM47">COUNTA(Finance!AM$5:AM$200)-SUM(--_xlfn.ISFORMULA(Finance!AM$5:AM$200))</f>
        <v>0</v>
      </c>
      <c r="AN47" s="44" cm="1">
        <f t="array" ref="AN47">COUNTA(Finance!AN$5:AN$200)-SUM(--_xlfn.ISFORMULA(Finance!AN$5:AN$200))</f>
        <v>0</v>
      </c>
      <c r="AO47" s="44" cm="1">
        <f t="array" ref="AO47">COUNTA(Finance!AO$5:AO$200)-SUM(--_xlfn.ISFORMULA(Finance!AO$5:AO$200))</f>
        <v>0</v>
      </c>
      <c r="AP47" s="44" cm="1">
        <f t="array" ref="AP47">COUNTA(Finance!AP$5:AP$200)-SUM(--_xlfn.ISFORMULA(Finance!AP$5:AP$200))</f>
        <v>0</v>
      </c>
      <c r="AQ47" s="44" cm="1">
        <f t="array" ref="AQ47">COUNTA(Finance!AQ$5:AQ$200)-SUM(--_xlfn.ISFORMULA(Finance!AQ$5:AQ$200))</f>
        <v>0</v>
      </c>
      <c r="AR47" s="44" cm="1">
        <f t="array" ref="AR47">COUNTA(Finance!AR$5:AR$200)-SUM(--_xlfn.ISFORMULA(Finance!AR$5:AR$200))</f>
        <v>0</v>
      </c>
      <c r="AS47" s="44" cm="1">
        <f t="array" ref="AS47">COUNTA(Finance!AS$5:AS$200)-SUM(--_xlfn.ISFORMULA(Finance!AS$5:AS$200))</f>
        <v>0</v>
      </c>
      <c r="AT47" s="176" cm="1">
        <f t="array" ref="AT47">COUNTA(Finance!AT$5:AT$200)-SUM(--_xlfn.ISFORMULA(Finance!AT$5:AT$200))</f>
        <v>0</v>
      </c>
      <c r="AU47" s="160" cm="1">
        <f t="array" aca="1" ref="AU47" ca="1">COUNTA(Finance!AU$5:AU$200)-SUM(--_xlfn.ISFORMULA(Finance!AU$5:AU$200))</f>
        <v>0</v>
      </c>
      <c r="AV47" s="44" cm="1">
        <f t="array" aca="1" ref="AV47" ca="1">COUNTA(Finance!AV$5:AV$200)-SUM(--_xlfn.ISFORMULA(Finance!AV$5:AV$200))</f>
        <v>0</v>
      </c>
      <c r="AW47" s="44" cm="1">
        <f t="array" aca="1" ref="AW47" ca="1">COUNTA(Finance!AW$5:AW$200)-SUM(--_xlfn.ISFORMULA(Finance!AW$5:AW$200))</f>
        <v>0</v>
      </c>
      <c r="AX47" s="44" cm="1">
        <f t="array" aca="1" ref="AX47" ca="1">COUNTA(Finance!AX$5:AX$200)-SUM(--_xlfn.ISFORMULA(Finance!AX$5:AX$200))</f>
        <v>0</v>
      </c>
      <c r="AY47" s="44" cm="1">
        <f t="array" aca="1" ref="AY47" ca="1">COUNTA(Finance!AY$5:AY$200)-SUM(--_xlfn.ISFORMULA(Finance!AY$5:AY$200))</f>
        <v>0</v>
      </c>
    </row>
    <row r="48" spans="1:51" customFormat="1" ht="14.5" x14ac:dyDescent="0.35">
      <c r="E48" t="s">
        <v>475</v>
      </c>
      <c r="I48" s="44" cm="1">
        <f t="array" ref="I48">COUNTA(Tax!I$5:I$200)-SUM(--_xlfn.ISFORMULA(Tax!I$5:I$200))</f>
        <v>0</v>
      </c>
      <c r="K48" s="44" cm="1">
        <f t="array" ref="K48">COUNTA(Tax!K$5:K$200)-SUM(--_xlfn.ISFORMULA(Tax!K$5:K$200))</f>
        <v>0</v>
      </c>
      <c r="L48" s="44" cm="1">
        <f t="array" ref="L48">COUNTA(Tax!L$5:L$200)-SUM(--_xlfn.ISFORMULA(Tax!L$5:L$200))</f>
        <v>0</v>
      </c>
      <c r="M48" s="44" cm="1">
        <f t="array" ref="M48">COUNTA(Tax!M$5:M$200)-SUM(--_xlfn.ISFORMULA(Tax!M$5:M$200))</f>
        <v>0</v>
      </c>
      <c r="N48" s="44" cm="1">
        <f t="array" ref="N48">COUNTA(Tax!N$5:N$200)-SUM(--_xlfn.ISFORMULA(Tax!N$5:N$200))</f>
        <v>0</v>
      </c>
      <c r="O48" s="44" cm="1">
        <f t="array" ref="O48">COUNTA(Tax!O$5:O$200)-SUM(--_xlfn.ISFORMULA(Tax!O$5:O$200))</f>
        <v>0</v>
      </c>
      <c r="P48" s="44" cm="1">
        <f t="array" ref="P48">COUNTA(Tax!P$5:P$200)-SUM(--_xlfn.ISFORMULA(Tax!P$5:P$200))</f>
        <v>0</v>
      </c>
      <c r="Q48" s="44" cm="1">
        <f t="array" ref="Q48">COUNTA(Tax!Q$5:Q$200)-SUM(--_xlfn.ISFORMULA(Tax!Q$5:Q$200))</f>
        <v>0</v>
      </c>
      <c r="R48" s="44" cm="1">
        <f t="array" ref="R48">COUNTA(Tax!R$5:R$200)-SUM(--_xlfn.ISFORMULA(Tax!R$5:R$200))</f>
        <v>0</v>
      </c>
      <c r="S48" s="44" cm="1">
        <f t="array" ref="S48">COUNTA(Tax!S$5:S$200)-SUM(--_xlfn.ISFORMULA(Tax!S$5:S$200))</f>
        <v>0</v>
      </c>
      <c r="T48" s="44" cm="1">
        <f t="array" ref="T48">COUNTA(Tax!T$5:T$200)-SUM(--_xlfn.ISFORMULA(Tax!T$5:T$200))</f>
        <v>0</v>
      </c>
      <c r="U48" s="44" cm="1">
        <f t="array" ref="U48">COUNTA(Tax!U$5:U$200)-SUM(--_xlfn.ISFORMULA(Tax!U$5:U$200))</f>
        <v>0</v>
      </c>
      <c r="V48" s="44" cm="1">
        <f t="array" ref="V48">COUNTA(Tax!V$5:V$200)-SUM(--_xlfn.ISFORMULA(Tax!V$5:V$200))</f>
        <v>0</v>
      </c>
      <c r="W48" s="44" cm="1">
        <f t="array" ref="W48">COUNTA(Tax!W$5:W$200)-SUM(--_xlfn.ISFORMULA(Tax!W$5:W$200))</f>
        <v>0</v>
      </c>
      <c r="X48" s="44" cm="1">
        <f t="array" ref="X48">COUNTA(Tax!X$5:X$200)-SUM(--_xlfn.ISFORMULA(Tax!X$5:X$200))</f>
        <v>0</v>
      </c>
      <c r="Y48" s="44" cm="1">
        <f t="array" ref="Y48">COUNTA(Tax!Y$5:Y$200)-SUM(--_xlfn.ISFORMULA(Tax!Y$5:Y$200))</f>
        <v>0</v>
      </c>
      <c r="Z48" s="44" cm="1">
        <f t="array" ref="Z48">COUNTA(Tax!Z$5:Z$200)-SUM(--_xlfn.ISFORMULA(Tax!Z$5:Z$200))</f>
        <v>0</v>
      </c>
      <c r="AA48" s="44" cm="1">
        <f t="array" ref="AA48">COUNTA(Tax!AA$5:AA$200)-SUM(--_xlfn.ISFORMULA(Tax!AA$5:AA$200))</f>
        <v>0</v>
      </c>
      <c r="AB48" s="44" cm="1">
        <f t="array" ref="AB48">COUNTA(Tax!AB$5:AB$200)-SUM(--_xlfn.ISFORMULA(Tax!AB$5:AB$200))</f>
        <v>0</v>
      </c>
      <c r="AC48" s="44" cm="1">
        <f t="array" ref="AC48">COUNTA(Tax!AC$5:AC$200)-SUM(--_xlfn.ISFORMULA(Tax!AC$5:AC$200))</f>
        <v>0</v>
      </c>
      <c r="AD48" s="44" cm="1">
        <f t="array" ref="AD48">COUNTA(Tax!AD$5:AD$200)-SUM(--_xlfn.ISFORMULA(Tax!AD$5:AD$200))</f>
        <v>0</v>
      </c>
      <c r="AE48" s="44" cm="1">
        <f t="array" ref="AE48">COUNTA(Tax!AE$5:AE$200)-SUM(--_xlfn.ISFORMULA(Tax!AE$5:AE$200))</f>
        <v>0</v>
      </c>
      <c r="AF48" s="44" cm="1">
        <f t="array" ref="AF48">COUNTA(Tax!AF$5:AF$200)-SUM(--_xlfn.ISFORMULA(Tax!AF$5:AF$200))</f>
        <v>0</v>
      </c>
      <c r="AG48" s="44" cm="1">
        <f t="array" ref="AG48">COUNTA(Tax!AG$5:AG$200)-SUM(--_xlfn.ISFORMULA(Tax!AG$5:AG$200))</f>
        <v>0</v>
      </c>
      <c r="AH48" s="44" cm="1">
        <f t="array" ref="AH48">COUNTA(Tax!AH$5:AH$200)-SUM(--_xlfn.ISFORMULA(Tax!AH$5:AH$200))</f>
        <v>0</v>
      </c>
      <c r="AI48" s="44" cm="1">
        <f t="array" ref="AI48">COUNTA(Tax!AI$5:AI$200)-SUM(--_xlfn.ISFORMULA(Tax!AI$5:AI$200))</f>
        <v>0</v>
      </c>
      <c r="AJ48" s="44" cm="1">
        <f t="array" ref="AJ48">COUNTA(Tax!AJ$5:AJ$200)-SUM(--_xlfn.ISFORMULA(Tax!AJ$5:AJ$200))</f>
        <v>0</v>
      </c>
      <c r="AK48" s="44" cm="1">
        <f t="array" ref="AK48">COUNTA(Tax!AK$5:AK$200)-SUM(--_xlfn.ISFORMULA(Tax!AK$5:AK$200))</f>
        <v>0</v>
      </c>
      <c r="AL48" s="44" cm="1">
        <f t="array" ref="AL48">COUNTA(Tax!AL$5:AL$200)-SUM(--_xlfn.ISFORMULA(Tax!AL$5:AL$200))</f>
        <v>0</v>
      </c>
      <c r="AM48" s="44" cm="1">
        <f t="array" ref="AM48">COUNTA(Tax!AM$5:AM$200)-SUM(--_xlfn.ISFORMULA(Tax!AM$5:AM$200))</f>
        <v>0</v>
      </c>
      <c r="AN48" s="44" cm="1">
        <f t="array" ref="AN48">COUNTA(Tax!AN$5:AN$200)-SUM(--_xlfn.ISFORMULA(Tax!AN$5:AN$200))</f>
        <v>0</v>
      </c>
      <c r="AO48" s="44" cm="1">
        <f t="array" ref="AO48">COUNTA(Tax!AO$5:AO$200)-SUM(--_xlfn.ISFORMULA(Tax!AO$5:AO$200))</f>
        <v>0</v>
      </c>
      <c r="AP48" s="44" cm="1">
        <f t="array" ref="AP48">COUNTA(Tax!AP$5:AP$200)-SUM(--_xlfn.ISFORMULA(Tax!AP$5:AP$200))</f>
        <v>0</v>
      </c>
      <c r="AQ48" s="44" cm="1">
        <f t="array" ref="AQ48">COUNTA(Tax!AQ$5:AQ$200)-SUM(--_xlfn.ISFORMULA(Tax!AQ$5:AQ$200))</f>
        <v>0</v>
      </c>
      <c r="AR48" s="44" cm="1">
        <f t="array" ref="AR48">COUNTA(Tax!AR$5:AR$200)-SUM(--_xlfn.ISFORMULA(Tax!AR$5:AR$200))</f>
        <v>0</v>
      </c>
      <c r="AS48" s="44" cm="1">
        <f t="array" ref="AS48">COUNTA(Tax!AS$5:AS$200)-SUM(--_xlfn.ISFORMULA(Tax!AS$5:AS$200))</f>
        <v>0</v>
      </c>
      <c r="AT48" s="176" cm="1">
        <f t="array" ref="AT48">COUNTA(Tax!AT$5:AT$200)-SUM(--_xlfn.ISFORMULA(Tax!AT$5:AT$200))</f>
        <v>0</v>
      </c>
      <c r="AU48" s="160" cm="1">
        <f t="array" aca="1" ref="AU48" ca="1">COUNTA(Tax!AU$5:AU$200)-SUM(--_xlfn.ISFORMULA(Tax!AU$5:AU$200))</f>
        <v>0</v>
      </c>
      <c r="AV48" s="44" cm="1">
        <f t="array" aca="1" ref="AV48" ca="1">COUNTA(Tax!AV$5:AV$200)-SUM(--_xlfn.ISFORMULA(Tax!AV$5:AV$200))</f>
        <v>0</v>
      </c>
      <c r="AW48" s="44" cm="1">
        <f t="array" aca="1" ref="AW48" ca="1">COUNTA(Tax!AW$5:AW$200)-SUM(--_xlfn.ISFORMULA(Tax!AW$5:AW$200))</f>
        <v>0</v>
      </c>
      <c r="AX48" s="44" cm="1">
        <f t="array" aca="1" ref="AX48" ca="1">COUNTA(Tax!AX$5:AX$200)-SUM(--_xlfn.ISFORMULA(Tax!AX$5:AX$200))</f>
        <v>0</v>
      </c>
      <c r="AY48" s="44" cm="1">
        <f t="array" aca="1" ref="AY48" ca="1">COUNTA(Tax!AY$5:AY$200)-SUM(--_xlfn.ISFORMULA(Tax!AY$5:AY$200))</f>
        <v>0</v>
      </c>
    </row>
    <row r="49" spans="1:51" customFormat="1" ht="14.5" x14ac:dyDescent="0.35">
      <c r="E49" t="s">
        <v>691</v>
      </c>
      <c r="I49" s="44" cm="1">
        <f t="array" ref="I49">COUNTA(ReturnAdj!I$5:I$200)-SUM(--_xlfn.ISFORMULA(ReturnAdj!I$5:I$200))</f>
        <v>0</v>
      </c>
      <c r="K49" s="44" cm="1">
        <f t="array" ref="K49">COUNTA(ReturnAdj!K$5:K$200)-SUM(--_xlfn.ISFORMULA(ReturnAdj!K$5:K$200))</f>
        <v>0</v>
      </c>
      <c r="L49" s="44" cm="1">
        <f t="array" ref="L49">COUNTA(ReturnAdj!L$5:L$200)-SUM(--_xlfn.ISFORMULA(ReturnAdj!L$5:L$200))</f>
        <v>0</v>
      </c>
      <c r="M49" s="44" cm="1">
        <f t="array" ref="M49">COUNTA(ReturnAdj!M$5:M$200)-SUM(--_xlfn.ISFORMULA(ReturnAdj!M$5:M$200))</f>
        <v>0</v>
      </c>
      <c r="N49" s="44" cm="1">
        <f t="array" ref="N49">COUNTA(ReturnAdj!N$5:N$200)-SUM(--_xlfn.ISFORMULA(ReturnAdj!N$5:N$200))</f>
        <v>0</v>
      </c>
      <c r="O49" s="44" cm="1">
        <f t="array" ref="O49">COUNTA(ReturnAdj!O$5:O$200)-SUM(--_xlfn.ISFORMULA(ReturnAdj!O$5:O$200))</f>
        <v>0</v>
      </c>
      <c r="P49" s="44" cm="1">
        <f t="array" ref="P49">COUNTA(ReturnAdj!P$5:P$200)-SUM(--_xlfn.ISFORMULA(ReturnAdj!P$5:P$200))</f>
        <v>0</v>
      </c>
      <c r="Q49" s="44" cm="1">
        <f t="array" ref="Q49">COUNTA(ReturnAdj!Q$5:Q$200)-SUM(--_xlfn.ISFORMULA(ReturnAdj!Q$5:Q$200))</f>
        <v>0</v>
      </c>
      <c r="R49" s="44" cm="1">
        <f t="array" ref="R49">COUNTA(ReturnAdj!R$5:R$200)-SUM(--_xlfn.ISFORMULA(ReturnAdj!R$5:R$200))</f>
        <v>0</v>
      </c>
      <c r="S49" s="44" cm="1">
        <f t="array" ref="S49">COUNTA(ReturnAdj!S$5:S$200)-SUM(--_xlfn.ISFORMULA(ReturnAdj!S$5:S$200))</f>
        <v>0</v>
      </c>
      <c r="T49" s="44" cm="1">
        <f t="array" ref="T49">COUNTA(ReturnAdj!T$5:T$200)-SUM(--_xlfn.ISFORMULA(ReturnAdj!T$5:T$200))</f>
        <v>0</v>
      </c>
      <c r="U49" s="44" cm="1">
        <f t="array" ref="U49">COUNTA(ReturnAdj!U$5:U$200)-SUM(--_xlfn.ISFORMULA(ReturnAdj!U$5:U$200))</f>
        <v>0</v>
      </c>
      <c r="V49" s="44" cm="1">
        <f t="array" ref="V49">COUNTA(ReturnAdj!V$5:V$200)-SUM(--_xlfn.ISFORMULA(ReturnAdj!V$5:V$200))</f>
        <v>0</v>
      </c>
      <c r="W49" s="44" cm="1">
        <f t="array" ref="W49">COUNTA(ReturnAdj!W$5:W$200)-SUM(--_xlfn.ISFORMULA(ReturnAdj!W$5:W$200))</f>
        <v>0</v>
      </c>
      <c r="X49" s="44" cm="1">
        <f t="array" ref="X49">COUNTA(ReturnAdj!X$5:X$200)-SUM(--_xlfn.ISFORMULA(ReturnAdj!X$5:X$200))</f>
        <v>0</v>
      </c>
      <c r="Y49" s="44" cm="1">
        <f t="array" ref="Y49">COUNTA(ReturnAdj!Y$5:Y$200)-SUM(--_xlfn.ISFORMULA(ReturnAdj!Y$5:Y$200))</f>
        <v>0</v>
      </c>
      <c r="Z49" s="44" cm="1">
        <f t="array" ref="Z49">COUNTA(ReturnAdj!Z$5:Z$200)-SUM(--_xlfn.ISFORMULA(ReturnAdj!Z$5:Z$200))</f>
        <v>0</v>
      </c>
      <c r="AA49" s="44" cm="1">
        <f t="array" ref="AA49">COUNTA(ReturnAdj!AA$5:AA$200)-SUM(--_xlfn.ISFORMULA(ReturnAdj!AA$5:AA$200))</f>
        <v>0</v>
      </c>
      <c r="AB49" s="44" cm="1">
        <f t="array" ref="AB49">COUNTA(ReturnAdj!AB$5:AB$200)-SUM(--_xlfn.ISFORMULA(ReturnAdj!AB$5:AB$200))</f>
        <v>0</v>
      </c>
      <c r="AC49" s="44" cm="1">
        <f t="array" ref="AC49">COUNTA(ReturnAdj!AC$5:AC$200)-SUM(--_xlfn.ISFORMULA(ReturnAdj!AC$5:AC$200))</f>
        <v>0</v>
      </c>
      <c r="AD49" s="44" cm="1">
        <f t="array" ref="AD49">COUNTA(ReturnAdj!AD$5:AD$200)-SUM(--_xlfn.ISFORMULA(ReturnAdj!AD$5:AD$200))</f>
        <v>0</v>
      </c>
      <c r="AE49" s="44" cm="1">
        <f t="array" ref="AE49">COUNTA(ReturnAdj!AE$5:AE$200)-SUM(--_xlfn.ISFORMULA(ReturnAdj!AE$5:AE$200))</f>
        <v>0</v>
      </c>
      <c r="AF49" s="44" cm="1">
        <f t="array" ref="AF49">COUNTA(ReturnAdj!AF$5:AF$200)-SUM(--_xlfn.ISFORMULA(ReturnAdj!AF$5:AF$200))</f>
        <v>0</v>
      </c>
      <c r="AG49" s="44" cm="1">
        <f t="array" ref="AG49">COUNTA(ReturnAdj!AG$5:AG$200)-SUM(--_xlfn.ISFORMULA(ReturnAdj!AG$5:AG$200))</f>
        <v>0</v>
      </c>
      <c r="AH49" s="44" cm="1">
        <f t="array" ref="AH49">COUNTA(ReturnAdj!AH$5:AH$200)-SUM(--_xlfn.ISFORMULA(ReturnAdj!AH$5:AH$200))</f>
        <v>0</v>
      </c>
      <c r="AI49" s="44" cm="1">
        <f t="array" ref="AI49">COUNTA(ReturnAdj!AI$5:AI$200)-SUM(--_xlfn.ISFORMULA(ReturnAdj!AI$5:AI$200))</f>
        <v>0</v>
      </c>
      <c r="AJ49" s="44" cm="1">
        <f t="array" ref="AJ49">COUNTA(ReturnAdj!AJ$5:AJ$200)-SUM(--_xlfn.ISFORMULA(ReturnAdj!AJ$5:AJ$200))</f>
        <v>0</v>
      </c>
      <c r="AK49" s="44" cm="1">
        <f t="array" ref="AK49">COUNTA(ReturnAdj!AK$5:AK$200)-SUM(--_xlfn.ISFORMULA(ReturnAdj!AK$5:AK$200))</f>
        <v>0</v>
      </c>
      <c r="AL49" s="44" cm="1">
        <f t="array" ref="AL49">COUNTA(ReturnAdj!AL$5:AL$200)-SUM(--_xlfn.ISFORMULA(ReturnAdj!AL$5:AL$200))</f>
        <v>0</v>
      </c>
      <c r="AM49" s="44" cm="1">
        <f t="array" ref="AM49">COUNTA(ReturnAdj!AM$5:AM$200)-SUM(--_xlfn.ISFORMULA(ReturnAdj!AM$5:AM$200))</f>
        <v>0</v>
      </c>
      <c r="AN49" s="44" cm="1">
        <f t="array" ref="AN49">COUNTA(ReturnAdj!AN$5:AN$200)-SUM(--_xlfn.ISFORMULA(ReturnAdj!AN$5:AN$200))</f>
        <v>0</v>
      </c>
      <c r="AO49" s="44" cm="1">
        <f t="array" ref="AO49">COUNTA(ReturnAdj!AO$5:AO$200)-SUM(--_xlfn.ISFORMULA(ReturnAdj!AO$5:AO$200))</f>
        <v>0</v>
      </c>
      <c r="AP49" s="44" cm="1">
        <f t="array" ref="AP49">COUNTA(ReturnAdj!AP$5:AP$200)-SUM(--_xlfn.ISFORMULA(ReturnAdj!AP$5:AP$200))</f>
        <v>0</v>
      </c>
      <c r="AQ49" s="44" cm="1">
        <f t="array" ref="AQ49">COUNTA(ReturnAdj!AQ$5:AQ$200)-SUM(--_xlfn.ISFORMULA(ReturnAdj!AQ$5:AQ$200))</f>
        <v>0</v>
      </c>
      <c r="AR49" s="44" cm="1">
        <f t="array" ref="AR49">COUNTA(ReturnAdj!AR$5:AR$200)-SUM(--_xlfn.ISFORMULA(ReturnAdj!AR$5:AR$200))</f>
        <v>0</v>
      </c>
      <c r="AS49" s="44" cm="1">
        <f t="array" ref="AS49">COUNTA(ReturnAdj!AS$5:AS$200)-SUM(--_xlfn.ISFORMULA(ReturnAdj!AS$5:AS$200))</f>
        <v>0</v>
      </c>
      <c r="AT49" s="176" cm="1">
        <f t="array" ref="AT49">COUNTA(ReturnAdj!AT$5:AT$200)-SUM(--_xlfn.ISFORMULA(ReturnAdj!AT$5:AT$200))</f>
        <v>0</v>
      </c>
      <c r="AU49" s="160" cm="1">
        <f t="array" ref="AU49">COUNTA(ReturnAdj!AU$5:AU$200)-SUM(--_xlfn.ISFORMULA(ReturnAdj!AU$5:AU$200))</f>
        <v>0</v>
      </c>
      <c r="AV49" s="44" cm="1">
        <f t="array" ref="AV49">COUNTA(ReturnAdj!AV$5:AV$200)-SUM(--_xlfn.ISFORMULA(ReturnAdj!AV$5:AV$200))</f>
        <v>0</v>
      </c>
      <c r="AW49" s="44" cm="1">
        <f t="array" ref="AW49">COUNTA(ReturnAdj!AW$5:AW$200)-SUM(--_xlfn.ISFORMULA(ReturnAdj!AW$5:AW$200))</f>
        <v>0</v>
      </c>
      <c r="AX49" s="44" cm="1">
        <f t="array" ref="AX49">COUNTA(ReturnAdj!AX$5:AX$200)-SUM(--_xlfn.ISFORMULA(ReturnAdj!AX$5:AX$200))</f>
        <v>0</v>
      </c>
      <c r="AY49" s="44" cm="1">
        <f t="array" ref="AY49">COUNTA(ReturnAdj!AY$5:AY$200)-SUM(--_xlfn.ISFORMULA(ReturnAdj!AY$5:AY$200))</f>
        <v>0</v>
      </c>
    </row>
    <row r="50" spans="1:51" customFormat="1" ht="14.5" x14ac:dyDescent="0.35">
      <c r="E50" t="s">
        <v>373</v>
      </c>
      <c r="I50" s="44" cm="1">
        <f t="array" ref="I50">COUNTA(Revenue!I$5:I$201)-SUM(--_xlfn.ISFORMULA(Revenue!I$5:I$201))</f>
        <v>0</v>
      </c>
      <c r="K50" s="44" cm="1">
        <f t="array" ref="K50">COUNTA(Revenue!K$5:K$201)-SUM(--_xlfn.ISFORMULA(Revenue!K$5:K$201))</f>
        <v>0</v>
      </c>
      <c r="L50" s="44" cm="1">
        <f t="array" ref="L50">COUNTA(Revenue!L$5:L$201)-SUM(--_xlfn.ISFORMULA(Revenue!L$5:L$201))</f>
        <v>0</v>
      </c>
      <c r="M50" s="44" cm="1">
        <f t="array" ref="M50">COUNTA(Revenue!M$5:M$201)-SUM(--_xlfn.ISFORMULA(Revenue!M$5:M$201))</f>
        <v>0</v>
      </c>
      <c r="N50" s="44" cm="1">
        <f t="array" ref="N50">COUNTA(Revenue!N$5:N$201)-SUM(--_xlfn.ISFORMULA(Revenue!N$5:N$201))</f>
        <v>0</v>
      </c>
      <c r="O50" s="44" cm="1">
        <f t="array" ref="O50">COUNTA(Revenue!O$5:O$201)-SUM(--_xlfn.ISFORMULA(Revenue!O$5:O$201))</f>
        <v>0</v>
      </c>
      <c r="P50" s="44" cm="1">
        <f t="array" ref="P50">COUNTA(Revenue!P$5:P$201)-SUM(--_xlfn.ISFORMULA(Revenue!P$5:P$201))</f>
        <v>0</v>
      </c>
      <c r="Q50" s="44" cm="1">
        <f t="array" ref="Q50">COUNTA(Revenue!Q$5:Q$201)-SUM(--_xlfn.ISFORMULA(Revenue!Q$5:Q$201))</f>
        <v>0</v>
      </c>
      <c r="R50" s="44" cm="1">
        <f t="array" ref="R50">COUNTA(Revenue!R$5:R$201)-SUM(--_xlfn.ISFORMULA(Revenue!R$5:R$201))</f>
        <v>0</v>
      </c>
      <c r="S50" s="44" cm="1">
        <f t="array" ref="S50">COUNTA(Revenue!S$5:S$201)-SUM(--_xlfn.ISFORMULA(Revenue!S$5:S$201))</f>
        <v>0</v>
      </c>
      <c r="T50" s="44" cm="1">
        <f t="array" ref="T50">COUNTA(Revenue!T$5:T$201)-SUM(--_xlfn.ISFORMULA(Revenue!T$5:T$201))</f>
        <v>0</v>
      </c>
      <c r="U50" s="44" cm="1">
        <f t="array" ref="U50">COUNTA(Revenue!U$5:U$201)-SUM(--_xlfn.ISFORMULA(Revenue!U$5:U$201))</f>
        <v>0</v>
      </c>
      <c r="V50" s="44" cm="1">
        <f t="array" ref="V50">COUNTA(Revenue!V$5:V$201)-SUM(--_xlfn.ISFORMULA(Revenue!V$5:V$201))</f>
        <v>0</v>
      </c>
      <c r="W50" s="44" cm="1">
        <f t="array" ref="W50">COUNTA(Revenue!W$5:W$201)-SUM(--_xlfn.ISFORMULA(Revenue!W$5:W$201))</f>
        <v>0</v>
      </c>
      <c r="X50" s="44" cm="1">
        <f t="array" ref="X50">COUNTA(Revenue!X$5:X$201)-SUM(--_xlfn.ISFORMULA(Revenue!X$5:X$201))</f>
        <v>0</v>
      </c>
      <c r="Y50" s="44" cm="1">
        <f t="array" ref="Y50">COUNTA(Revenue!Y$5:Y$201)-SUM(--_xlfn.ISFORMULA(Revenue!Y$5:Y$201))</f>
        <v>0</v>
      </c>
      <c r="Z50" s="44" cm="1">
        <f t="array" ref="Z50">COUNTA(Revenue!Z$5:Z$201)-SUM(--_xlfn.ISFORMULA(Revenue!Z$5:Z$201))</f>
        <v>0</v>
      </c>
      <c r="AA50" s="44" cm="1">
        <f t="array" ref="AA50">COUNTA(Revenue!AA$5:AA$201)-SUM(--_xlfn.ISFORMULA(Revenue!AA$5:AA$201))</f>
        <v>0</v>
      </c>
      <c r="AB50" s="44" cm="1">
        <f t="array" ref="AB50">COUNTA(Revenue!AB$5:AB$201)-SUM(--_xlfn.ISFORMULA(Revenue!AB$5:AB$201))</f>
        <v>0</v>
      </c>
      <c r="AC50" s="44" cm="1">
        <f t="array" ref="AC50">COUNTA(Revenue!AC$5:AC$201)-SUM(--_xlfn.ISFORMULA(Revenue!AC$5:AC$201))</f>
        <v>0</v>
      </c>
      <c r="AD50" s="44" cm="1">
        <f t="array" ref="AD50">COUNTA(Revenue!AD$5:AD$201)-SUM(--_xlfn.ISFORMULA(Revenue!AD$5:AD$201))</f>
        <v>0</v>
      </c>
      <c r="AE50" s="44" cm="1">
        <f t="array" ref="AE50">COUNTA(Revenue!AE$5:AE$201)-SUM(--_xlfn.ISFORMULA(Revenue!AE$5:AE$201))</f>
        <v>0</v>
      </c>
      <c r="AF50" s="44" cm="1">
        <f t="array" ref="AF50">COUNTA(Revenue!AF$5:AF$201)-SUM(--_xlfn.ISFORMULA(Revenue!AF$5:AF$201))</f>
        <v>0</v>
      </c>
      <c r="AG50" s="44" cm="1">
        <f t="array" ref="AG50">COUNTA(Revenue!AG$5:AG$201)-SUM(--_xlfn.ISFORMULA(Revenue!AG$5:AG$201))</f>
        <v>0</v>
      </c>
      <c r="AH50" s="44" cm="1">
        <f t="array" ref="AH50">COUNTA(Revenue!AH$5:AH$201)-SUM(--_xlfn.ISFORMULA(Revenue!AH$5:AH$201))</f>
        <v>0</v>
      </c>
      <c r="AI50" s="44" cm="1">
        <f t="array" ref="AI50">COUNTA(Revenue!AI$5:AI$201)-SUM(--_xlfn.ISFORMULA(Revenue!AI$5:AI$201))</f>
        <v>0</v>
      </c>
      <c r="AJ50" s="44" cm="1">
        <f t="array" ref="AJ50">COUNTA(Revenue!AJ$5:AJ$201)-SUM(--_xlfn.ISFORMULA(Revenue!AJ$5:AJ$201))</f>
        <v>0</v>
      </c>
      <c r="AK50" s="44" cm="1">
        <f t="array" ref="AK50">COUNTA(Revenue!AK$5:AK$201)-SUM(--_xlfn.ISFORMULA(Revenue!AK$5:AK$201))</f>
        <v>0</v>
      </c>
      <c r="AL50" s="44" cm="1">
        <f t="array" ref="AL50">COUNTA(Revenue!AL$5:AL$201)-SUM(--_xlfn.ISFORMULA(Revenue!AL$5:AL$201))</f>
        <v>0</v>
      </c>
      <c r="AM50" s="44" cm="1">
        <f t="array" ref="AM50">COUNTA(Revenue!AM$5:AM$201)-SUM(--_xlfn.ISFORMULA(Revenue!AM$5:AM$201))</f>
        <v>0</v>
      </c>
      <c r="AN50" s="44" cm="1">
        <f t="array" ref="AN50">COUNTA(Revenue!AN$5:AN$201)-SUM(--_xlfn.ISFORMULA(Revenue!AN$5:AN$201))</f>
        <v>0</v>
      </c>
      <c r="AO50" s="44" cm="1">
        <f t="array" ref="AO50">COUNTA(Revenue!AO$5:AO$201)-SUM(--_xlfn.ISFORMULA(Revenue!AO$5:AO$201))</f>
        <v>0</v>
      </c>
      <c r="AP50" s="44" cm="1">
        <f t="array" ref="AP50">COUNTA(Revenue!AP$5:AP$201)-SUM(--_xlfn.ISFORMULA(Revenue!AP$5:AP$201))</f>
        <v>0</v>
      </c>
      <c r="AQ50" s="44" cm="1">
        <f t="array" ref="AQ50">COUNTA(Revenue!AQ$5:AQ$201)-SUM(--_xlfn.ISFORMULA(Revenue!AQ$5:AQ$201))</f>
        <v>0</v>
      </c>
      <c r="AR50" s="44" cm="1">
        <f t="array" ref="AR50">COUNTA(Revenue!AR$5:AR$201)-SUM(--_xlfn.ISFORMULA(Revenue!AR$5:AR$201))</f>
        <v>0</v>
      </c>
      <c r="AS50" s="44" cm="1">
        <f t="array" ref="AS50">COUNTA(Revenue!AS$5:AS$201)-SUM(--_xlfn.ISFORMULA(Revenue!AS$5:AS$201))</f>
        <v>0</v>
      </c>
      <c r="AT50" s="176" cm="1">
        <f t="array" ref="AT50">COUNTA(Revenue!AT$5:AT$201)-SUM(--_xlfn.ISFORMULA(Revenue!AT$5:AT$201))</f>
        <v>0</v>
      </c>
      <c r="AU50" s="160" cm="1">
        <f t="array" aca="1" ref="AU50" ca="1">COUNTA(Revenue!AU$5:AU$201)-SUM(--_xlfn.ISFORMULA(Revenue!AU$5:AU$201))</f>
        <v>0</v>
      </c>
      <c r="AV50" s="44" cm="1">
        <f t="array" aca="1" ref="AV50" ca="1">COUNTA(Revenue!AV$5:AV$201)-SUM(--_xlfn.ISFORMULA(Revenue!AV$5:AV$201))</f>
        <v>0</v>
      </c>
      <c r="AW50" s="44" cm="1">
        <f t="array" aca="1" ref="AW50" ca="1">COUNTA(Revenue!AW$5:AW$201)-SUM(--_xlfn.ISFORMULA(Revenue!AW$5:AW$201))</f>
        <v>0</v>
      </c>
      <c r="AX50" s="44" cm="1">
        <f t="array" aca="1" ref="AX50" ca="1">COUNTA(Revenue!AX$5:AX$201)-SUM(--_xlfn.ISFORMULA(Revenue!AX$5:AX$201))</f>
        <v>0</v>
      </c>
      <c r="AY50" s="44" cm="1">
        <f t="array" aca="1" ref="AY50" ca="1">COUNTA(Revenue!AY$5:AY$201)-SUM(--_xlfn.ISFORMULA(Revenue!AY$5:AY$201))</f>
        <v>0</v>
      </c>
    </row>
    <row r="51" spans="1:51" customFormat="1" ht="14.5" x14ac:dyDescent="0.35">
      <c r="E51" t="s">
        <v>570</v>
      </c>
      <c r="I51" s="44" cm="1">
        <f t="array" ref="I51">COUNTA(AllowedRevenue!I$5:I$201)-SUM(--_xlfn.ISFORMULA(AllowedRevenue!I$5:I$201))</f>
        <v>0</v>
      </c>
      <c r="K51" s="44" cm="1">
        <f t="array" ref="K51">COUNTA(AllowedRevenue!K$5:K$201)-SUM(--_xlfn.ISFORMULA(AllowedRevenue!K$5:K$201))</f>
        <v>0</v>
      </c>
      <c r="L51" s="44" cm="1">
        <f t="array" ref="L51">COUNTA(AllowedRevenue!L$5:L$201)-SUM(--_xlfn.ISFORMULA(AllowedRevenue!L$5:L$201))</f>
        <v>0</v>
      </c>
      <c r="M51" s="44" cm="1">
        <f t="array" ref="M51">COUNTA(AllowedRevenue!M$5:M$201)-SUM(--_xlfn.ISFORMULA(AllowedRevenue!M$5:M$201))</f>
        <v>0</v>
      </c>
      <c r="N51" s="44" cm="1">
        <f t="array" ref="N51">COUNTA(AllowedRevenue!N$5:N$201)-SUM(--_xlfn.ISFORMULA(AllowedRevenue!N$5:N$201))</f>
        <v>0</v>
      </c>
      <c r="O51" s="44" cm="1">
        <f t="array" ref="O51">COUNTA(AllowedRevenue!O$5:O$201)-SUM(--_xlfn.ISFORMULA(AllowedRevenue!O$5:O$201))</f>
        <v>0</v>
      </c>
      <c r="P51" s="44" cm="1">
        <f t="array" ref="P51">COUNTA(AllowedRevenue!P$5:P$201)-SUM(--_xlfn.ISFORMULA(AllowedRevenue!P$5:P$201))</f>
        <v>0</v>
      </c>
      <c r="Q51" s="44" cm="1">
        <f t="array" ref="Q51">COUNTA(AllowedRevenue!Q$5:Q$201)-SUM(--_xlfn.ISFORMULA(AllowedRevenue!Q$5:Q$201))</f>
        <v>0</v>
      </c>
      <c r="R51" s="44" cm="1">
        <f t="array" ref="R51">COUNTA(AllowedRevenue!R$5:R$201)-SUM(--_xlfn.ISFORMULA(AllowedRevenue!R$5:R$201))</f>
        <v>0</v>
      </c>
      <c r="S51" s="44" cm="1">
        <f t="array" ref="S51">COUNTA(AllowedRevenue!S$5:S$201)-SUM(--_xlfn.ISFORMULA(AllowedRevenue!S$5:S$201))</f>
        <v>0</v>
      </c>
      <c r="T51" s="44" cm="1">
        <f t="array" ref="T51">COUNTA(AllowedRevenue!T$5:T$201)-SUM(--_xlfn.ISFORMULA(AllowedRevenue!T$5:T$201))</f>
        <v>0</v>
      </c>
      <c r="U51" s="44" cm="1">
        <f t="array" ref="U51">COUNTA(AllowedRevenue!U$5:U$201)-SUM(--_xlfn.ISFORMULA(AllowedRevenue!U$5:U$201))</f>
        <v>0</v>
      </c>
      <c r="V51" s="44" cm="1">
        <f t="array" ref="V51">COUNTA(AllowedRevenue!V$5:V$201)-SUM(--_xlfn.ISFORMULA(AllowedRevenue!V$5:V$201))</f>
        <v>0</v>
      </c>
      <c r="W51" s="44" cm="1">
        <f t="array" ref="W51">COUNTA(AllowedRevenue!W$5:W$201)-SUM(--_xlfn.ISFORMULA(AllowedRevenue!W$5:W$201))</f>
        <v>0</v>
      </c>
      <c r="X51" s="44" cm="1">
        <f t="array" ref="X51">COUNTA(AllowedRevenue!X$5:X$201)-SUM(--_xlfn.ISFORMULA(AllowedRevenue!X$5:X$201))</f>
        <v>0</v>
      </c>
      <c r="Y51" s="44" cm="1">
        <f t="array" ref="Y51">COUNTA(AllowedRevenue!Y$5:Y$201)-SUM(--_xlfn.ISFORMULA(AllowedRevenue!Y$5:Y$201))</f>
        <v>0</v>
      </c>
      <c r="Z51" s="44" cm="1">
        <f t="array" ref="Z51">COUNTA(AllowedRevenue!Z$5:Z$201)-SUM(--_xlfn.ISFORMULA(AllowedRevenue!Z$5:Z$201))</f>
        <v>0</v>
      </c>
      <c r="AA51" s="44" cm="1">
        <f t="array" ref="AA51">COUNTA(AllowedRevenue!AA$5:AA$201)-SUM(--_xlfn.ISFORMULA(AllowedRevenue!AA$5:AA$201))</f>
        <v>0</v>
      </c>
      <c r="AB51" s="44" cm="1">
        <f t="array" ref="AB51">COUNTA(AllowedRevenue!AB$5:AB$201)-SUM(--_xlfn.ISFORMULA(AllowedRevenue!AB$5:AB$201))</f>
        <v>0</v>
      </c>
      <c r="AC51" s="44" cm="1">
        <f t="array" ref="AC51">COUNTA(AllowedRevenue!AC$5:AC$201)-SUM(--_xlfn.ISFORMULA(AllowedRevenue!AC$5:AC$201))</f>
        <v>0</v>
      </c>
      <c r="AD51" s="44" cm="1">
        <f t="array" ref="AD51">COUNTA(AllowedRevenue!AD$5:AD$201)-SUM(--_xlfn.ISFORMULA(AllowedRevenue!AD$5:AD$201))</f>
        <v>0</v>
      </c>
      <c r="AE51" s="44" cm="1">
        <f t="array" ref="AE51">COUNTA(AllowedRevenue!AE$5:AE$201)-SUM(--_xlfn.ISFORMULA(AllowedRevenue!AE$5:AE$201))</f>
        <v>0</v>
      </c>
      <c r="AF51" s="44" cm="1">
        <f t="array" ref="AF51">COUNTA(AllowedRevenue!AF$5:AF$201)-SUM(--_xlfn.ISFORMULA(AllowedRevenue!AF$5:AF$201))</f>
        <v>0</v>
      </c>
      <c r="AG51" s="44" cm="1">
        <f t="array" ref="AG51">COUNTA(AllowedRevenue!AG$5:AG$201)-SUM(--_xlfn.ISFORMULA(AllowedRevenue!AG$5:AG$201))</f>
        <v>0</v>
      </c>
      <c r="AH51" s="44" cm="1">
        <f t="array" ref="AH51">COUNTA(AllowedRevenue!AH$5:AH$201)-SUM(--_xlfn.ISFORMULA(AllowedRevenue!AH$5:AH$201))</f>
        <v>0</v>
      </c>
      <c r="AI51" s="44" cm="1">
        <f t="array" ref="AI51">COUNTA(AllowedRevenue!AI$5:AI$201)-SUM(--_xlfn.ISFORMULA(AllowedRevenue!AI$5:AI$201))</f>
        <v>0</v>
      </c>
      <c r="AJ51" s="44" cm="1">
        <f t="array" ref="AJ51">COUNTA(AllowedRevenue!AJ$5:AJ$201)-SUM(--_xlfn.ISFORMULA(AllowedRevenue!AJ$5:AJ$201))</f>
        <v>0</v>
      </c>
      <c r="AK51" s="44" cm="1">
        <f t="array" ref="AK51">COUNTA(AllowedRevenue!AK$5:AK$201)-SUM(--_xlfn.ISFORMULA(AllowedRevenue!AK$5:AK$201))</f>
        <v>0</v>
      </c>
      <c r="AL51" s="44" cm="1">
        <f t="array" ref="AL51">COUNTA(AllowedRevenue!AL$5:AL$201)-SUM(--_xlfn.ISFORMULA(AllowedRevenue!AL$5:AL$201))</f>
        <v>0</v>
      </c>
      <c r="AM51" s="44" cm="1">
        <f t="array" ref="AM51">COUNTA(AllowedRevenue!AM$5:AM$201)-SUM(--_xlfn.ISFORMULA(AllowedRevenue!AM$5:AM$201))</f>
        <v>0</v>
      </c>
      <c r="AN51" s="44" cm="1">
        <f t="array" ref="AN51">COUNTA(AllowedRevenue!AN$5:AN$201)-SUM(--_xlfn.ISFORMULA(AllowedRevenue!AN$5:AN$201))</f>
        <v>0</v>
      </c>
      <c r="AO51" s="44" cm="1">
        <f t="array" ref="AO51">COUNTA(AllowedRevenue!AO$5:AO$201)-SUM(--_xlfn.ISFORMULA(AllowedRevenue!AO$5:AO$201))</f>
        <v>0</v>
      </c>
      <c r="AP51" s="44" cm="1">
        <f t="array" ref="AP51">COUNTA(AllowedRevenue!AP$5:AP$201)-SUM(--_xlfn.ISFORMULA(AllowedRevenue!AP$5:AP$201))</f>
        <v>0</v>
      </c>
      <c r="AQ51" s="44" cm="1">
        <f t="array" ref="AQ51">COUNTA(AllowedRevenue!AQ$5:AQ$201)-SUM(--_xlfn.ISFORMULA(AllowedRevenue!AQ$5:AQ$201))</f>
        <v>0</v>
      </c>
      <c r="AR51" s="44" cm="1">
        <f t="array" ref="AR51">COUNTA(AllowedRevenue!AR$5:AR$201)-SUM(--_xlfn.ISFORMULA(AllowedRevenue!AR$5:AR$201))</f>
        <v>0</v>
      </c>
      <c r="AS51" s="44" cm="1">
        <f t="array" ref="AS51">COUNTA(AllowedRevenue!AS$5:AS$201)-SUM(--_xlfn.ISFORMULA(AllowedRevenue!AS$5:AS$201))</f>
        <v>0</v>
      </c>
      <c r="AT51" s="176" cm="1">
        <f t="array" ref="AT51">COUNTA(AllowedRevenue!AT$5:AT$201)-SUM(--_xlfn.ISFORMULA(AllowedRevenue!AT$5:AT$201))</f>
        <v>0</v>
      </c>
      <c r="AU51" s="160" cm="1">
        <f t="array" aca="1" ref="AU51" ca="1">COUNTA(AllowedRevenue!AU$5:AU$201)-SUM(--_xlfn.ISFORMULA(AllowedRevenue!AU$5:AU$201))</f>
        <v>0</v>
      </c>
      <c r="AV51" s="44" cm="1">
        <f t="array" aca="1" ref="AV51" ca="1">COUNTA(AllowedRevenue!AV$5:AV$201)-SUM(--_xlfn.ISFORMULA(AllowedRevenue!AV$5:AV$201))</f>
        <v>0</v>
      </c>
      <c r="AW51" s="44" cm="1">
        <f t="array" aca="1" ref="AW51" ca="1">COUNTA(AllowedRevenue!AW$5:AW$201)-SUM(--_xlfn.ISFORMULA(AllowedRevenue!AW$5:AW$201))</f>
        <v>0</v>
      </c>
      <c r="AX51" s="44" cm="1">
        <f t="array" aca="1" ref="AX51" ca="1">COUNTA(AllowedRevenue!AX$5:AX$201)-SUM(--_xlfn.ISFORMULA(AllowedRevenue!AX$5:AX$201))</f>
        <v>0</v>
      </c>
      <c r="AY51" s="44" cm="1">
        <f t="array" aca="1" ref="AY51" ca="1">COUNTA(AllowedRevenue!AY$5:AY$201)-SUM(--_xlfn.ISFORMULA(AllowedRevenue!AY$5:AY$201))</f>
        <v>0</v>
      </c>
    </row>
    <row r="52" spans="1:51" customFormat="1" ht="14.5" x14ac:dyDescent="0.35">
      <c r="AT52" s="61"/>
    </row>
    <row r="53" spans="1:51" customFormat="1" ht="17.5" thickBot="1" x14ac:dyDescent="0.45">
      <c r="A53" s="6"/>
      <c r="B53" s="15" t="s">
        <v>692</v>
      </c>
      <c r="AT53" s="61"/>
    </row>
    <row r="54" spans="1:51" customFormat="1" ht="15" thickTop="1" x14ac:dyDescent="0.35">
      <c r="E54" t="s">
        <v>567</v>
      </c>
      <c r="I54" s="44">
        <f>ISERROR(SUM(LicenseeSelect!I$5:I$804))*1</f>
        <v>0</v>
      </c>
      <c r="K54" s="44">
        <f>ISERROR(SUM(LicenseeSelect!K$5:K$804))*1</f>
        <v>0</v>
      </c>
      <c r="L54" s="44">
        <f>ISERROR(SUM(LicenseeSelect!L$5:L$804))*1</f>
        <v>0</v>
      </c>
      <c r="M54" s="44">
        <f>ISERROR(SUM(LicenseeSelect!M$5:M$804))*1</f>
        <v>0</v>
      </c>
      <c r="N54" s="44">
        <f>ISERROR(SUM(LicenseeSelect!N$5:N$804))*1</f>
        <v>0</v>
      </c>
      <c r="O54" s="44">
        <f>ISERROR(SUM(LicenseeSelect!O$5:O$804))*1</f>
        <v>0</v>
      </c>
      <c r="P54" s="44">
        <f>ISERROR(SUM(LicenseeSelect!P$5:P$804))*1</f>
        <v>0</v>
      </c>
      <c r="Q54" s="44">
        <f>ISERROR(SUM(LicenseeSelect!Q$5:Q$804))*1</f>
        <v>0</v>
      </c>
      <c r="R54" s="44">
        <f>ISERROR(SUM(LicenseeSelect!R$5:R$804))*1</f>
        <v>0</v>
      </c>
      <c r="S54" s="44">
        <f>ISERROR(SUM(LicenseeSelect!S$5:S$804))*1</f>
        <v>0</v>
      </c>
      <c r="T54" s="44">
        <f>ISERROR(SUM(LicenseeSelect!T$5:T$804))*1</f>
        <v>0</v>
      </c>
      <c r="U54" s="44">
        <f>ISERROR(SUM(LicenseeSelect!U$5:U$804))*1</f>
        <v>0</v>
      </c>
      <c r="V54" s="44">
        <f>ISERROR(SUM(LicenseeSelect!V$5:V$804))*1</f>
        <v>0</v>
      </c>
      <c r="W54" s="44">
        <f>ISERROR(SUM(LicenseeSelect!W$5:W$804))*1</f>
        <v>0</v>
      </c>
      <c r="X54" s="44">
        <f>ISERROR(SUM(LicenseeSelect!X$5:X$804))*1</f>
        <v>0</v>
      </c>
      <c r="Y54" s="44">
        <f>ISERROR(SUM(LicenseeSelect!Y$5:Y$804))*1</f>
        <v>0</v>
      </c>
      <c r="Z54" s="44">
        <f>ISERROR(SUM(LicenseeSelect!Z$5:Z$804))*1</f>
        <v>0</v>
      </c>
      <c r="AA54" s="44">
        <f>ISERROR(SUM(LicenseeSelect!AA$5:AA$804))*1</f>
        <v>0</v>
      </c>
      <c r="AB54" s="44">
        <f>ISERROR(SUM(LicenseeSelect!AB$5:AB$804))*1</f>
        <v>0</v>
      </c>
      <c r="AC54" s="44">
        <f>ISERROR(SUM(LicenseeSelect!AC$5:AC$804))*1</f>
        <v>0</v>
      </c>
      <c r="AD54" s="44">
        <f>ISERROR(SUM(LicenseeSelect!AD$5:AD$804))*1</f>
        <v>0</v>
      </c>
      <c r="AE54" s="44">
        <f>ISERROR(SUM(LicenseeSelect!AE$5:AE$804))*1</f>
        <v>0</v>
      </c>
      <c r="AF54" s="44">
        <f>ISERROR(SUM(LicenseeSelect!AF$5:AF$804))*1</f>
        <v>0</v>
      </c>
      <c r="AG54" s="44">
        <f>ISERROR(SUM(LicenseeSelect!AG$5:AG$804))*1</f>
        <v>0</v>
      </c>
      <c r="AH54" s="44">
        <f>ISERROR(SUM(LicenseeSelect!AH$5:AH$804))*1</f>
        <v>0</v>
      </c>
      <c r="AI54" s="44">
        <f>ISERROR(SUM(LicenseeSelect!AI$5:AI$804))*1</f>
        <v>0</v>
      </c>
      <c r="AJ54" s="44">
        <f>ISERROR(SUM(LicenseeSelect!AJ$5:AJ$804))*1</f>
        <v>0</v>
      </c>
      <c r="AK54" s="44">
        <f>ISERROR(SUM(LicenseeSelect!AK$5:AK$804))*1</f>
        <v>0</v>
      </c>
      <c r="AL54" s="44">
        <f>ISERROR(SUM(LicenseeSelect!AL$5:AL$804))*1</f>
        <v>0</v>
      </c>
      <c r="AM54" s="44">
        <f>ISERROR(SUM(LicenseeSelect!AM$5:AM$804))*1</f>
        <v>0</v>
      </c>
      <c r="AN54" s="44">
        <f>ISERROR(SUM(LicenseeSelect!AN$5:AN$804))*1</f>
        <v>0</v>
      </c>
      <c r="AO54" s="44">
        <f>ISERROR(SUM(LicenseeSelect!AO$5:AO$804))*1</f>
        <v>0</v>
      </c>
      <c r="AP54" s="44">
        <f>ISERROR(SUM(LicenseeSelect!AP$5:AP$804))*1</f>
        <v>0</v>
      </c>
      <c r="AQ54" s="44">
        <f>ISERROR(SUM(LicenseeSelect!AQ$5:AQ$804))*1</f>
        <v>0</v>
      </c>
      <c r="AR54" s="44">
        <f>ISERROR(SUM(LicenseeSelect!AR$5:AR$804))*1</f>
        <v>0</v>
      </c>
      <c r="AS54" s="44">
        <f>ISERROR(SUM(LicenseeSelect!AS$5:AS$804))*1</f>
        <v>0</v>
      </c>
      <c r="AT54" s="176">
        <f>ISERROR(SUM(LicenseeSelect!AT$5:AT$804))*1</f>
        <v>0</v>
      </c>
      <c r="AU54" s="160">
        <f>ISERROR(SUM(LicenseeSelect!AU$5:AU$804))*1</f>
        <v>0</v>
      </c>
      <c r="AV54" s="44">
        <f>ISERROR(SUM(LicenseeSelect!AV$5:AV$804))*1</f>
        <v>0</v>
      </c>
      <c r="AW54" s="44">
        <f>ISERROR(SUM(LicenseeSelect!AW$5:AW$804))*1</f>
        <v>0</v>
      </c>
      <c r="AX54" s="44">
        <f>ISERROR(SUM(LicenseeSelect!AX$5:AX$804))*1</f>
        <v>0</v>
      </c>
      <c r="AY54" s="44">
        <f>ISERROR(SUM(LicenseeSelect!AY$5:AY$804))*1</f>
        <v>0</v>
      </c>
    </row>
    <row r="55" spans="1:51" customFormat="1" ht="14.5" x14ac:dyDescent="0.35">
      <c r="E55" t="s">
        <v>568</v>
      </c>
      <c r="I55" s="44">
        <f>ISERROR(SUM(VariantAllowances!I$5:I$1152))*1</f>
        <v>0</v>
      </c>
      <c r="K55" s="44">
        <f>ISERROR(SUM(VariantAllowances!K$5:K$1152))*1</f>
        <v>0</v>
      </c>
      <c r="L55" s="44">
        <f>ISERROR(SUM(VariantAllowances!L$5:L$1152))*1</f>
        <v>0</v>
      </c>
      <c r="M55" s="44">
        <f>ISERROR(SUM(VariantAllowances!M$5:M$1152))*1</f>
        <v>0</v>
      </c>
      <c r="N55" s="44">
        <f>ISERROR(SUM(VariantAllowances!N$5:N$1152))*1</f>
        <v>0</v>
      </c>
      <c r="O55" s="44">
        <f>ISERROR(SUM(VariantAllowances!O$5:O$1152))*1</f>
        <v>0</v>
      </c>
      <c r="P55" s="44">
        <f>ISERROR(SUM(VariantAllowances!P$5:P$1152))*1</f>
        <v>0</v>
      </c>
      <c r="Q55" s="44">
        <f>ISERROR(SUM(VariantAllowances!Q$5:Q$1152))*1</f>
        <v>0</v>
      </c>
      <c r="R55" s="44">
        <f>ISERROR(SUM(VariantAllowances!R$5:R$1152))*1</f>
        <v>0</v>
      </c>
      <c r="S55" s="44">
        <f>ISERROR(SUM(VariantAllowances!S$5:S$1152))*1</f>
        <v>0</v>
      </c>
      <c r="T55" s="44">
        <f>ISERROR(SUM(VariantAllowances!T$5:T$1152))*1</f>
        <v>0</v>
      </c>
      <c r="U55" s="44">
        <f>ISERROR(SUM(VariantAllowances!U$5:U$1152))*1</f>
        <v>0</v>
      </c>
      <c r="V55" s="44">
        <f>ISERROR(SUM(VariantAllowances!V$5:V$1152))*1</f>
        <v>0</v>
      </c>
      <c r="W55" s="44">
        <f>ISERROR(SUM(VariantAllowances!W$5:W$1152))*1</f>
        <v>0</v>
      </c>
      <c r="X55" s="44">
        <f>ISERROR(SUM(VariantAllowances!X$5:X$1152))*1</f>
        <v>0</v>
      </c>
      <c r="Y55" s="44">
        <f>ISERROR(SUM(VariantAllowances!Y$5:Y$1152))*1</f>
        <v>0</v>
      </c>
      <c r="Z55" s="44">
        <f>ISERROR(SUM(VariantAllowances!Z$5:Z$1152))*1</f>
        <v>0</v>
      </c>
      <c r="AA55" s="44">
        <f>ISERROR(SUM(VariantAllowances!AA$5:AA$1152))*1</f>
        <v>0</v>
      </c>
      <c r="AB55" s="44">
        <f>ISERROR(SUM(VariantAllowances!AB$5:AB$1152))*1</f>
        <v>0</v>
      </c>
      <c r="AC55" s="44">
        <f>ISERROR(SUM(VariantAllowances!AC$5:AC$1152))*1</f>
        <v>0</v>
      </c>
      <c r="AD55" s="44">
        <f>ISERROR(SUM(VariantAllowances!AD$5:AD$1152))*1</f>
        <v>0</v>
      </c>
      <c r="AE55" s="44">
        <f>ISERROR(SUM(VariantAllowances!AE$5:AE$1152))*1</f>
        <v>0</v>
      </c>
      <c r="AF55" s="44">
        <f>ISERROR(SUM(VariantAllowances!AF$5:AF$1152))*1</f>
        <v>0</v>
      </c>
      <c r="AG55" s="44">
        <f>ISERROR(SUM(VariantAllowances!AG$5:AG$1152))*1</f>
        <v>0</v>
      </c>
      <c r="AH55" s="44">
        <f>ISERROR(SUM(VariantAllowances!AH$5:AH$1152))*1</f>
        <v>0</v>
      </c>
      <c r="AI55" s="44">
        <f>ISERROR(SUM(VariantAllowances!AI$5:AI$1152))*1</f>
        <v>0</v>
      </c>
      <c r="AJ55" s="44">
        <f>ISERROR(SUM(VariantAllowances!AJ$5:AJ$1152))*1</f>
        <v>0</v>
      </c>
      <c r="AK55" s="44">
        <f>ISERROR(SUM(VariantAllowances!AK$5:AK$1152))*1</f>
        <v>0</v>
      </c>
      <c r="AL55" s="44">
        <f>ISERROR(SUM(VariantAllowances!AL$5:AL$1152))*1</f>
        <v>0</v>
      </c>
      <c r="AM55" s="44">
        <f>ISERROR(SUM(VariantAllowances!AM$5:AM$1152))*1</f>
        <v>0</v>
      </c>
      <c r="AN55" s="44">
        <f>ISERROR(SUM(VariantAllowances!AN$5:AN$1152))*1</f>
        <v>0</v>
      </c>
      <c r="AO55" s="44">
        <f>ISERROR(SUM(VariantAllowances!AO$5:AO$1152))*1</f>
        <v>0</v>
      </c>
      <c r="AP55" s="44">
        <f>ISERROR(SUM(VariantAllowances!AP$5:AP$1152))*1</f>
        <v>0</v>
      </c>
      <c r="AQ55" s="44">
        <f>ISERROR(SUM(VariantAllowances!AQ$5:AQ$1152))*1</f>
        <v>0</v>
      </c>
      <c r="AR55" s="44">
        <f>ISERROR(SUM(VariantAllowances!AR$5:AR$1152))*1</f>
        <v>0</v>
      </c>
      <c r="AS55" s="44">
        <f>ISERROR(SUM(VariantAllowances!AS$5:AS$1152))*1</f>
        <v>0</v>
      </c>
      <c r="AT55" s="176">
        <f>ISERROR(SUM(VariantAllowances!AT$5:AT$1152))*1</f>
        <v>0</v>
      </c>
      <c r="AU55" s="160">
        <f>ISERROR(SUM(VariantAllowances!AU$5:AU$1152))*1</f>
        <v>0</v>
      </c>
      <c r="AV55" s="44">
        <f>ISERROR(SUM(VariantAllowances!AV$5:AV$1152))*1</f>
        <v>0</v>
      </c>
      <c r="AW55" s="44">
        <f>ISERROR(SUM(VariantAllowances!AW$5:AW$1152))*1</f>
        <v>0</v>
      </c>
      <c r="AX55" s="44">
        <f>ISERROR(SUM(VariantAllowances!AX$5:AX$1152))*1</f>
        <v>0</v>
      </c>
      <c r="AY55" s="44">
        <f>ISERROR(SUM(VariantAllowances!AY$5:AY$1152))*1</f>
        <v>0</v>
      </c>
    </row>
    <row r="56" spans="1:51" customFormat="1" ht="14.5" x14ac:dyDescent="0.35">
      <c r="E56" t="s">
        <v>569</v>
      </c>
      <c r="I56" s="44">
        <f>ISERROR(SUM(Transform!I$5:I$512))*1</f>
        <v>0</v>
      </c>
      <c r="K56" s="44">
        <f>ISERROR(SUM(Transform!K$5:K$512))*1</f>
        <v>0</v>
      </c>
      <c r="L56" s="44">
        <f>ISERROR(SUM(Transform!L$5:L$512))*1</f>
        <v>0</v>
      </c>
      <c r="M56" s="44">
        <f>ISERROR(SUM(Transform!M$5:M$512))*1</f>
        <v>0</v>
      </c>
      <c r="N56" s="44">
        <f>ISERROR(SUM(Transform!N$5:N$512))*1</f>
        <v>0</v>
      </c>
      <c r="O56" s="44">
        <f>ISERROR(SUM(Transform!O$5:O$512))*1</f>
        <v>0</v>
      </c>
      <c r="P56" s="44">
        <f>ISERROR(SUM(Transform!P$5:P$512))*1</f>
        <v>0</v>
      </c>
      <c r="Q56" s="44">
        <f>ISERROR(SUM(Transform!Q$5:Q$512))*1</f>
        <v>0</v>
      </c>
      <c r="R56" s="44">
        <f>ISERROR(SUM(Transform!R$5:R$512))*1</f>
        <v>0</v>
      </c>
      <c r="S56" s="44">
        <f>ISERROR(SUM(Transform!S$5:S$512))*1</f>
        <v>0</v>
      </c>
      <c r="T56" s="44">
        <f>ISERROR(SUM(Transform!T$5:T$512))*1</f>
        <v>0</v>
      </c>
      <c r="U56" s="44">
        <f>ISERROR(SUM(Transform!U$5:U$512))*1</f>
        <v>0</v>
      </c>
      <c r="V56" s="44">
        <f>ISERROR(SUM(Transform!V$5:V$512))*1</f>
        <v>0</v>
      </c>
      <c r="W56" s="44">
        <f>ISERROR(SUM(Transform!W$5:W$512))*1</f>
        <v>0</v>
      </c>
      <c r="X56" s="44">
        <f>ISERROR(SUM(Transform!X$5:X$512))*1</f>
        <v>0</v>
      </c>
      <c r="Y56" s="44">
        <f>ISERROR(SUM(Transform!Y$5:Y$512))*1</f>
        <v>0</v>
      </c>
      <c r="Z56" s="44">
        <f>ISERROR(SUM(Transform!Z$5:Z$512))*1</f>
        <v>0</v>
      </c>
      <c r="AA56" s="44">
        <f>ISERROR(SUM(Transform!AA$5:AA$512))*1</f>
        <v>0</v>
      </c>
      <c r="AB56" s="44">
        <f>ISERROR(SUM(Transform!AB$5:AB$512))*1</f>
        <v>0</v>
      </c>
      <c r="AC56" s="44">
        <f>ISERROR(SUM(Transform!AC$5:AC$512))*1</f>
        <v>0</v>
      </c>
      <c r="AD56" s="44">
        <f>ISERROR(SUM(Transform!AD$5:AD$512))*1</f>
        <v>0</v>
      </c>
      <c r="AE56" s="44">
        <f>ISERROR(SUM(Transform!AE$5:AE$512))*1</f>
        <v>0</v>
      </c>
      <c r="AF56" s="44">
        <f>ISERROR(SUM(Transform!AF$5:AF$512))*1</f>
        <v>0</v>
      </c>
      <c r="AG56" s="44">
        <f>ISERROR(SUM(Transform!AG$5:AG$512))*1</f>
        <v>0</v>
      </c>
      <c r="AH56" s="44">
        <f>ISERROR(SUM(Transform!AH$5:AH$512))*1</f>
        <v>0</v>
      </c>
      <c r="AI56" s="44">
        <f>ISERROR(SUM(Transform!AI$5:AI$512))*1</f>
        <v>0</v>
      </c>
      <c r="AJ56" s="44">
        <f>ISERROR(SUM(Transform!AJ$5:AJ$512))*1</f>
        <v>0</v>
      </c>
      <c r="AK56" s="44">
        <f>ISERROR(SUM(Transform!AK$5:AK$512))*1</f>
        <v>0</v>
      </c>
      <c r="AL56" s="44">
        <f>ISERROR(SUM(Transform!AL$5:AL$512))*1</f>
        <v>0</v>
      </c>
      <c r="AM56" s="44">
        <f>ISERROR(SUM(Transform!AM$5:AM$512))*1</f>
        <v>0</v>
      </c>
      <c r="AN56" s="44">
        <f>ISERROR(SUM(Transform!AN$5:AN$512))*1</f>
        <v>0</v>
      </c>
      <c r="AO56" s="44">
        <f>ISERROR(SUM(Transform!AO$5:AO$512))*1</f>
        <v>0</v>
      </c>
      <c r="AP56" s="44">
        <f>ISERROR(SUM(Transform!AP$5:AP$512))*1</f>
        <v>0</v>
      </c>
      <c r="AQ56" s="44">
        <f>ISERROR(SUM(Transform!AQ$5:AQ$512))*1</f>
        <v>0</v>
      </c>
      <c r="AR56" s="44">
        <f>ISERROR(SUM(Transform!AR$5:AR$512))*1</f>
        <v>0</v>
      </c>
      <c r="AS56" s="44">
        <f>ISERROR(SUM(Transform!AS$5:AS$512))*1</f>
        <v>0</v>
      </c>
      <c r="AT56" s="176">
        <f>ISERROR(SUM(Transform!AT$5:AT$512))*1</f>
        <v>0</v>
      </c>
      <c r="AU56" s="160">
        <f>ISERROR(SUM(Transform!AU$5:AU$512))*1</f>
        <v>0</v>
      </c>
      <c r="AV56" s="44">
        <f>ISERROR(SUM(Transform!AV$5:AV$512))*1</f>
        <v>0</v>
      </c>
      <c r="AW56" s="44">
        <f>ISERROR(SUM(Transform!AW$5:AW$512))*1</f>
        <v>0</v>
      </c>
      <c r="AX56" s="44">
        <f>ISERROR(SUM(Transform!AX$5:AX$512))*1</f>
        <v>0</v>
      </c>
      <c r="AY56" s="44">
        <f>ISERROR(SUM(Transform!AY$5:AY$512))*1</f>
        <v>0</v>
      </c>
    </row>
    <row r="57" spans="1:51" customFormat="1" ht="14.5" x14ac:dyDescent="0.35">
      <c r="E57" t="s">
        <v>282</v>
      </c>
      <c r="I57" s="44">
        <f>ISERROR(SUM(Totex!I$5:I$200))*1</f>
        <v>0</v>
      </c>
      <c r="K57" s="44">
        <f>ISERROR(SUM(Totex!K$5:K$200))*1</f>
        <v>0</v>
      </c>
      <c r="L57" s="44">
        <f>ISERROR(SUM(Totex!L$5:L$200))*1</f>
        <v>0</v>
      </c>
      <c r="M57" s="44">
        <f>ISERROR(SUM(Totex!M$5:M$200))*1</f>
        <v>0</v>
      </c>
      <c r="N57" s="44">
        <f>ISERROR(SUM(Totex!N$5:N$200))*1</f>
        <v>0</v>
      </c>
      <c r="O57" s="44">
        <f>ISERROR(SUM(Totex!O$5:O$200))*1</f>
        <v>0</v>
      </c>
      <c r="P57" s="44">
        <f>ISERROR(SUM(Totex!P$5:P$200))*1</f>
        <v>0</v>
      </c>
      <c r="Q57" s="44">
        <f>ISERROR(SUM(Totex!Q$5:Q$200))*1</f>
        <v>0</v>
      </c>
      <c r="R57" s="44">
        <f>ISERROR(SUM(Totex!R$5:R$200))*1</f>
        <v>0</v>
      </c>
      <c r="S57" s="44">
        <f>ISERROR(SUM(Totex!S$5:S$200))*1</f>
        <v>0</v>
      </c>
      <c r="T57" s="44">
        <f>ISERROR(SUM(Totex!T$5:T$200))*1</f>
        <v>0</v>
      </c>
      <c r="U57" s="44">
        <f>ISERROR(SUM(Totex!U$5:U$200))*1</f>
        <v>0</v>
      </c>
      <c r="V57" s="44">
        <f>ISERROR(SUM(Totex!V$5:V$200))*1</f>
        <v>0</v>
      </c>
      <c r="W57" s="44">
        <f>ISERROR(SUM(Totex!W$5:W$200))*1</f>
        <v>0</v>
      </c>
      <c r="X57" s="44">
        <f>ISERROR(SUM(Totex!X$5:X$200))*1</f>
        <v>0</v>
      </c>
      <c r="Y57" s="44">
        <f>ISERROR(SUM(Totex!Y$5:Y$200))*1</f>
        <v>0</v>
      </c>
      <c r="Z57" s="44">
        <f>ISERROR(SUM(Totex!Z$5:Z$200))*1</f>
        <v>0</v>
      </c>
      <c r="AA57" s="44">
        <f>ISERROR(SUM(Totex!AA$5:AA$200))*1</f>
        <v>0</v>
      </c>
      <c r="AB57" s="44">
        <f>ISERROR(SUM(Totex!AB$5:AB$200))*1</f>
        <v>0</v>
      </c>
      <c r="AC57" s="44">
        <f>ISERROR(SUM(Totex!AC$5:AC$200))*1</f>
        <v>0</v>
      </c>
      <c r="AD57" s="44">
        <f>ISERROR(SUM(Totex!AD$5:AD$200))*1</f>
        <v>0</v>
      </c>
      <c r="AE57" s="44">
        <f>ISERROR(SUM(Totex!AE$5:AE$200))*1</f>
        <v>0</v>
      </c>
      <c r="AF57" s="44">
        <f>ISERROR(SUM(Totex!AF$5:AF$200))*1</f>
        <v>0</v>
      </c>
      <c r="AG57" s="44">
        <f>ISERROR(SUM(Totex!AG$5:AG$200))*1</f>
        <v>0</v>
      </c>
      <c r="AH57" s="44">
        <f>ISERROR(SUM(Totex!AH$5:AH$200))*1</f>
        <v>0</v>
      </c>
      <c r="AI57" s="44">
        <f>ISERROR(SUM(Totex!AI$5:AI$200))*1</f>
        <v>0</v>
      </c>
      <c r="AJ57" s="44">
        <f>ISERROR(SUM(Totex!AJ$5:AJ$200))*1</f>
        <v>0</v>
      </c>
      <c r="AK57" s="44">
        <f>ISERROR(SUM(Totex!AK$5:AK$200))*1</f>
        <v>0</v>
      </c>
      <c r="AL57" s="44">
        <f>ISERROR(SUM(Totex!AL$5:AL$200))*1</f>
        <v>0</v>
      </c>
      <c r="AM57" s="44">
        <f>ISERROR(SUM(Totex!AM$5:AM$200))*1</f>
        <v>0</v>
      </c>
      <c r="AN57" s="44">
        <f>ISERROR(SUM(Totex!AN$5:AN$200))*1</f>
        <v>0</v>
      </c>
      <c r="AO57" s="44">
        <f>ISERROR(SUM(Totex!AO$5:AO$200))*1</f>
        <v>0</v>
      </c>
      <c r="AP57" s="44">
        <f>ISERROR(SUM(Totex!AP$5:AP$200))*1</f>
        <v>0</v>
      </c>
      <c r="AQ57" s="44">
        <f>ISERROR(SUM(Totex!AQ$5:AQ$200))*1</f>
        <v>0</v>
      </c>
      <c r="AR57" s="44">
        <f>ISERROR(SUM(Totex!AR$5:AR$200))*1</f>
        <v>0</v>
      </c>
      <c r="AS57" s="44">
        <f>ISERROR(SUM(Totex!AS$5:AS$200))*1</f>
        <v>0</v>
      </c>
      <c r="AT57" s="176">
        <f>ISERROR(SUM(Totex!AT$5:AT$200))*1</f>
        <v>0</v>
      </c>
      <c r="AU57" s="160">
        <f>ISERROR(SUM(Totex!AU$5:AU$200))*1</f>
        <v>0</v>
      </c>
      <c r="AV57" s="44">
        <f>ISERROR(SUM(Totex!AV$5:AV$200))*1</f>
        <v>0</v>
      </c>
      <c r="AW57" s="44">
        <f>ISERROR(SUM(Totex!AW$5:AW$200))*1</f>
        <v>0</v>
      </c>
      <c r="AX57" s="44">
        <f>ISERROR(SUM(Totex!AX$5:AX$200))*1</f>
        <v>0</v>
      </c>
      <c r="AY57" s="44">
        <f>ISERROR(SUM(Totex!AY$5:AY$200))*1</f>
        <v>0</v>
      </c>
    </row>
    <row r="58" spans="1:51" customFormat="1" ht="14.5" x14ac:dyDescent="0.35">
      <c r="E58" t="s">
        <v>164</v>
      </c>
      <c r="I58" s="44">
        <f>ISERROR(SUM(TIM!I$5:I$200))*1</f>
        <v>0</v>
      </c>
      <c r="K58" s="44">
        <f>ISERROR(SUM(TIM!K$5:K$200))*1</f>
        <v>0</v>
      </c>
      <c r="L58" s="44">
        <f>ISERROR(SUM(TIM!L$5:L$200))*1</f>
        <v>0</v>
      </c>
      <c r="M58" s="44">
        <f>ISERROR(SUM(TIM!M$5:M$200))*1</f>
        <v>0</v>
      </c>
      <c r="N58" s="44">
        <f>ISERROR(SUM(TIM!N$5:N$200))*1</f>
        <v>0</v>
      </c>
      <c r="O58" s="44">
        <f>ISERROR(SUM(TIM!O$5:O$200))*1</f>
        <v>0</v>
      </c>
      <c r="P58" s="44">
        <f>ISERROR(SUM(TIM!P$5:P$200))*1</f>
        <v>0</v>
      </c>
      <c r="Q58" s="44">
        <f>ISERROR(SUM(TIM!Q$5:Q$200))*1</f>
        <v>0</v>
      </c>
      <c r="R58" s="44">
        <f>ISERROR(SUM(TIM!R$5:R$200))*1</f>
        <v>0</v>
      </c>
      <c r="S58" s="44">
        <f>ISERROR(SUM(TIM!S$5:S$200))*1</f>
        <v>0</v>
      </c>
      <c r="T58" s="44">
        <f>ISERROR(SUM(TIM!T$5:T$200))*1</f>
        <v>0</v>
      </c>
      <c r="U58" s="44">
        <f>ISERROR(SUM(TIM!U$5:U$200))*1</f>
        <v>0</v>
      </c>
      <c r="V58" s="44">
        <f>ISERROR(SUM(TIM!V$5:V$200))*1</f>
        <v>0</v>
      </c>
      <c r="W58" s="44">
        <f>ISERROR(SUM(TIM!W$5:W$200))*1</f>
        <v>0</v>
      </c>
      <c r="X58" s="44">
        <f>ISERROR(SUM(TIM!X$5:X$200))*1</f>
        <v>0</v>
      </c>
      <c r="Y58" s="44">
        <f>ISERROR(SUM(TIM!Y$5:Y$200))*1</f>
        <v>0</v>
      </c>
      <c r="Z58" s="44">
        <f>ISERROR(SUM(TIM!Z$5:Z$200))*1</f>
        <v>0</v>
      </c>
      <c r="AA58" s="44">
        <f>ISERROR(SUM(TIM!AA$5:AA$200))*1</f>
        <v>0</v>
      </c>
      <c r="AB58" s="44">
        <f>ISERROR(SUM(TIM!AB$5:AB$200))*1</f>
        <v>0</v>
      </c>
      <c r="AC58" s="44">
        <f>ISERROR(SUM(TIM!AC$5:AC$200))*1</f>
        <v>0</v>
      </c>
      <c r="AD58" s="44">
        <f>ISERROR(SUM(TIM!AD$5:AD$200))*1</f>
        <v>0</v>
      </c>
      <c r="AE58" s="44">
        <f>ISERROR(SUM(TIM!AE$5:AE$200))*1</f>
        <v>0</v>
      </c>
      <c r="AF58" s="44">
        <f>ISERROR(SUM(TIM!AF$5:AF$200))*1</f>
        <v>0</v>
      </c>
      <c r="AG58" s="44">
        <f>ISERROR(SUM(TIM!AG$5:AG$200))*1</f>
        <v>0</v>
      </c>
      <c r="AH58" s="44">
        <f>ISERROR(SUM(TIM!AH$5:AH$200))*1</f>
        <v>0</v>
      </c>
      <c r="AI58" s="44">
        <f>ISERROR(SUM(TIM!AI$5:AI$200))*1</f>
        <v>0</v>
      </c>
      <c r="AJ58" s="44">
        <f>ISERROR(SUM(TIM!AJ$5:AJ$200))*1</f>
        <v>0</v>
      </c>
      <c r="AK58" s="44">
        <f>ISERROR(SUM(TIM!AK$5:AK$200))*1</f>
        <v>0</v>
      </c>
      <c r="AL58" s="44">
        <f>ISERROR(SUM(TIM!AL$5:AL$200))*1</f>
        <v>0</v>
      </c>
      <c r="AM58" s="44">
        <f>ISERROR(SUM(TIM!AM$5:AM$200))*1</f>
        <v>0</v>
      </c>
      <c r="AN58" s="44">
        <f>ISERROR(SUM(TIM!AN$5:AN$200))*1</f>
        <v>0</v>
      </c>
      <c r="AO58" s="44">
        <f>ISERROR(SUM(TIM!AO$5:AO$200))*1</f>
        <v>0</v>
      </c>
      <c r="AP58" s="44">
        <f>ISERROR(SUM(TIM!AP$5:AP$200))*1</f>
        <v>0</v>
      </c>
      <c r="AQ58" s="44">
        <f>ISERROR(SUM(TIM!AQ$5:AQ$200))*1</f>
        <v>0</v>
      </c>
      <c r="AR58" s="44">
        <f>ISERROR(SUM(TIM!AR$5:AR$200))*1</f>
        <v>0</v>
      </c>
      <c r="AS58" s="44">
        <f>ISERROR(SUM(TIM!AS$5:AS$200))*1</f>
        <v>0</v>
      </c>
      <c r="AT58" s="176">
        <f>ISERROR(SUM(TIM!AT$5:AT$200))*1</f>
        <v>0</v>
      </c>
      <c r="AU58" s="160">
        <f>ISERROR(SUM(TIM!AU$5:AU$200))*1</f>
        <v>0</v>
      </c>
      <c r="AV58" s="44">
        <f>ISERROR(SUM(TIM!AV$5:AV$200))*1</f>
        <v>0</v>
      </c>
      <c r="AW58" s="44">
        <f>ISERROR(SUM(TIM!AW$5:AW$200))*1</f>
        <v>0</v>
      </c>
      <c r="AX58" s="44">
        <f>ISERROR(SUM(TIM!AX$5:AX$200))*1</f>
        <v>0</v>
      </c>
      <c r="AY58" s="44">
        <f>ISERROR(SUM(TIM!AY$5:AY$200))*1</f>
        <v>0</v>
      </c>
    </row>
    <row r="59" spans="1:51" customFormat="1" ht="14.5" x14ac:dyDescent="0.35">
      <c r="E59" t="s">
        <v>273</v>
      </c>
      <c r="I59" s="44">
        <f>ISERROR(SUM(FuelPoor!I$5:I$200)-40)*1</f>
        <v>0</v>
      </c>
      <c r="K59" s="44">
        <f>ISERROR(SUM(FuelPoor!K$5:K$200)-40)*1</f>
        <v>0</v>
      </c>
      <c r="L59" s="44">
        <f>ISERROR(SUM(FuelPoor!L$5:L$200)-40)*1</f>
        <v>0</v>
      </c>
      <c r="M59" s="44">
        <f>ISERROR(SUM(FuelPoor!M$5:M$200)-40)*1</f>
        <v>0</v>
      </c>
      <c r="N59" s="44">
        <f>ISERROR(SUM(FuelPoor!N$5:N$200)-40)*1</f>
        <v>0</v>
      </c>
      <c r="O59" s="44">
        <f>ISERROR(SUM(FuelPoor!O$5:O$200)-40)*1</f>
        <v>0</v>
      </c>
      <c r="P59" s="44">
        <f>ISERROR(SUM(FuelPoor!P$5:P$200)-40)*1</f>
        <v>0</v>
      </c>
      <c r="Q59" s="44">
        <f>ISERROR(SUM(FuelPoor!Q$5:Q$200)-40)*1</f>
        <v>0</v>
      </c>
      <c r="R59" s="44">
        <f>ISERROR(SUM(FuelPoor!R$5:R$200)-40)*1</f>
        <v>0</v>
      </c>
      <c r="S59" s="44">
        <f>ISERROR(SUM(FuelPoor!S$5:S$200)-40)*1</f>
        <v>0</v>
      </c>
      <c r="T59" s="44">
        <f>ISERROR(SUM(FuelPoor!T$5:T$200)-40)*1</f>
        <v>0</v>
      </c>
      <c r="U59" s="44">
        <f>ISERROR(SUM(FuelPoor!U$5:U$200)-40)*1</f>
        <v>0</v>
      </c>
      <c r="V59" s="44">
        <f>ISERROR(SUM(FuelPoor!V$5:V$200)-40)*1</f>
        <v>0</v>
      </c>
      <c r="W59" s="44">
        <f>ISERROR(SUM(FuelPoor!W$5:W$200)-40)*1</f>
        <v>0</v>
      </c>
      <c r="X59" s="44">
        <f>ISERROR(SUM(FuelPoor!X$5:X$200)-40)*1</f>
        <v>0</v>
      </c>
      <c r="Y59" s="44">
        <f>ISERROR(SUM(FuelPoor!Y$5:Y$200)-40)*1</f>
        <v>0</v>
      </c>
      <c r="Z59" s="44">
        <f>ISERROR(SUM(FuelPoor!Z$5:Z$200)-40)*1</f>
        <v>0</v>
      </c>
      <c r="AA59" s="44">
        <f>ISERROR(SUM(FuelPoor!AA$5:AA$200)-40)*1</f>
        <v>0</v>
      </c>
      <c r="AB59" s="44">
        <f>ISERROR(SUM(FuelPoor!AB$5:AB$200)-40)*1</f>
        <v>0</v>
      </c>
      <c r="AC59" s="44">
        <f>ISERROR(SUM(FuelPoor!AC$5:AC$200)-40)*1</f>
        <v>0</v>
      </c>
      <c r="AD59" s="44">
        <f>ISERROR(SUM(FuelPoor!AD$5:AD$200)-40)*1</f>
        <v>0</v>
      </c>
      <c r="AE59" s="44">
        <f>ISERROR(SUM(FuelPoor!AE$5:AE$200)-40)*1</f>
        <v>0</v>
      </c>
      <c r="AF59" s="44">
        <f>ISERROR(SUM(FuelPoor!AF$5:AF$200)-40)*1</f>
        <v>0</v>
      </c>
      <c r="AG59" s="44">
        <f>ISERROR(SUM(FuelPoor!AG$5:AG$200)-40)*1</f>
        <v>0</v>
      </c>
      <c r="AH59" s="44">
        <f>ISERROR(SUM(FuelPoor!AH$5:AH$200)-40)*1</f>
        <v>0</v>
      </c>
      <c r="AI59" s="44">
        <f>ISERROR(SUM(FuelPoor!AI$5:AI$200)-40)*1</f>
        <v>0</v>
      </c>
      <c r="AJ59" s="44">
        <f>ISERROR(SUM(FuelPoor!AJ$5:AJ$200)-40)*1</f>
        <v>0</v>
      </c>
      <c r="AK59" s="44">
        <f>ISERROR(SUM(FuelPoor!AK$5:AK$200)-40)*1</f>
        <v>0</v>
      </c>
      <c r="AL59" s="44">
        <f>ISERROR(SUM(FuelPoor!AL$5:AL$200)-40)*1</f>
        <v>0</v>
      </c>
      <c r="AM59" s="44">
        <f>ISERROR(SUM(FuelPoor!AM$5:AM$200)-40)*1</f>
        <v>0</v>
      </c>
      <c r="AN59" s="44">
        <f>ISERROR(SUM(FuelPoor!AN$5:AN$200)-40)*1</f>
        <v>0</v>
      </c>
      <c r="AO59" s="44">
        <f>ISERROR(SUM(FuelPoor!AO$5:AO$200)-40)*1</f>
        <v>0</v>
      </c>
      <c r="AP59" s="44">
        <f>ISERROR(SUM(FuelPoor!AP$5:AP$200)-40)*1</f>
        <v>0</v>
      </c>
      <c r="AQ59" s="44">
        <f>ISERROR(SUM(FuelPoor!AQ$5:AQ$200)-40)*1</f>
        <v>0</v>
      </c>
      <c r="AR59" s="44">
        <f>ISERROR(SUM(FuelPoor!AR$5:AR$200)-40)*1</f>
        <v>0</v>
      </c>
      <c r="AS59" s="44">
        <f>ISERROR(SUM(FuelPoor!AS$5:AS$200)-40)*1</f>
        <v>0</v>
      </c>
      <c r="AT59" s="176">
        <f>ISERROR(SUM(FuelPoor!AT$5:AT$200)-40)*1</f>
        <v>0</v>
      </c>
      <c r="AU59" s="160">
        <f>ISERROR(SUM(FuelPoor!AU$5:AU$200)-40)*1</f>
        <v>0</v>
      </c>
      <c r="AV59" s="44">
        <f>ISERROR(SUM(FuelPoor!AV$5:AV$200)-40)*1</f>
        <v>0</v>
      </c>
      <c r="AW59" s="44">
        <f>ISERROR(SUM(FuelPoor!AW$5:AW$200)-40)*1</f>
        <v>0</v>
      </c>
      <c r="AX59" s="44">
        <f>ISERROR(SUM(FuelPoor!AX$5:AX$200)-40)*1</f>
        <v>0</v>
      </c>
      <c r="AY59" s="44">
        <f>ISERROR(SUM(FuelPoor!AY$5:AY$200)-40)*1</f>
        <v>0</v>
      </c>
    </row>
    <row r="60" spans="1:51" customFormat="1" ht="14.5" x14ac:dyDescent="0.35">
      <c r="E60" t="s">
        <v>293</v>
      </c>
      <c r="I60" s="44">
        <f>ISERROR(SUM(Depreciation!I$5:I$200)-40)*1</f>
        <v>0</v>
      </c>
      <c r="K60" s="44">
        <f>ISERROR(SUM(Depreciation!K$5:K$200)-40)*1</f>
        <v>0</v>
      </c>
      <c r="L60" s="44">
        <f>ISERROR(SUM(Depreciation!L$5:L$200)-40)*1</f>
        <v>0</v>
      </c>
      <c r="M60" s="44">
        <f>ISERROR(SUM(Depreciation!M$5:M$200)-40)*1</f>
        <v>0</v>
      </c>
      <c r="N60" s="44">
        <f>ISERROR(SUM(Depreciation!N$5:N$200)-40)*1</f>
        <v>0</v>
      </c>
      <c r="O60" s="44">
        <f>ISERROR(SUM(Depreciation!O$5:O$200)-40)*1</f>
        <v>0</v>
      </c>
      <c r="P60" s="44">
        <f>ISERROR(SUM(Depreciation!P$5:P$200)-40)*1</f>
        <v>0</v>
      </c>
      <c r="Q60" s="44">
        <f>ISERROR(SUM(Depreciation!Q$5:Q$200)-40)*1</f>
        <v>0</v>
      </c>
      <c r="R60" s="44">
        <f>ISERROR(SUM(Depreciation!R$5:R$200)-40)*1</f>
        <v>0</v>
      </c>
      <c r="S60" s="44">
        <f>ISERROR(SUM(Depreciation!S$5:S$200)-40)*1</f>
        <v>0</v>
      </c>
      <c r="T60" s="44">
        <f>ISERROR(SUM(Depreciation!T$5:T$200)-40)*1</f>
        <v>0</v>
      </c>
      <c r="U60" s="44">
        <f>ISERROR(SUM(Depreciation!U$5:U$200)-40)*1</f>
        <v>0</v>
      </c>
      <c r="V60" s="44">
        <f>ISERROR(SUM(Depreciation!V$5:V$200)-40)*1</f>
        <v>0</v>
      </c>
      <c r="W60" s="44">
        <f>ISERROR(SUM(Depreciation!W$5:W$200)-40)*1</f>
        <v>0</v>
      </c>
      <c r="X60" s="44">
        <f>ISERROR(SUM(Depreciation!X$5:X$200)-40)*1</f>
        <v>0</v>
      </c>
      <c r="Y60" s="44">
        <f>ISERROR(SUM(Depreciation!Y$5:Y$200)-40)*1</f>
        <v>0</v>
      </c>
      <c r="Z60" s="44">
        <f>ISERROR(SUM(Depreciation!Z$5:Z$200)-40)*1</f>
        <v>0</v>
      </c>
      <c r="AA60" s="44">
        <f>ISERROR(SUM(Depreciation!AA$5:AA$200)-40)*1</f>
        <v>0</v>
      </c>
      <c r="AB60" s="44">
        <f>ISERROR(SUM(Depreciation!AB$5:AB$200)-40)*1</f>
        <v>0</v>
      </c>
      <c r="AC60" s="44">
        <f>ISERROR(SUM(Depreciation!AC$5:AC$200)-40)*1</f>
        <v>0</v>
      </c>
      <c r="AD60" s="44">
        <f>ISERROR(SUM(Depreciation!AD$5:AD$200)-40)*1</f>
        <v>0</v>
      </c>
      <c r="AE60" s="44">
        <f>ISERROR(SUM(Depreciation!AE$5:AE$200)-40)*1</f>
        <v>0</v>
      </c>
      <c r="AF60" s="44">
        <f>ISERROR(SUM(Depreciation!AF$5:AF$200)-40)*1</f>
        <v>0</v>
      </c>
      <c r="AG60" s="44">
        <f>ISERROR(SUM(Depreciation!AG$5:AG$200)-40)*1</f>
        <v>0</v>
      </c>
      <c r="AH60" s="44">
        <f>ISERROR(SUM(Depreciation!AH$5:AH$200)-40)*1</f>
        <v>0</v>
      </c>
      <c r="AI60" s="44">
        <f>ISERROR(SUM(Depreciation!AI$5:AI$200)-40)*1</f>
        <v>0</v>
      </c>
      <c r="AJ60" s="44">
        <f>ISERROR(SUM(Depreciation!AJ$5:AJ$200)-40)*1</f>
        <v>0</v>
      </c>
      <c r="AK60" s="44">
        <f>ISERROR(SUM(Depreciation!AK$5:AK$200)-40)*1</f>
        <v>0</v>
      </c>
      <c r="AL60" s="44">
        <f>ISERROR(SUM(Depreciation!AL$5:AL$200)-40)*1</f>
        <v>0</v>
      </c>
      <c r="AM60" s="44">
        <f>ISERROR(SUM(Depreciation!AM$5:AM$200)-40)*1</f>
        <v>0</v>
      </c>
      <c r="AN60" s="44">
        <f>ISERROR(SUM(Depreciation!AN$5:AN$200)-40)*1</f>
        <v>0</v>
      </c>
      <c r="AO60" s="44">
        <f>ISERROR(SUM(Depreciation!AO$5:AO$200)-40)*1</f>
        <v>0</v>
      </c>
      <c r="AP60" s="44">
        <f>ISERROR(SUM(Depreciation!AP$5:AP$200)-40)*1</f>
        <v>0</v>
      </c>
      <c r="AQ60" s="44">
        <f>ISERROR(SUM(Depreciation!AQ$5:AQ$200)-40)*1</f>
        <v>0</v>
      </c>
      <c r="AR60" s="44">
        <f>ISERROR(SUM(Depreciation!AR$5:AR$200)-40)*1</f>
        <v>0</v>
      </c>
      <c r="AS60" s="44">
        <f>ISERROR(SUM(Depreciation!AS$5:AS$200)-40)*1</f>
        <v>0</v>
      </c>
      <c r="AT60" s="176">
        <f>ISERROR(SUM(Depreciation!AT$5:AT$200)-40)*1</f>
        <v>0</v>
      </c>
      <c r="AU60" s="160">
        <f>ISERROR(SUM(Depreciation!AU$5:AU$200)-40)*1</f>
        <v>0</v>
      </c>
      <c r="AV60" s="44">
        <f>ISERROR(SUM(Depreciation!AV$5:AV$200)-40)*1</f>
        <v>0</v>
      </c>
      <c r="AW60" s="44">
        <f>ISERROR(SUM(Depreciation!AW$5:AW$200)-40)*1</f>
        <v>0</v>
      </c>
      <c r="AX60" s="44">
        <f>ISERROR(SUM(Depreciation!AX$5:AX$200)-40)*1</f>
        <v>0</v>
      </c>
      <c r="AY60" s="44">
        <f>ISERROR(SUM(Depreciation!AY$5:AY$200)-40)*1</f>
        <v>0</v>
      </c>
    </row>
    <row r="61" spans="1:51" customFormat="1" ht="14.5" x14ac:dyDescent="0.35">
      <c r="E61" t="s">
        <v>466</v>
      </c>
      <c r="I61" s="44">
        <f>ISERROR(SUM('Return&amp;RAV'!I$5:I$201))*1</f>
        <v>0</v>
      </c>
      <c r="K61" s="44">
        <f>ISERROR(SUM('Return&amp;RAV'!K$5:K$201))*1</f>
        <v>0</v>
      </c>
      <c r="L61" s="44">
        <f>ISERROR(SUM('Return&amp;RAV'!L$5:L$201))*1</f>
        <v>0</v>
      </c>
      <c r="M61" s="44">
        <f>ISERROR(SUM('Return&amp;RAV'!M$5:M$201))*1</f>
        <v>0</v>
      </c>
      <c r="N61" s="44">
        <f>ISERROR(SUM('Return&amp;RAV'!N$5:N$201))*1</f>
        <v>0</v>
      </c>
      <c r="O61" s="44">
        <f>ISERROR(SUM('Return&amp;RAV'!O$5:O$201))*1</f>
        <v>0</v>
      </c>
      <c r="P61" s="44">
        <f>ISERROR(SUM('Return&amp;RAV'!P$5:P$201))*1</f>
        <v>0</v>
      </c>
      <c r="Q61" s="44">
        <f>ISERROR(SUM('Return&amp;RAV'!Q$5:Q$201))*1</f>
        <v>0</v>
      </c>
      <c r="R61" s="44">
        <f>ISERROR(SUM('Return&amp;RAV'!R$5:R$201))*1</f>
        <v>0</v>
      </c>
      <c r="S61" s="44">
        <f>ISERROR(SUM('Return&amp;RAV'!S$5:S$201))*1</f>
        <v>0</v>
      </c>
      <c r="T61" s="44">
        <f>ISERROR(SUM('Return&amp;RAV'!T$5:T$201))*1</f>
        <v>0</v>
      </c>
      <c r="U61" s="44">
        <f>ISERROR(SUM('Return&amp;RAV'!U$5:U$201))*1</f>
        <v>0</v>
      </c>
      <c r="V61" s="44">
        <f>ISERROR(SUM('Return&amp;RAV'!V$5:V$201))*1</f>
        <v>0</v>
      </c>
      <c r="W61" s="44">
        <f>ISERROR(SUM('Return&amp;RAV'!W$5:W$201))*1</f>
        <v>0</v>
      </c>
      <c r="X61" s="44">
        <f>ISERROR(SUM('Return&amp;RAV'!X$5:X$201))*1</f>
        <v>0</v>
      </c>
      <c r="Y61" s="44">
        <f>ISERROR(SUM('Return&amp;RAV'!Y$5:Y$201))*1</f>
        <v>0</v>
      </c>
      <c r="Z61" s="44">
        <f>ISERROR(SUM('Return&amp;RAV'!Z$5:Z$201))*1</f>
        <v>0</v>
      </c>
      <c r="AA61" s="44">
        <f>ISERROR(SUM('Return&amp;RAV'!AA$5:AA$201))*1</f>
        <v>0</v>
      </c>
      <c r="AB61" s="44">
        <f>ISERROR(SUM('Return&amp;RAV'!AB$5:AB$201))*1</f>
        <v>0</v>
      </c>
      <c r="AC61" s="44">
        <f>ISERROR(SUM('Return&amp;RAV'!AC$5:AC$201))*1</f>
        <v>0</v>
      </c>
      <c r="AD61" s="44">
        <f>ISERROR(SUM('Return&amp;RAV'!AD$5:AD$201))*1</f>
        <v>0</v>
      </c>
      <c r="AE61" s="44">
        <f>ISERROR(SUM('Return&amp;RAV'!AE$5:AE$201))*1</f>
        <v>0</v>
      </c>
      <c r="AF61" s="44">
        <f>ISERROR(SUM('Return&amp;RAV'!AF$5:AF$201))*1</f>
        <v>0</v>
      </c>
      <c r="AG61" s="44">
        <f>ISERROR(SUM('Return&amp;RAV'!AG$5:AG$201))*1</f>
        <v>0</v>
      </c>
      <c r="AH61" s="44">
        <f>ISERROR(SUM('Return&amp;RAV'!AH$5:AH$201))*1</f>
        <v>0</v>
      </c>
      <c r="AI61" s="44">
        <f>ISERROR(SUM('Return&amp;RAV'!AI$5:AI$201))*1</f>
        <v>0</v>
      </c>
      <c r="AJ61" s="44">
        <f>ISERROR(SUM('Return&amp;RAV'!AJ$5:AJ$201))*1</f>
        <v>0</v>
      </c>
      <c r="AK61" s="44">
        <f>ISERROR(SUM('Return&amp;RAV'!AK$5:AK$201))*1</f>
        <v>0</v>
      </c>
      <c r="AL61" s="44">
        <f>ISERROR(SUM('Return&amp;RAV'!AL$5:AL$201))*1</f>
        <v>0</v>
      </c>
      <c r="AM61" s="44">
        <f>ISERROR(SUM('Return&amp;RAV'!AM$5:AM$201))*1</f>
        <v>0</v>
      </c>
      <c r="AN61" s="44">
        <f>ISERROR(SUM('Return&amp;RAV'!AN$5:AN$201))*1</f>
        <v>0</v>
      </c>
      <c r="AO61" s="44">
        <f>ISERROR(SUM('Return&amp;RAV'!AO$5:AO$201))*1</f>
        <v>0</v>
      </c>
      <c r="AP61" s="44">
        <f>ISERROR(SUM('Return&amp;RAV'!AP$5:AP$201))*1</f>
        <v>0</v>
      </c>
      <c r="AQ61" s="44">
        <f>ISERROR(SUM('Return&amp;RAV'!AQ$5:AQ$201))*1</f>
        <v>0</v>
      </c>
      <c r="AR61" s="44">
        <f>ISERROR(SUM('Return&amp;RAV'!AR$5:AR$201))*1</f>
        <v>0</v>
      </c>
      <c r="AS61" s="44">
        <f>ISERROR(SUM('Return&amp;RAV'!AS$5:AS$201))*1</f>
        <v>0</v>
      </c>
      <c r="AT61" s="176">
        <f>ISERROR(SUM('Return&amp;RAV'!AT$5:AT$201))*1</f>
        <v>0</v>
      </c>
      <c r="AU61" s="160">
        <f>ISERROR(SUM('Return&amp;RAV'!AU$5:AU$201))*1</f>
        <v>0</v>
      </c>
      <c r="AV61" s="44">
        <f>ISERROR(SUM('Return&amp;RAV'!AV$5:AV$201))*1</f>
        <v>0</v>
      </c>
      <c r="AW61" s="44">
        <f>ISERROR(SUM('Return&amp;RAV'!AW$5:AW$201))*1</f>
        <v>0</v>
      </c>
      <c r="AX61" s="44">
        <f>ISERROR(SUM('Return&amp;RAV'!AX$5:AX$201))*1</f>
        <v>0</v>
      </c>
      <c r="AY61" s="44">
        <f>ISERROR(SUM('Return&amp;RAV'!AY$5:AY$201))*1</f>
        <v>0</v>
      </c>
    </row>
    <row r="62" spans="1:51" customFormat="1" ht="14.5" x14ac:dyDescent="0.35">
      <c r="E62" t="s">
        <v>467</v>
      </c>
      <c r="I62" s="44">
        <f>ISERROR(SUM(TaxPools!I$5:I$200))*1</f>
        <v>0</v>
      </c>
      <c r="K62" s="44">
        <f>ISERROR(SUM(TaxPools!K$5:K$200))*1</f>
        <v>0</v>
      </c>
      <c r="L62" s="44">
        <f>ISERROR(SUM(TaxPools!L$5:L$200))*1</f>
        <v>0</v>
      </c>
      <c r="M62" s="44">
        <f>ISERROR(SUM(TaxPools!M$5:M$200))*1</f>
        <v>0</v>
      </c>
      <c r="N62" s="44">
        <f>ISERROR(SUM(TaxPools!N$5:N$200))*1</f>
        <v>0</v>
      </c>
      <c r="O62" s="44">
        <f>ISERROR(SUM(TaxPools!O$5:O$200))*1</f>
        <v>0</v>
      </c>
      <c r="P62" s="44">
        <f>ISERROR(SUM(TaxPools!P$5:P$200))*1</f>
        <v>0</v>
      </c>
      <c r="Q62" s="44">
        <f>ISERROR(SUM(TaxPools!Q$5:Q$200))*1</f>
        <v>0</v>
      </c>
      <c r="R62" s="44">
        <f>ISERROR(SUM(TaxPools!R$5:R$200))*1</f>
        <v>0</v>
      </c>
      <c r="S62" s="44">
        <f>ISERROR(SUM(TaxPools!S$5:S$200))*1</f>
        <v>0</v>
      </c>
      <c r="T62" s="44">
        <f>ISERROR(SUM(TaxPools!T$5:T$200))*1</f>
        <v>0</v>
      </c>
      <c r="U62" s="44">
        <f>ISERROR(SUM(TaxPools!U$5:U$200))*1</f>
        <v>0</v>
      </c>
      <c r="V62" s="44">
        <f>ISERROR(SUM(TaxPools!V$5:V$200))*1</f>
        <v>0</v>
      </c>
      <c r="W62" s="44">
        <f>ISERROR(SUM(TaxPools!W$5:W$200))*1</f>
        <v>0</v>
      </c>
      <c r="X62" s="44">
        <f>ISERROR(SUM(TaxPools!X$5:X$200))*1</f>
        <v>0</v>
      </c>
      <c r="Y62" s="44">
        <f>ISERROR(SUM(TaxPools!Y$5:Y$200))*1</f>
        <v>0</v>
      </c>
      <c r="Z62" s="44">
        <f>ISERROR(SUM(TaxPools!Z$5:Z$200))*1</f>
        <v>0</v>
      </c>
      <c r="AA62" s="44">
        <f>ISERROR(SUM(TaxPools!AA$5:AA$200))*1</f>
        <v>0</v>
      </c>
      <c r="AB62" s="44">
        <f>ISERROR(SUM(TaxPools!AB$5:AB$200))*1</f>
        <v>0</v>
      </c>
      <c r="AC62" s="44">
        <f>ISERROR(SUM(TaxPools!AC$5:AC$200))*1</f>
        <v>0</v>
      </c>
      <c r="AD62" s="44">
        <f>ISERROR(SUM(TaxPools!AD$5:AD$200))*1</f>
        <v>0</v>
      </c>
      <c r="AE62" s="44">
        <f>ISERROR(SUM(TaxPools!AE$5:AE$200))*1</f>
        <v>0</v>
      </c>
      <c r="AF62" s="44">
        <f>ISERROR(SUM(TaxPools!AF$5:AF$200))*1</f>
        <v>0</v>
      </c>
      <c r="AG62" s="44">
        <f>ISERROR(SUM(TaxPools!AG$5:AG$200))*1</f>
        <v>0</v>
      </c>
      <c r="AH62" s="44">
        <f>ISERROR(SUM(TaxPools!AH$5:AH$200))*1</f>
        <v>0</v>
      </c>
      <c r="AI62" s="44">
        <f>ISERROR(SUM(TaxPools!AI$5:AI$200))*1</f>
        <v>0</v>
      </c>
      <c r="AJ62" s="44">
        <f>ISERROR(SUM(TaxPools!AJ$5:AJ$200))*1</f>
        <v>0</v>
      </c>
      <c r="AK62" s="44">
        <f>ISERROR(SUM(TaxPools!AK$5:AK$200))*1</f>
        <v>0</v>
      </c>
      <c r="AL62" s="44">
        <f>ISERROR(SUM(TaxPools!AL$5:AL$200))*1</f>
        <v>0</v>
      </c>
      <c r="AM62" s="44">
        <f>ISERROR(SUM(TaxPools!AM$5:AM$200))*1</f>
        <v>0</v>
      </c>
      <c r="AN62" s="44">
        <f>ISERROR(SUM(TaxPools!AN$5:AN$200))*1</f>
        <v>0</v>
      </c>
      <c r="AO62" s="44">
        <f>ISERROR(SUM(TaxPools!AO$5:AO$200))*1</f>
        <v>0</v>
      </c>
      <c r="AP62" s="44">
        <f>ISERROR(SUM(TaxPools!AP$5:AP$200))*1</f>
        <v>0</v>
      </c>
      <c r="AQ62" s="44">
        <f>ISERROR(SUM(TaxPools!AQ$5:AQ$200))*1</f>
        <v>0</v>
      </c>
      <c r="AR62" s="44">
        <f>ISERROR(SUM(TaxPools!AR$5:AR$200))*1</f>
        <v>0</v>
      </c>
      <c r="AS62" s="44">
        <f>ISERROR(SUM(TaxPools!AS$5:AS$200))*1</f>
        <v>0</v>
      </c>
      <c r="AT62" s="176">
        <f>ISERROR(SUM(TaxPools!AT$5:AT$200))*1</f>
        <v>0</v>
      </c>
      <c r="AU62" s="160">
        <f ca="1">ISERROR(SUM(TaxPools!AU$5:AU$200))*1</f>
        <v>0</v>
      </c>
      <c r="AV62" s="44">
        <f ca="1">ISERROR(SUM(TaxPools!AV$5:AV$200))*1</f>
        <v>0</v>
      </c>
      <c r="AW62" s="44">
        <f ca="1">ISERROR(SUM(TaxPools!AW$5:AW$200))*1</f>
        <v>0</v>
      </c>
      <c r="AX62" s="44">
        <f ca="1">ISERROR(SUM(TaxPools!AX$5:AX$200))*1</f>
        <v>0</v>
      </c>
      <c r="AY62" s="44">
        <f ca="1">ISERROR(SUM(TaxPools!AY$5:AY$200))*1</f>
        <v>0</v>
      </c>
    </row>
    <row r="63" spans="1:51" customFormat="1" ht="14.5" x14ac:dyDescent="0.35">
      <c r="E63" t="s">
        <v>226</v>
      </c>
      <c r="I63" s="44">
        <f>ISERROR(SUM(Finance!I$5:I$200))*1</f>
        <v>0</v>
      </c>
      <c r="K63" s="44">
        <f>ISERROR(SUM(Finance!K$5:K$200))*1</f>
        <v>0</v>
      </c>
      <c r="L63" s="44">
        <f>ISERROR(SUM(Finance!L$5:L$200))*1</f>
        <v>0</v>
      </c>
      <c r="M63" s="44">
        <f>ISERROR(SUM(Finance!M$5:M$200))*1</f>
        <v>0</v>
      </c>
      <c r="N63" s="44">
        <f>ISERROR(SUM(Finance!N$5:N$200))*1</f>
        <v>0</v>
      </c>
      <c r="O63" s="44">
        <f>ISERROR(SUM(Finance!O$5:O$200))*1</f>
        <v>0</v>
      </c>
      <c r="P63" s="44">
        <f>ISERROR(SUM(Finance!P$5:P$200))*1</f>
        <v>0</v>
      </c>
      <c r="Q63" s="44">
        <f>ISERROR(SUM(Finance!Q$5:Q$200))*1</f>
        <v>0</v>
      </c>
      <c r="R63" s="44">
        <f>ISERROR(SUM(Finance!R$5:R$200))*1</f>
        <v>0</v>
      </c>
      <c r="S63" s="44">
        <f>ISERROR(SUM(Finance!S$5:S$200))*1</f>
        <v>0</v>
      </c>
      <c r="T63" s="44">
        <f>ISERROR(SUM(Finance!T$5:T$200))*1</f>
        <v>0</v>
      </c>
      <c r="U63" s="44">
        <f>ISERROR(SUM(Finance!U$5:U$200))*1</f>
        <v>0</v>
      </c>
      <c r="V63" s="44">
        <f>ISERROR(SUM(Finance!V$5:V$200))*1</f>
        <v>0</v>
      </c>
      <c r="W63" s="44">
        <f>ISERROR(SUM(Finance!W$5:W$200))*1</f>
        <v>0</v>
      </c>
      <c r="X63" s="44">
        <f>ISERROR(SUM(Finance!X$5:X$200))*1</f>
        <v>0</v>
      </c>
      <c r="Y63" s="44">
        <f>ISERROR(SUM(Finance!Y$5:Y$200))*1</f>
        <v>0</v>
      </c>
      <c r="Z63" s="44">
        <f>ISERROR(SUM(Finance!Z$5:Z$200))*1</f>
        <v>0</v>
      </c>
      <c r="AA63" s="44">
        <f>ISERROR(SUM(Finance!AA$5:AA$200))*1</f>
        <v>0</v>
      </c>
      <c r="AB63" s="44">
        <f>ISERROR(SUM(Finance!AB$5:AB$200))*1</f>
        <v>0</v>
      </c>
      <c r="AC63" s="44">
        <f>ISERROR(SUM(Finance!AC$5:AC$200))*1</f>
        <v>0</v>
      </c>
      <c r="AD63" s="44">
        <f>ISERROR(SUM(Finance!AD$5:AD$200))*1</f>
        <v>0</v>
      </c>
      <c r="AE63" s="44">
        <f>ISERROR(SUM(Finance!AE$5:AE$200))*1</f>
        <v>0</v>
      </c>
      <c r="AF63" s="44">
        <f>ISERROR(SUM(Finance!AF$5:AF$200))*1</f>
        <v>0</v>
      </c>
      <c r="AG63" s="44">
        <f>ISERROR(SUM(Finance!AG$5:AG$200))*1</f>
        <v>0</v>
      </c>
      <c r="AH63" s="44">
        <f>ISERROR(SUM(Finance!AH$5:AH$200))*1</f>
        <v>0</v>
      </c>
      <c r="AI63" s="44">
        <f>ISERROR(SUM(Finance!AI$5:AI$200))*1</f>
        <v>0</v>
      </c>
      <c r="AJ63" s="44">
        <f>ISERROR(SUM(Finance!AJ$5:AJ$200))*1</f>
        <v>0</v>
      </c>
      <c r="AK63" s="44">
        <f>ISERROR(SUM(Finance!AK$5:AK$200))*1</f>
        <v>0</v>
      </c>
      <c r="AL63" s="44">
        <f>ISERROR(SUM(Finance!AL$5:AL$200))*1</f>
        <v>0</v>
      </c>
      <c r="AM63" s="44">
        <f>ISERROR(SUM(Finance!AM$5:AM$200))*1</f>
        <v>0</v>
      </c>
      <c r="AN63" s="44">
        <f>ISERROR(SUM(Finance!AN$5:AN$200))*1</f>
        <v>0</v>
      </c>
      <c r="AO63" s="44">
        <f>ISERROR(SUM(Finance!AO$5:AO$200))*1</f>
        <v>0</v>
      </c>
      <c r="AP63" s="44">
        <f>ISERROR(SUM(Finance!AP$5:AP$200))*1</f>
        <v>0</v>
      </c>
      <c r="AQ63" s="44">
        <f>ISERROR(SUM(Finance!AQ$5:AQ$200))*1</f>
        <v>0</v>
      </c>
      <c r="AR63" s="44">
        <f>ISERROR(SUM(Finance!AR$5:AR$200))*1</f>
        <v>0</v>
      </c>
      <c r="AS63" s="44">
        <f>ISERROR(SUM(Finance!AS$5:AS$200))*1</f>
        <v>0</v>
      </c>
      <c r="AT63" s="176">
        <f>ISERROR(SUM(Finance!AT$5:AT$200))*1</f>
        <v>0</v>
      </c>
      <c r="AU63" s="160">
        <f ca="1">ISERROR(SUM(Finance!AU$5:AU$200))*1</f>
        <v>0</v>
      </c>
      <c r="AV63" s="44">
        <f ca="1">ISERROR(SUM(Finance!AV$5:AV$200))*1</f>
        <v>0</v>
      </c>
      <c r="AW63" s="44">
        <f ca="1">ISERROR(SUM(Finance!AW$5:AW$200))*1</f>
        <v>0</v>
      </c>
      <c r="AX63" s="44">
        <f ca="1">ISERROR(SUM(Finance!AX$5:AX$200))*1</f>
        <v>0</v>
      </c>
      <c r="AY63" s="44">
        <f ca="1">ISERROR(SUM(Finance!AY$5:AY$200))*1</f>
        <v>0</v>
      </c>
    </row>
    <row r="64" spans="1:51" customFormat="1" ht="14.5" x14ac:dyDescent="0.35">
      <c r="E64" t="s">
        <v>475</v>
      </c>
      <c r="I64" s="44">
        <f>ISERROR(SUM(Tax!I$5:I$200))*1</f>
        <v>0</v>
      </c>
      <c r="K64" s="44">
        <f>ISERROR(SUM(Tax!K$5:K$200))*1</f>
        <v>0</v>
      </c>
      <c r="L64" s="44">
        <f>ISERROR(SUM(Tax!L$5:L$200))*1</f>
        <v>0</v>
      </c>
      <c r="M64" s="44">
        <f>ISERROR(SUM(Tax!M$5:M$200))*1</f>
        <v>0</v>
      </c>
      <c r="N64" s="44">
        <f>ISERROR(SUM(Tax!N$5:N$200))*1</f>
        <v>0</v>
      </c>
      <c r="O64" s="44">
        <f>ISERROR(SUM(Tax!O$5:O$200))*1</f>
        <v>0</v>
      </c>
      <c r="P64" s="44">
        <f>ISERROR(SUM(Tax!P$5:P$200))*1</f>
        <v>0</v>
      </c>
      <c r="Q64" s="44">
        <f>ISERROR(SUM(Tax!Q$5:Q$200))*1</f>
        <v>0</v>
      </c>
      <c r="R64" s="44">
        <f>ISERROR(SUM(Tax!R$5:R$200))*1</f>
        <v>0</v>
      </c>
      <c r="S64" s="44">
        <f>ISERROR(SUM(Tax!S$5:S$200))*1</f>
        <v>0</v>
      </c>
      <c r="T64" s="44">
        <f>ISERROR(SUM(Tax!T$5:T$200))*1</f>
        <v>0</v>
      </c>
      <c r="U64" s="44">
        <f>ISERROR(SUM(Tax!U$5:U$200))*1</f>
        <v>0</v>
      </c>
      <c r="V64" s="44">
        <f>ISERROR(SUM(Tax!V$5:V$200))*1</f>
        <v>0</v>
      </c>
      <c r="W64" s="44">
        <f>ISERROR(SUM(Tax!W$5:W$200))*1</f>
        <v>0</v>
      </c>
      <c r="X64" s="44">
        <f>ISERROR(SUM(Tax!X$5:X$200))*1</f>
        <v>0</v>
      </c>
      <c r="Y64" s="44">
        <f>ISERROR(SUM(Tax!Y$5:Y$200))*1</f>
        <v>0</v>
      </c>
      <c r="Z64" s="44">
        <f>ISERROR(SUM(Tax!Z$5:Z$200))*1</f>
        <v>0</v>
      </c>
      <c r="AA64" s="44">
        <f>ISERROR(SUM(Tax!AA$5:AA$200))*1</f>
        <v>0</v>
      </c>
      <c r="AB64" s="44">
        <f>ISERROR(SUM(Tax!AB$5:AB$200))*1</f>
        <v>0</v>
      </c>
      <c r="AC64" s="44">
        <f>ISERROR(SUM(Tax!AC$5:AC$200))*1</f>
        <v>0</v>
      </c>
      <c r="AD64" s="44">
        <f>ISERROR(SUM(Tax!AD$5:AD$200))*1</f>
        <v>0</v>
      </c>
      <c r="AE64" s="44">
        <f>ISERROR(SUM(Tax!AE$5:AE$200))*1</f>
        <v>0</v>
      </c>
      <c r="AF64" s="44">
        <f>ISERROR(SUM(Tax!AF$5:AF$200))*1</f>
        <v>0</v>
      </c>
      <c r="AG64" s="44">
        <f>ISERROR(SUM(Tax!AG$5:AG$200))*1</f>
        <v>0</v>
      </c>
      <c r="AH64" s="44">
        <f>ISERROR(SUM(Tax!AH$5:AH$200))*1</f>
        <v>0</v>
      </c>
      <c r="AI64" s="44">
        <f>ISERROR(SUM(Tax!AI$5:AI$200))*1</f>
        <v>0</v>
      </c>
      <c r="AJ64" s="44">
        <f>ISERROR(SUM(Tax!AJ$5:AJ$200))*1</f>
        <v>0</v>
      </c>
      <c r="AK64" s="44">
        <f>ISERROR(SUM(Tax!AK$5:AK$200))*1</f>
        <v>0</v>
      </c>
      <c r="AL64" s="44">
        <f>ISERROR(SUM(Tax!AL$5:AL$200))*1</f>
        <v>0</v>
      </c>
      <c r="AM64" s="44">
        <f>ISERROR(SUM(Tax!AM$5:AM$200))*1</f>
        <v>0</v>
      </c>
      <c r="AN64" s="44">
        <f>ISERROR(SUM(Tax!AN$5:AN$200))*1</f>
        <v>0</v>
      </c>
      <c r="AO64" s="44">
        <f>ISERROR(SUM(Tax!AO$5:AO$200))*1</f>
        <v>0</v>
      </c>
      <c r="AP64" s="44">
        <f>ISERROR(SUM(Tax!AP$5:AP$200))*1</f>
        <v>0</v>
      </c>
      <c r="AQ64" s="44">
        <f>ISERROR(SUM(Tax!AQ$5:AQ$200))*1</f>
        <v>0</v>
      </c>
      <c r="AR64" s="44">
        <f>ISERROR(SUM(Tax!AR$5:AR$200))*1</f>
        <v>0</v>
      </c>
      <c r="AS64" s="44">
        <f>ISERROR(SUM(Tax!AS$5:AS$200))*1</f>
        <v>0</v>
      </c>
      <c r="AT64" s="176">
        <f>ISERROR(SUM(Tax!AT$5:AT$200))*1</f>
        <v>0</v>
      </c>
      <c r="AU64" s="160">
        <f ca="1">ISERROR(SUM(Tax!AU$5:AU$200))*1</f>
        <v>0</v>
      </c>
      <c r="AV64" s="44">
        <f ca="1">ISERROR(SUM(Tax!AV$5:AV$200))*1</f>
        <v>0</v>
      </c>
      <c r="AW64" s="44">
        <f ca="1">ISERROR(SUM(Tax!AW$5:AW$200))*1</f>
        <v>0</v>
      </c>
      <c r="AX64" s="44">
        <f ca="1">ISERROR(SUM(Tax!AX$5:AX$200))*1</f>
        <v>0</v>
      </c>
      <c r="AY64" s="44">
        <f ca="1">ISERROR(SUM(Tax!AY$5:AY$200))*1</f>
        <v>0</v>
      </c>
    </row>
    <row r="65" spans="1:51" customFormat="1" ht="14.5" x14ac:dyDescent="0.35">
      <c r="E65" t="s">
        <v>373</v>
      </c>
      <c r="I65" s="44">
        <f>ISERROR(SUM(Revenue!I$5:I$201))*1</f>
        <v>0</v>
      </c>
      <c r="K65" s="44">
        <f>ISERROR(SUM(Revenue!K$5:K$201))*1</f>
        <v>0</v>
      </c>
      <c r="L65" s="44">
        <f>ISERROR(SUM(Revenue!L$5:L$201))*1</f>
        <v>0</v>
      </c>
      <c r="M65" s="44">
        <f>ISERROR(SUM(Revenue!M$5:M$201))*1</f>
        <v>0</v>
      </c>
      <c r="N65" s="44">
        <f>ISERROR(SUM(Revenue!N$5:N$201))*1</f>
        <v>0</v>
      </c>
      <c r="O65" s="44">
        <f>ISERROR(SUM(Revenue!O$5:O$201))*1</f>
        <v>0</v>
      </c>
      <c r="P65" s="44">
        <f>ISERROR(SUM(Revenue!P$5:P$201))*1</f>
        <v>0</v>
      </c>
      <c r="Q65" s="44">
        <f>ISERROR(SUM(Revenue!Q$5:Q$201))*1</f>
        <v>0</v>
      </c>
      <c r="R65" s="44">
        <f>ISERROR(SUM(Revenue!R$5:R$201))*1</f>
        <v>0</v>
      </c>
      <c r="S65" s="44">
        <f>ISERROR(SUM(Revenue!S$5:S$201))*1</f>
        <v>0</v>
      </c>
      <c r="T65" s="44">
        <f>ISERROR(SUM(Revenue!T$5:T$201))*1</f>
        <v>0</v>
      </c>
      <c r="U65" s="44">
        <f>ISERROR(SUM(Revenue!U$5:U$201))*1</f>
        <v>0</v>
      </c>
      <c r="V65" s="44">
        <f>ISERROR(SUM(Revenue!V$5:V$201))*1</f>
        <v>0</v>
      </c>
      <c r="W65" s="44">
        <f>ISERROR(SUM(Revenue!W$5:W$201))*1</f>
        <v>0</v>
      </c>
      <c r="X65" s="44">
        <f>ISERROR(SUM(Revenue!X$5:X$201))*1</f>
        <v>0</v>
      </c>
      <c r="Y65" s="44">
        <f>ISERROR(SUM(Revenue!Y$5:Y$201))*1</f>
        <v>0</v>
      </c>
      <c r="Z65" s="44">
        <f>ISERROR(SUM(Revenue!Z$5:Z$201))*1</f>
        <v>0</v>
      </c>
      <c r="AA65" s="44">
        <f>ISERROR(SUM(Revenue!AA$5:AA$201))*1</f>
        <v>0</v>
      </c>
      <c r="AB65" s="44">
        <f>ISERROR(SUM(Revenue!AB$5:AB$201))*1</f>
        <v>0</v>
      </c>
      <c r="AC65" s="44">
        <f>ISERROR(SUM(Revenue!AC$5:AC$201))*1</f>
        <v>0</v>
      </c>
      <c r="AD65" s="44">
        <f>ISERROR(SUM(Revenue!AD$5:AD$201))*1</f>
        <v>0</v>
      </c>
      <c r="AE65" s="44">
        <f>ISERROR(SUM(Revenue!AE$5:AE$201))*1</f>
        <v>0</v>
      </c>
      <c r="AF65" s="44">
        <f>ISERROR(SUM(Revenue!AF$5:AF$201))*1</f>
        <v>0</v>
      </c>
      <c r="AG65" s="44">
        <f>ISERROR(SUM(Revenue!AG$5:AG$201))*1</f>
        <v>0</v>
      </c>
      <c r="AH65" s="44">
        <f>ISERROR(SUM(Revenue!AH$5:AH$201))*1</f>
        <v>0</v>
      </c>
      <c r="AI65" s="44">
        <f>ISERROR(SUM(Revenue!AI$5:AI$201))*1</f>
        <v>0</v>
      </c>
      <c r="AJ65" s="44">
        <f>ISERROR(SUM(Revenue!AJ$5:AJ$201))*1</f>
        <v>0</v>
      </c>
      <c r="AK65" s="44">
        <f>ISERROR(SUM(Revenue!AK$5:AK$201))*1</f>
        <v>0</v>
      </c>
      <c r="AL65" s="44">
        <f>ISERROR(SUM(Revenue!AL$5:AL$201))*1</f>
        <v>0</v>
      </c>
      <c r="AM65" s="44">
        <f>ISERROR(SUM(Revenue!AM$5:AM$201))*1</f>
        <v>0</v>
      </c>
      <c r="AN65" s="44">
        <f>ISERROR(SUM(Revenue!AN$5:AN$201))*1</f>
        <v>0</v>
      </c>
      <c r="AO65" s="44">
        <f>ISERROR(SUM(Revenue!AO$5:AO$201))*1</f>
        <v>0</v>
      </c>
      <c r="AP65" s="44">
        <f>ISERROR(SUM(Revenue!AP$5:AP$201))*1</f>
        <v>0</v>
      </c>
      <c r="AQ65" s="44">
        <f>ISERROR(SUM(Revenue!AQ$5:AQ$201))*1</f>
        <v>0</v>
      </c>
      <c r="AR65" s="44">
        <f>ISERROR(SUM(Revenue!AR$5:AR$201))*1</f>
        <v>0</v>
      </c>
      <c r="AS65" s="44">
        <f>ISERROR(SUM(Revenue!AS$5:AS$201))*1</f>
        <v>0</v>
      </c>
      <c r="AT65" s="176">
        <f>ISERROR(SUM(Revenue!AT$5:AT$201))*1</f>
        <v>0</v>
      </c>
      <c r="AU65" s="160">
        <f ca="1">ISERROR(SUM(Revenue!AU$5:AU$201))*1</f>
        <v>0</v>
      </c>
      <c r="AV65" s="44">
        <f ca="1">ISERROR(SUM(Revenue!AV$5:AV$201))*1</f>
        <v>0</v>
      </c>
      <c r="AW65" s="44">
        <f ca="1">ISERROR(SUM(Revenue!AW$5:AW$201))*1</f>
        <v>0</v>
      </c>
      <c r="AX65" s="44">
        <f ca="1">ISERROR(SUM(Revenue!AX$5:AX$201))*1</f>
        <v>0</v>
      </c>
      <c r="AY65" s="44">
        <f ca="1">ISERROR(SUM(Revenue!AY$5:AY$201))*1</f>
        <v>0</v>
      </c>
    </row>
    <row r="66" spans="1:51" customFormat="1" ht="14.5" x14ac:dyDescent="0.35">
      <c r="E66" t="s">
        <v>570</v>
      </c>
      <c r="I66" s="44">
        <f>ISERROR(SUM(AllowedRevenue!I$5:I$201))*1</f>
        <v>0</v>
      </c>
      <c r="K66" s="44">
        <f>ISERROR(SUM(AllowedRevenue!K$5:K$201))*1</f>
        <v>0</v>
      </c>
      <c r="L66" s="44">
        <f>ISERROR(SUM(AllowedRevenue!L$5:L$201))*1</f>
        <v>0</v>
      </c>
      <c r="M66" s="44">
        <f>ISERROR(SUM(AllowedRevenue!M$5:M$201))*1</f>
        <v>0</v>
      </c>
      <c r="N66" s="44">
        <f>ISERROR(SUM(AllowedRevenue!N$5:N$201))*1</f>
        <v>0</v>
      </c>
      <c r="O66" s="44">
        <f>ISERROR(SUM(AllowedRevenue!O$5:O$201))*1</f>
        <v>0</v>
      </c>
      <c r="P66" s="44">
        <f>ISERROR(SUM(AllowedRevenue!P$5:P$201))*1</f>
        <v>0</v>
      </c>
      <c r="Q66" s="44">
        <f>ISERROR(SUM(AllowedRevenue!Q$5:Q$201))*1</f>
        <v>0</v>
      </c>
      <c r="R66" s="44">
        <f>ISERROR(SUM(AllowedRevenue!R$5:R$201))*1</f>
        <v>0</v>
      </c>
      <c r="S66" s="44">
        <f>ISERROR(SUM(AllowedRevenue!S$5:S$201))*1</f>
        <v>0</v>
      </c>
      <c r="T66" s="44">
        <f>ISERROR(SUM(AllowedRevenue!T$5:T$201))*1</f>
        <v>0</v>
      </c>
      <c r="U66" s="44">
        <f>ISERROR(SUM(AllowedRevenue!U$5:U$201))*1</f>
        <v>0</v>
      </c>
      <c r="V66" s="44">
        <f>ISERROR(SUM(AllowedRevenue!V$5:V$201))*1</f>
        <v>0</v>
      </c>
      <c r="W66" s="44">
        <f>ISERROR(SUM(AllowedRevenue!W$5:W$201))*1</f>
        <v>0</v>
      </c>
      <c r="X66" s="44">
        <f>ISERROR(SUM(AllowedRevenue!X$5:X$201))*1</f>
        <v>0</v>
      </c>
      <c r="Y66" s="44">
        <f>ISERROR(SUM(AllowedRevenue!Y$5:Y$201))*1</f>
        <v>0</v>
      </c>
      <c r="Z66" s="44">
        <f>ISERROR(SUM(AllowedRevenue!Z$5:Z$201))*1</f>
        <v>0</v>
      </c>
      <c r="AA66" s="44">
        <f>ISERROR(SUM(AllowedRevenue!AA$5:AA$201))*1</f>
        <v>0</v>
      </c>
      <c r="AB66" s="44">
        <f>ISERROR(SUM(AllowedRevenue!AB$5:AB$201))*1</f>
        <v>0</v>
      </c>
      <c r="AC66" s="44">
        <f>ISERROR(SUM(AllowedRevenue!AC$5:AC$201))*1</f>
        <v>0</v>
      </c>
      <c r="AD66" s="44">
        <f>ISERROR(SUM(AllowedRevenue!AD$5:AD$201))*1</f>
        <v>0</v>
      </c>
      <c r="AE66" s="44">
        <f>ISERROR(SUM(AllowedRevenue!AE$5:AE$201))*1</f>
        <v>0</v>
      </c>
      <c r="AF66" s="44">
        <f>ISERROR(SUM(AllowedRevenue!AF$5:AF$201))*1</f>
        <v>0</v>
      </c>
      <c r="AG66" s="44">
        <f>ISERROR(SUM(AllowedRevenue!AG$5:AG$201))*1</f>
        <v>0</v>
      </c>
      <c r="AH66" s="44">
        <f>ISERROR(SUM(AllowedRevenue!AH$5:AH$201))*1</f>
        <v>0</v>
      </c>
      <c r="AI66" s="44">
        <f>ISERROR(SUM(AllowedRevenue!AI$5:AI$201))*1</f>
        <v>0</v>
      </c>
      <c r="AJ66" s="44">
        <f>ISERROR(SUM(AllowedRevenue!AJ$5:AJ$201))*1</f>
        <v>0</v>
      </c>
      <c r="AK66" s="44">
        <f>ISERROR(SUM(AllowedRevenue!AK$5:AK$201))*1</f>
        <v>0</v>
      </c>
      <c r="AL66" s="44">
        <f>ISERROR(SUM(AllowedRevenue!AL$5:AL$201))*1</f>
        <v>0</v>
      </c>
      <c r="AM66" s="44">
        <f>ISERROR(SUM(AllowedRevenue!AM$5:AM$201))*1</f>
        <v>0</v>
      </c>
      <c r="AN66" s="44">
        <f>ISERROR(SUM(AllowedRevenue!AN$5:AN$201))*1</f>
        <v>0</v>
      </c>
      <c r="AO66" s="44">
        <f>ISERROR(SUM(AllowedRevenue!AO$5:AO$201))*1</f>
        <v>0</v>
      </c>
      <c r="AP66" s="44">
        <f>ISERROR(SUM(AllowedRevenue!AP$5:AP$201))*1</f>
        <v>0</v>
      </c>
      <c r="AQ66" s="44">
        <f>ISERROR(SUM(AllowedRevenue!AQ$5:AQ$201))*1</f>
        <v>0</v>
      </c>
      <c r="AR66" s="44">
        <f>ISERROR(SUM(AllowedRevenue!AR$5:AR$201))*1</f>
        <v>0</v>
      </c>
      <c r="AS66" s="44">
        <f>ISERROR(SUM(AllowedRevenue!AS$5:AS$201))*1</f>
        <v>0</v>
      </c>
      <c r="AT66" s="176">
        <f>ISERROR(SUM(AllowedRevenue!AT$5:AT$201))*1</f>
        <v>0</v>
      </c>
      <c r="AU66" s="160">
        <f ca="1">ISERROR(SUM(AllowedRevenue!AU$5:AU$201))*1</f>
        <v>0</v>
      </c>
      <c r="AV66" s="44">
        <f ca="1">ISERROR(SUM(AllowedRevenue!AV$5:AV$201))*1</f>
        <v>0</v>
      </c>
      <c r="AW66" s="44">
        <f ca="1">ISERROR(SUM(AllowedRevenue!AW$5:AW$201))*1</f>
        <v>0</v>
      </c>
      <c r="AX66" s="44">
        <f ca="1">ISERROR(SUM(AllowedRevenue!AX$5:AX$201))*1</f>
        <v>0</v>
      </c>
      <c r="AY66" s="44">
        <f ca="1">ISERROR(SUM(AllowedRevenue!AY$5:AY$201))*1</f>
        <v>0</v>
      </c>
    </row>
    <row r="67" spans="1:51" customFormat="1" ht="14.5" x14ac:dyDescent="0.35">
      <c r="AT67" s="61"/>
    </row>
    <row r="68" spans="1:51" customFormat="1" ht="20" thickBot="1" x14ac:dyDescent="0.5">
      <c r="A68" s="13" t="s">
        <v>693</v>
      </c>
      <c r="AT68" s="61"/>
    </row>
    <row r="69" spans="1:51" customFormat="1" ht="18" thickTop="1" thickBot="1" x14ac:dyDescent="0.45">
      <c r="A69" s="6"/>
      <c r="B69" s="15" t="s">
        <v>694</v>
      </c>
      <c r="AT69" s="61"/>
    </row>
    <row r="70" spans="1:51" customFormat="1" ht="15" thickTop="1" x14ac:dyDescent="0.35">
      <c r="E70" t="s">
        <v>567</v>
      </c>
      <c r="I70" s="44">
        <f>COUNTA(LicenseeSelect!E5:E804)</f>
        <v>507</v>
      </c>
      <c r="AT70" s="61"/>
    </row>
    <row r="71" spans="1:51" customFormat="1" ht="14.5" x14ac:dyDescent="0.35">
      <c r="E71" t="s">
        <v>581</v>
      </c>
      <c r="I71" s="44">
        <f>COUNTA(#REF!)</f>
        <v>1</v>
      </c>
      <c r="AT71" s="61"/>
    </row>
    <row r="72" spans="1:51" customFormat="1" ht="14.5" x14ac:dyDescent="0.35">
      <c r="E72" t="s">
        <v>582</v>
      </c>
      <c r="I72" s="44">
        <f>COUNTA(#REF!)</f>
        <v>1</v>
      </c>
      <c r="AT72" s="61"/>
    </row>
    <row r="73" spans="1:51" customFormat="1" ht="14.5" x14ac:dyDescent="0.35">
      <c r="E73" t="s">
        <v>583</v>
      </c>
      <c r="I73" s="44">
        <f>COUNTA(#REF!)</f>
        <v>1</v>
      </c>
      <c r="AT73" s="61"/>
    </row>
    <row r="74" spans="1:51" customFormat="1" ht="14.5" x14ac:dyDescent="0.35">
      <c r="E74" t="s">
        <v>584</v>
      </c>
      <c r="I74" s="44">
        <f>COUNTA(#REF!)</f>
        <v>1</v>
      </c>
      <c r="AT74" s="61"/>
    </row>
    <row r="75" spans="1:51" customFormat="1" ht="14.5" x14ac:dyDescent="0.35">
      <c r="E75" t="s">
        <v>585</v>
      </c>
      <c r="I75" s="44">
        <f>COUNTA(#REF!)</f>
        <v>1</v>
      </c>
      <c r="AT75" s="61"/>
    </row>
    <row r="76" spans="1:51" customFormat="1" ht="14.5" x14ac:dyDescent="0.35">
      <c r="E76" t="s">
        <v>586</v>
      </c>
      <c r="I76" s="44">
        <f>COUNTA(Scotland!$E$5:$E$804)</f>
        <v>507</v>
      </c>
      <c r="AT76" s="61"/>
    </row>
    <row r="77" spans="1:51" customFormat="1" ht="14.5" x14ac:dyDescent="0.35">
      <c r="E77" t="s">
        <v>587</v>
      </c>
      <c r="I77" s="44">
        <f>COUNTA(Southern!$E$5:$E$804)</f>
        <v>507</v>
      </c>
      <c r="AT77" s="61"/>
    </row>
    <row r="78" spans="1:51" customFormat="1" ht="14.5" x14ac:dyDescent="0.35">
      <c r="E78" t="s">
        <v>588</v>
      </c>
      <c r="I78" s="44">
        <f>COUNTA(#REF!)</f>
        <v>1</v>
      </c>
      <c r="AT78" s="61"/>
    </row>
    <row r="79" spans="1:51" customFormat="1" ht="14.5" x14ac:dyDescent="0.35">
      <c r="AT79" s="61"/>
    </row>
    <row r="80" spans="1:51" customFormat="1" ht="17.5" thickBot="1" x14ac:dyDescent="0.45">
      <c r="B80" s="15" t="s">
        <v>282</v>
      </c>
      <c r="AT80" s="61"/>
    </row>
    <row r="81" spans="1:55" customFormat="1" ht="15" thickTop="1" x14ac:dyDescent="0.35">
      <c r="E81" t="s">
        <v>695</v>
      </c>
      <c r="AT81" s="61"/>
      <c r="AU81" s="154">
        <f>Totex!AU85</f>
        <v>259.73142979289491</v>
      </c>
      <c r="AV81" s="27">
        <f>Totex!AV85</f>
        <v>271.79896316388141</v>
      </c>
      <c r="AW81" s="27">
        <f>Totex!AW85</f>
        <v>271.10774201776303</v>
      </c>
      <c r="AX81" s="27">
        <f>Totex!AX85</f>
        <v>257.15535996956191</v>
      </c>
      <c r="AY81" s="27">
        <f>Totex!AY85</f>
        <v>244.53230894633663</v>
      </c>
    </row>
    <row r="82" spans="1:55" customFormat="1" ht="14.5" x14ac:dyDescent="0.35">
      <c r="E82" t="s">
        <v>696</v>
      </c>
      <c r="AT82" s="61"/>
      <c r="AU82" s="154">
        <f>SUM(Transform!AU12:AU16)</f>
        <v>0</v>
      </c>
      <c r="AV82" s="27">
        <f>SUM(Transform!AV12:AV16)</f>
        <v>0</v>
      </c>
      <c r="AW82" s="27">
        <f>SUM(Transform!AW12:AW16)</f>
        <v>0</v>
      </c>
      <c r="AX82" s="27">
        <f>SUM(Transform!AX12:AX16)</f>
        <v>0</v>
      </c>
      <c r="AY82" s="27">
        <f>SUM(Transform!AY12:AY16)</f>
        <v>0</v>
      </c>
    </row>
    <row r="83" spans="1:55" customFormat="1" ht="14.5" x14ac:dyDescent="0.35">
      <c r="E83" t="s">
        <v>697</v>
      </c>
      <c r="AT83" s="61"/>
      <c r="AU83" s="154">
        <f>SUM(Transform!AU19:AU23)</f>
        <v>0</v>
      </c>
      <c r="AV83" s="27">
        <f>SUM(Transform!AV19:AV23)</f>
        <v>0</v>
      </c>
      <c r="AW83" s="27">
        <f>SUM(Transform!AW19:AW23)</f>
        <v>0</v>
      </c>
      <c r="AX83" s="27">
        <f>SUM(Transform!AX19:AX23)</f>
        <v>0</v>
      </c>
      <c r="AY83" s="27">
        <f>SUM(Transform!AY19:AY23)</f>
        <v>0</v>
      </c>
    </row>
    <row r="84" spans="1:55" customFormat="1" ht="14.5" x14ac:dyDescent="0.35">
      <c r="E84" t="s">
        <v>401</v>
      </c>
      <c r="AT84" s="61"/>
      <c r="AU84" s="154">
        <f>Transform!AU7</f>
        <v>0</v>
      </c>
      <c r="AV84" s="27">
        <f>Transform!AV7</f>
        <v>0</v>
      </c>
      <c r="AW84" s="27">
        <f>Transform!AW7</f>
        <v>0</v>
      </c>
      <c r="AX84" s="27">
        <f>Transform!AX7</f>
        <v>0</v>
      </c>
      <c r="AY84" s="27">
        <f>Transform!AY7</f>
        <v>0</v>
      </c>
    </row>
    <row r="85" spans="1:55" customFormat="1" ht="14.5" x14ac:dyDescent="0.35">
      <c r="E85" t="s">
        <v>698</v>
      </c>
      <c r="AT85" s="61"/>
      <c r="AU85" s="154">
        <f>Totex!AU62</f>
        <v>260.32155247663525</v>
      </c>
      <c r="AV85" s="27">
        <f>Totex!AV62</f>
        <v>272.3890858476218</v>
      </c>
      <c r="AW85" s="27">
        <f>Totex!AW62</f>
        <v>271.69786470150342</v>
      </c>
      <c r="AX85" s="27">
        <f>Totex!AX62</f>
        <v>257.7454826533023</v>
      </c>
      <c r="AY85" s="27">
        <f>Totex!AY62</f>
        <v>245.12243163007702</v>
      </c>
    </row>
    <row r="86" spans="1:55" customFormat="1" ht="14.5" x14ac:dyDescent="0.35">
      <c r="E86" t="s">
        <v>699</v>
      </c>
      <c r="AT86" s="61"/>
      <c r="AU86" s="154">
        <f>SUM(Transform!AU29:AU33)</f>
        <v>142.00747482471652</v>
      </c>
      <c r="AV86" s="27">
        <f>SUM(Transform!AV29:AV33)</f>
        <v>145.44644213067255</v>
      </c>
      <c r="AW86" s="27">
        <f>SUM(Transform!AW29:AW33)</f>
        <v>144.5026900796332</v>
      </c>
      <c r="AX86" s="27">
        <f>SUM(Transform!AX29:AX33)</f>
        <v>135.27769583886936</v>
      </c>
      <c r="AY86" s="27">
        <f>SUM(Transform!AY29:AY33)</f>
        <v>127.40420742567595</v>
      </c>
    </row>
    <row r="87" spans="1:55" customFormat="1" ht="14.5" x14ac:dyDescent="0.35">
      <c r="E87" t="s">
        <v>700</v>
      </c>
      <c r="AT87" s="61"/>
      <c r="AU87" s="154">
        <f>SUM(VariantAllowances!AU641:AU645,VariantAllowances!AU648:AU652)</f>
        <v>118.31407765191874</v>
      </c>
      <c r="AV87" s="27">
        <f>SUM(VariantAllowances!AV641:AV645,VariantAllowances!AV648:AV652)</f>
        <v>126.94264371694922</v>
      </c>
      <c r="AW87" s="27">
        <f>SUM(VariantAllowances!AW641:AW645,VariantAllowances!AW648:AW652)</f>
        <v>127.19517462187022</v>
      </c>
      <c r="AX87" s="27">
        <f>SUM(VariantAllowances!AX641:AX645,VariantAllowances!AX648:AX652)</f>
        <v>122.46778681443287</v>
      </c>
      <c r="AY87" s="27">
        <f>SUM(VariantAllowances!AY641:AY645,VariantAllowances!AY648:AY652)</f>
        <v>117.71822420440108</v>
      </c>
    </row>
    <row r="88" spans="1:55" customFormat="1" ht="14.5" x14ac:dyDescent="0.35">
      <c r="AT88" s="61"/>
    </row>
    <row r="89" spans="1:55" customFormat="1" ht="14.5" x14ac:dyDescent="0.35">
      <c r="E89" t="s">
        <v>686</v>
      </c>
      <c r="AT89" s="61"/>
      <c r="AU89" s="152">
        <f>(AU81-SUM(AU82,AU83))*AU84</f>
        <v>0</v>
      </c>
      <c r="AV89" s="12">
        <f t="shared" ref="AV89:AY89" si="0">(AV81-SUM(AV82,AV83))*AV84</f>
        <v>0</v>
      </c>
      <c r="AW89" s="12">
        <f t="shared" si="0"/>
        <v>0</v>
      </c>
      <c r="AX89" s="12">
        <f t="shared" si="0"/>
        <v>0</v>
      </c>
      <c r="AY89" s="12">
        <f t="shared" si="0"/>
        <v>0</v>
      </c>
    </row>
    <row r="90" spans="1:55" customFormat="1" ht="14.5" x14ac:dyDescent="0.35">
      <c r="E90" t="s">
        <v>687</v>
      </c>
      <c r="AT90" s="61"/>
      <c r="AU90" s="152">
        <f>AU85-SUM(AU86:AU87)</f>
        <v>0</v>
      </c>
      <c r="AV90" s="12">
        <f t="shared" ref="AV90:AY90" si="1">AV85-SUM(AV86:AV87)</f>
        <v>0</v>
      </c>
      <c r="AW90" s="12">
        <f t="shared" si="1"/>
        <v>0</v>
      </c>
      <c r="AX90" s="12">
        <f t="shared" si="1"/>
        <v>0</v>
      </c>
      <c r="AY90" s="12">
        <f t="shared" si="1"/>
        <v>0</v>
      </c>
    </row>
    <row r="91" spans="1:55" customFormat="1" ht="14.5" x14ac:dyDescent="0.35">
      <c r="AT91" s="61"/>
    </row>
    <row r="92" spans="1:55" customFormat="1" ht="14.5" x14ac:dyDescent="0.35">
      <c r="AT92" s="61"/>
    </row>
    <row r="93" spans="1:55" customFormat="1" ht="17.5" thickBot="1" x14ac:dyDescent="0.45">
      <c r="A93" s="6"/>
      <c r="B93" s="15" t="s">
        <v>312</v>
      </c>
      <c r="AT93" s="61"/>
    </row>
    <row r="94" spans="1:55" customFormat="1" ht="15" thickTop="1" x14ac:dyDescent="0.35">
      <c r="E94" t="s">
        <v>701</v>
      </c>
      <c r="AT94" s="61"/>
      <c r="AU94" s="322">
        <f>SUM(Transform!AU114:AU119)</f>
        <v>1</v>
      </c>
      <c r="AV94" s="323">
        <f>SUM(Transform!AV114:AV119)</f>
        <v>1</v>
      </c>
      <c r="AW94" s="323">
        <f>SUM(Transform!AW114:AW119)</f>
        <v>1</v>
      </c>
      <c r="AX94" s="323">
        <f>SUM(Transform!AX114:AX119)</f>
        <v>1</v>
      </c>
      <c r="AY94" s="323">
        <f>SUM(Transform!AY114:AY119)</f>
        <v>1</v>
      </c>
    </row>
    <row r="95" spans="1:55" customFormat="1" ht="14.5" x14ac:dyDescent="0.35">
      <c r="AT95" s="61"/>
    </row>
    <row r="96" spans="1:55" customFormat="1" ht="17.5" thickBot="1" x14ac:dyDescent="0.45">
      <c r="B96" s="15" t="s">
        <v>702</v>
      </c>
      <c r="AT96" s="61"/>
      <c r="BA96" t="s">
        <v>564</v>
      </c>
      <c r="BB96" t="s">
        <v>565</v>
      </c>
      <c r="BC96" t="s">
        <v>703</v>
      </c>
    </row>
    <row r="97" spans="5:55" customFormat="1" ht="15" thickTop="1" x14ac:dyDescent="0.35">
      <c r="E97" t="str">
        <f>VariantAllowances!E8</f>
        <v>PCD_Baseline Network Risk Output</v>
      </c>
      <c r="AT97" s="61"/>
      <c r="AU97" s="158">
        <f>SUMIFS(LicenseeSelect!AU$205:AU$456,LicenseeSelect!$E$205:$E$456,$E97)</f>
        <v>1</v>
      </c>
      <c r="AV97" s="45">
        <f>SUMIFS(LicenseeSelect!AV$205:AV$456,LicenseeSelect!$E$205:$E$456,$E97)</f>
        <v>1</v>
      </c>
      <c r="AW97" s="45">
        <f>SUMIFS(LicenseeSelect!AW$205:AW$456,LicenseeSelect!$E$205:$E$456,$E97)</f>
        <v>1</v>
      </c>
      <c r="AX97" s="45">
        <f>SUMIFS(LicenseeSelect!AX$205:AX$456,LicenseeSelect!$E$205:$E$456,$E97)</f>
        <v>1</v>
      </c>
      <c r="AY97" s="45">
        <f>SUMIFS(LicenseeSelect!AY$205:AY$456,LicenseeSelect!$E$205:$E$456,$E97)</f>
        <v>1</v>
      </c>
      <c r="BA97" s="27" t="b">
        <f>INDEX(LicenseeSelect!AV$153:AV$204,MATCH($E97,LicenseeSelect!$E$153:$E$204,0))</f>
        <v>1</v>
      </c>
      <c r="BB97" s="27">
        <f>INDEX(LicenseeSelect!AW$153:AW$204,MATCH($E97,LicenseeSelect!$E$153:$E$204,0))</f>
        <v>1</v>
      </c>
      <c r="BC97" s="12" t="b">
        <f t="shared" ref="BC97:BC121" si="2">AND(SUM(AU97:AY97)&lt;&gt;0,OR(BA97="",BB97=""))</f>
        <v>0</v>
      </c>
    </row>
    <row r="98" spans="5:55" customFormat="1" ht="14.5" x14ac:dyDescent="0.35">
      <c r="E98" t="str">
        <f>VariantAllowances!E9</f>
        <v>PCD_Cyber PCDs</v>
      </c>
      <c r="AT98" s="61"/>
      <c r="AU98" s="158">
        <f>SUMIFS(LicenseeSelect!AU$205:AU$456,LicenseeSelect!$E$205:$E$456,$E98)</f>
        <v>1</v>
      </c>
      <c r="AV98" s="45">
        <f>SUMIFS(LicenseeSelect!AV$205:AV$456,LicenseeSelect!$E$205:$E$456,$E98)</f>
        <v>1</v>
      </c>
      <c r="AW98" s="45">
        <f>SUMIFS(LicenseeSelect!AW$205:AW$456,LicenseeSelect!$E$205:$E$456,$E98)</f>
        <v>1</v>
      </c>
      <c r="AX98" s="45">
        <f>SUMIFS(LicenseeSelect!AX$205:AX$456,LicenseeSelect!$E$205:$E$456,$E98)</f>
        <v>1</v>
      </c>
      <c r="AY98" s="45">
        <f>SUMIFS(LicenseeSelect!AY$205:AY$456,LicenseeSelect!$E$205:$E$456,$E98)</f>
        <v>1</v>
      </c>
      <c r="BA98" s="27" t="b">
        <f>INDEX(LicenseeSelect!AV$153:AV$204,MATCH($E98,LicenseeSelect!$E$153:$E$204,0))</f>
        <v>1</v>
      </c>
      <c r="BB98" s="27">
        <f>INDEX(LicenseeSelect!AW$153:AW$204,MATCH($E98,LicenseeSelect!$E$153:$E$204,0))</f>
        <v>1</v>
      </c>
      <c r="BC98" s="12" t="b">
        <f t="shared" si="2"/>
        <v>0</v>
      </c>
    </row>
    <row r="99" spans="5:55" customFormat="1" ht="14.5" x14ac:dyDescent="0.35">
      <c r="E99" t="str">
        <f>VariantAllowances!E10</f>
        <v>PCD_Flow Weighted Average Calorific Value Compliance (Cadent_all) / FWACV Compliance (Cadent_all)</v>
      </c>
      <c r="AT99" s="61"/>
      <c r="AU99" s="158">
        <f>SUMIFS(LicenseeSelect!AU$205:AU$456,LicenseeSelect!$E$205:$E$456,$E99)</f>
        <v>1</v>
      </c>
      <c r="AV99" s="45">
        <f>SUMIFS(LicenseeSelect!AV$205:AV$456,LicenseeSelect!$E$205:$E$456,$E99)</f>
        <v>1</v>
      </c>
      <c r="AW99" s="45">
        <f>SUMIFS(LicenseeSelect!AW$205:AW$456,LicenseeSelect!$E$205:$E$456,$E99)</f>
        <v>1</v>
      </c>
      <c r="AX99" s="45">
        <f>SUMIFS(LicenseeSelect!AX$205:AX$456,LicenseeSelect!$E$205:$E$456,$E99)</f>
        <v>1</v>
      </c>
      <c r="AY99" s="45">
        <f>SUMIFS(LicenseeSelect!AY$205:AY$456,LicenseeSelect!$E$205:$E$456,$E99)</f>
        <v>1</v>
      </c>
      <c r="BA99" s="27" t="b">
        <f>INDEX(LicenseeSelect!AV$153:AV$204,MATCH($E99,LicenseeSelect!$E$153:$E$204,0))</f>
        <v>1</v>
      </c>
      <c r="BB99" s="27">
        <f>INDEX(LicenseeSelect!AW$153:AW$204,MATCH($E99,LicenseeSelect!$E$153:$E$204,0))</f>
        <v>1</v>
      </c>
      <c r="BC99" s="12" t="b">
        <f t="shared" si="2"/>
        <v>0</v>
      </c>
    </row>
    <row r="100" spans="5:55" customFormat="1" ht="14.5" x14ac:dyDescent="0.35">
      <c r="E100" t="str">
        <f>VariantAllowances!E11</f>
        <v>PCD_Grays medium pressure (Cadent_Lon)</v>
      </c>
      <c r="AT100" s="61"/>
      <c r="AU100" s="158">
        <f>SUMIFS(LicenseeSelect!AU$205:AU$456,LicenseeSelect!$E$205:$E$456,$E100)</f>
        <v>1</v>
      </c>
      <c r="AV100" s="45">
        <f>SUMIFS(LicenseeSelect!AV$205:AV$456,LicenseeSelect!$E$205:$E$456,$E100)</f>
        <v>1</v>
      </c>
      <c r="AW100" s="45">
        <f>SUMIFS(LicenseeSelect!AW$205:AW$456,LicenseeSelect!$E$205:$E$456,$E100)</f>
        <v>1</v>
      </c>
      <c r="AX100" s="45">
        <f>SUMIFS(LicenseeSelect!AX$205:AX$456,LicenseeSelect!$E$205:$E$456,$E100)</f>
        <v>1</v>
      </c>
      <c r="AY100" s="45">
        <f>SUMIFS(LicenseeSelect!AY$205:AY$456,LicenseeSelect!$E$205:$E$456,$E100)</f>
        <v>1</v>
      </c>
      <c r="BA100" s="27" t="b">
        <f>INDEX(LicenseeSelect!AV$153:AV$204,MATCH($E100,LicenseeSelect!$E$153:$E$204,0))</f>
        <v>1</v>
      </c>
      <c r="BB100" s="27">
        <f>INDEX(LicenseeSelect!AW$153:AW$204,MATCH($E100,LicenseeSelect!$E$153:$E$204,0))</f>
        <v>1</v>
      </c>
      <c r="BC100" s="12" t="b">
        <f t="shared" si="2"/>
        <v>0</v>
      </c>
    </row>
    <row r="101" spans="5:55" customFormat="1" ht="14.5" x14ac:dyDescent="0.35">
      <c r="E101" t="str">
        <f>VariantAllowances!E12</f>
        <v>PCD_Welling PRS - Full Site Rebuild  (SGN_So) / Full site and system rebuilds PCD (SGN)</v>
      </c>
      <c r="AT101" s="61"/>
      <c r="AU101" s="158">
        <f>SUMIFS(LicenseeSelect!AU$205:AU$456,LicenseeSelect!$E$205:$E$456,$E101)</f>
        <v>1</v>
      </c>
      <c r="AV101" s="45">
        <f>SUMIFS(LicenseeSelect!AV$205:AV$456,LicenseeSelect!$E$205:$E$456,$E101)</f>
        <v>1</v>
      </c>
      <c r="AW101" s="45">
        <f>SUMIFS(LicenseeSelect!AW$205:AW$456,LicenseeSelect!$E$205:$E$456,$E101)</f>
        <v>1</v>
      </c>
      <c r="AX101" s="45">
        <f>SUMIFS(LicenseeSelect!AX$205:AX$456,LicenseeSelect!$E$205:$E$456,$E101)</f>
        <v>1</v>
      </c>
      <c r="AY101" s="45">
        <f>SUMIFS(LicenseeSelect!AY$205:AY$456,LicenseeSelect!$E$205:$E$456,$E101)</f>
        <v>1</v>
      </c>
      <c r="BA101" s="27" t="b">
        <f>INDEX(LicenseeSelect!AV$153:AV$204,MATCH($E101,LicenseeSelect!$E$153:$E$204,0))</f>
        <v>1</v>
      </c>
      <c r="BB101" s="27">
        <f>INDEX(LicenseeSelect!AW$153:AW$204,MATCH($E101,LicenseeSelect!$E$153:$E$204,0))</f>
        <v>1</v>
      </c>
      <c r="BC101" s="12" t="b">
        <f t="shared" si="2"/>
        <v>0</v>
      </c>
    </row>
    <row r="102" spans="5:55" customFormat="1" ht="14.5" x14ac:dyDescent="0.35">
      <c r="E102" t="str">
        <f>VariantAllowances!E13</f>
        <v>PCD_London Medium Pressure PCD (Cadent_Lon)</v>
      </c>
      <c r="AT102" s="61"/>
      <c r="AU102" s="158">
        <f>SUMIFS(LicenseeSelect!AU$205:AU$456,LicenseeSelect!$E$205:$E$456,$E102)</f>
        <v>0.99999999999999989</v>
      </c>
      <c r="AV102" s="45">
        <f>SUMIFS(LicenseeSelect!AV$205:AV$456,LicenseeSelect!$E$205:$E$456,$E102)</f>
        <v>0.99999999999999989</v>
      </c>
      <c r="AW102" s="45">
        <f>SUMIFS(LicenseeSelect!AW$205:AW$456,LicenseeSelect!$E$205:$E$456,$E102)</f>
        <v>0.99999999999999989</v>
      </c>
      <c r="AX102" s="45">
        <f>SUMIFS(LicenseeSelect!AX$205:AX$456,LicenseeSelect!$E$205:$E$456,$E102)</f>
        <v>0.99999999999999989</v>
      </c>
      <c r="AY102" s="45">
        <f>SUMIFS(LicenseeSelect!AY$205:AY$456,LicenseeSelect!$E$205:$E$456,$E102)</f>
        <v>0.99999999999999989</v>
      </c>
      <c r="BA102" s="27" t="b">
        <f>INDEX(LicenseeSelect!AV$153:AV$204,MATCH($E102,LicenseeSelect!$E$153:$E$204,0))</f>
        <v>1</v>
      </c>
      <c r="BB102" s="27">
        <f>INDEX(LicenseeSelect!AW$153:AW$204,MATCH($E102,LicenseeSelect!$E$153:$E$204,0))</f>
        <v>1</v>
      </c>
      <c r="BC102" s="12" t="b">
        <f t="shared" si="2"/>
        <v>0</v>
      </c>
    </row>
    <row r="103" spans="5:55" customFormat="1" ht="14.5" x14ac:dyDescent="0.35">
      <c r="E103" t="str">
        <f>VariantAllowances!E14</f>
        <v>PCD_Tier 1 Mains Decommissioned PCD</v>
      </c>
      <c r="AT103" s="61"/>
      <c r="AU103" s="158">
        <f>SUMIFS(LicenseeSelect!AU$205:AU$456,LicenseeSelect!$E$205:$E$456,$E103)</f>
        <v>1</v>
      </c>
      <c r="AV103" s="45">
        <f>SUMIFS(LicenseeSelect!AV$205:AV$456,LicenseeSelect!$E$205:$E$456,$E103)</f>
        <v>1</v>
      </c>
      <c r="AW103" s="45">
        <f>SUMIFS(LicenseeSelect!AW$205:AW$456,LicenseeSelect!$E$205:$E$456,$E103)</f>
        <v>1</v>
      </c>
      <c r="AX103" s="45">
        <f>SUMIFS(LicenseeSelect!AX$205:AX$456,LicenseeSelect!$E$205:$E$456,$E103)</f>
        <v>1</v>
      </c>
      <c r="AY103" s="45">
        <f>SUMIFS(LicenseeSelect!AY$205:AY$456,LicenseeSelect!$E$205:$E$456,$E103)</f>
        <v>1</v>
      </c>
      <c r="BA103" s="27" t="b">
        <f>INDEX(LicenseeSelect!AV$153:AV$204,MATCH($E103,LicenseeSelect!$E$153:$E$204,0))</f>
        <v>1</v>
      </c>
      <c r="BB103" s="27">
        <f>INDEX(LicenseeSelect!AW$153:AW$204,MATCH($E103,LicenseeSelect!$E$153:$E$204,0))</f>
        <v>1</v>
      </c>
      <c r="BC103" s="12" t="b">
        <f t="shared" si="2"/>
        <v>0</v>
      </c>
    </row>
    <row r="104" spans="5:55" customFormat="1" ht="14.5" x14ac:dyDescent="0.35">
      <c r="E104" t="str">
        <f>VariantAllowances!E15</f>
        <v>PCD_Tier 1 Services PCD / Tier 1 Services Repex PCD</v>
      </c>
      <c r="AT104" s="61"/>
      <c r="AU104" s="158">
        <f>SUMIFS(LicenseeSelect!AU$205:AU$456,LicenseeSelect!$E$205:$E$456,$E104)</f>
        <v>1</v>
      </c>
      <c r="AV104" s="45">
        <f>SUMIFS(LicenseeSelect!AV$205:AV$456,LicenseeSelect!$E$205:$E$456,$E104)</f>
        <v>1</v>
      </c>
      <c r="AW104" s="45">
        <f>SUMIFS(LicenseeSelect!AW$205:AW$456,LicenseeSelect!$E$205:$E$456,$E104)</f>
        <v>1</v>
      </c>
      <c r="AX104" s="45">
        <f>SUMIFS(LicenseeSelect!AX$205:AX$456,LicenseeSelect!$E$205:$E$456,$E104)</f>
        <v>1</v>
      </c>
      <c r="AY104" s="45">
        <f>SUMIFS(LicenseeSelect!AY$205:AY$456,LicenseeSelect!$E$205:$E$456,$E104)</f>
        <v>1</v>
      </c>
      <c r="BA104" s="27" t="b">
        <f>INDEX(LicenseeSelect!AV$153:AV$204,MATCH($E104,LicenseeSelect!$E$153:$E$204,0))</f>
        <v>1</v>
      </c>
      <c r="BB104" s="27">
        <f>INDEX(LicenseeSelect!AW$153:AW$204,MATCH($E104,LicenseeSelect!$E$153:$E$204,0))</f>
        <v>1</v>
      </c>
      <c r="BC104" s="12" t="b">
        <f t="shared" si="2"/>
        <v>0</v>
      </c>
    </row>
    <row r="105" spans="5:55" customFormat="1" ht="14.5" x14ac:dyDescent="0.35">
      <c r="E105" t="str">
        <f>VariantAllowances!E16</f>
        <v>PCD_Tinsley viaduct diversion (Cadent_EoE)</v>
      </c>
      <c r="AT105" s="61"/>
      <c r="AU105" s="158">
        <f>SUMIFS(LicenseeSelect!AU$205:AU$456,LicenseeSelect!$E$205:$E$456,$E105)</f>
        <v>1</v>
      </c>
      <c r="AV105" s="45">
        <f>SUMIFS(LicenseeSelect!AV$205:AV$456,LicenseeSelect!$E$205:$E$456,$E105)</f>
        <v>1</v>
      </c>
      <c r="AW105" s="45">
        <f>SUMIFS(LicenseeSelect!AW$205:AW$456,LicenseeSelect!$E$205:$E$456,$E105)</f>
        <v>1</v>
      </c>
      <c r="AX105" s="45">
        <f>SUMIFS(LicenseeSelect!AX$205:AX$456,LicenseeSelect!$E$205:$E$456,$E105)</f>
        <v>1</v>
      </c>
      <c r="AY105" s="45">
        <f>SUMIFS(LicenseeSelect!AY$205:AY$456,LicenseeSelect!$E$205:$E$456,$E105)</f>
        <v>1</v>
      </c>
      <c r="BA105" s="27" t="b">
        <f>INDEX(LicenseeSelect!AV$153:AV$204,MATCH($E105,LicenseeSelect!$E$153:$E$204,0))</f>
        <v>1</v>
      </c>
      <c r="BB105" s="27">
        <f>INDEX(LicenseeSelect!AW$153:AW$204,MATCH($E105,LicenseeSelect!$E$153:$E$204,0))</f>
        <v>1</v>
      </c>
      <c r="BC105" s="12" t="b">
        <f t="shared" si="2"/>
        <v>0</v>
      </c>
    </row>
    <row r="106" spans="5:55" customFormat="1" ht="14.5" x14ac:dyDescent="0.35">
      <c r="E106" t="str">
        <f>VariantAllowances!E17</f>
        <v>PCD_Iron Stubs / Tier 1 Stubs decommissioning PCD</v>
      </c>
      <c r="AT106" s="61"/>
      <c r="AU106" s="158">
        <f>SUMIFS(LicenseeSelect!AU$205:AU$456,LicenseeSelect!$E$205:$E$456,$E106)</f>
        <v>1</v>
      </c>
      <c r="AV106" s="45">
        <f>SUMIFS(LicenseeSelect!AV$205:AV$456,LicenseeSelect!$E$205:$E$456,$E106)</f>
        <v>1</v>
      </c>
      <c r="AW106" s="45">
        <f>SUMIFS(LicenseeSelect!AW$205:AW$456,LicenseeSelect!$E$205:$E$456,$E106)</f>
        <v>1</v>
      </c>
      <c r="AX106" s="45">
        <f>SUMIFS(LicenseeSelect!AX$205:AX$456,LicenseeSelect!$E$205:$E$456,$E106)</f>
        <v>1</v>
      </c>
      <c r="AY106" s="45">
        <f>SUMIFS(LicenseeSelect!AY$205:AY$456,LicenseeSelect!$E$205:$E$456,$E106)</f>
        <v>1</v>
      </c>
      <c r="BA106" s="27" t="b">
        <f>INDEX(LicenseeSelect!AV$153:AV$204,MATCH($E106,LicenseeSelect!$E$153:$E$204,0))</f>
        <v>1</v>
      </c>
      <c r="BB106" s="27">
        <f>INDEX(LicenseeSelect!AW$153:AW$204,MATCH($E106,LicenseeSelect!$E$153:$E$204,0))</f>
        <v>1</v>
      </c>
      <c r="BC106" s="12" t="b">
        <f t="shared" si="2"/>
        <v>0</v>
      </c>
    </row>
    <row r="107" spans="5:55" customFormat="1" ht="14.5" x14ac:dyDescent="0.35">
      <c r="E107" t="str">
        <f>VariantAllowances!E18</f>
        <v>PCD_Full Site and System Rebuilds (SGN_all)</v>
      </c>
      <c r="AT107" s="61"/>
      <c r="AU107" s="158">
        <f>SUMIFS(LicenseeSelect!AU$205:AU$456,LicenseeSelect!$E$205:$E$456,$E107)</f>
        <v>1</v>
      </c>
      <c r="AV107" s="45">
        <f>SUMIFS(LicenseeSelect!AV$205:AV$456,LicenseeSelect!$E$205:$E$456,$E107)</f>
        <v>1</v>
      </c>
      <c r="AW107" s="45">
        <f>SUMIFS(LicenseeSelect!AW$205:AW$456,LicenseeSelect!$E$205:$E$456,$E107)</f>
        <v>1</v>
      </c>
      <c r="AX107" s="45">
        <f>SUMIFS(LicenseeSelect!AX$205:AX$456,LicenseeSelect!$E$205:$E$456,$E107)</f>
        <v>1</v>
      </c>
      <c r="AY107" s="45">
        <f>SUMIFS(LicenseeSelect!AY$205:AY$456,LicenseeSelect!$E$205:$E$456,$E107)</f>
        <v>1</v>
      </c>
      <c r="BA107" s="27" t="b">
        <f>INDEX(LicenseeSelect!AV$153:AV$204,MATCH($E107,LicenseeSelect!$E$153:$E$204,0))</f>
        <v>1</v>
      </c>
      <c r="BB107" s="27">
        <f>INDEX(LicenseeSelect!AW$153:AW$204,MATCH($E107,LicenseeSelect!$E$153:$E$204,0))</f>
        <v>1</v>
      </c>
      <c r="BC107" s="12" t="b">
        <f t="shared" si="2"/>
        <v>0</v>
      </c>
    </row>
    <row r="108" spans="5:55" customFormat="1" ht="14.5" x14ac:dyDescent="0.35">
      <c r="E108" t="str">
        <f>VariantAllowances!E19</f>
        <v>PCD_Glenmavis (Offtake) (SGN_Sc) / Full site and system rebuilds PCD (SGN)</v>
      </c>
      <c r="AT108" s="61"/>
      <c r="AU108" s="158">
        <f>SUMIFS(LicenseeSelect!AU$205:AU$456,LicenseeSelect!$E$205:$E$456,$E108)</f>
        <v>1</v>
      </c>
      <c r="AV108" s="45">
        <f>SUMIFS(LicenseeSelect!AV$205:AV$456,LicenseeSelect!$E$205:$E$456,$E108)</f>
        <v>1</v>
      </c>
      <c r="AW108" s="45">
        <f>SUMIFS(LicenseeSelect!AW$205:AW$456,LicenseeSelect!$E$205:$E$456,$E108)</f>
        <v>1</v>
      </c>
      <c r="AX108" s="45">
        <f>SUMIFS(LicenseeSelect!AX$205:AX$456,LicenseeSelect!$E$205:$E$456,$E108)</f>
        <v>1</v>
      </c>
      <c r="AY108" s="45">
        <f>SUMIFS(LicenseeSelect!AY$205:AY$456,LicenseeSelect!$E$205:$E$456,$E108)</f>
        <v>1</v>
      </c>
      <c r="BA108" s="27" t="b">
        <f>INDEX(LicenseeSelect!AV$153:AV$204,MATCH($E108,LicenseeSelect!$E$153:$E$204,0))</f>
        <v>1</v>
      </c>
      <c r="BB108" s="27">
        <f>INDEX(LicenseeSelect!AW$153:AW$204,MATCH($E108,LicenseeSelect!$E$153:$E$204,0))</f>
        <v>1</v>
      </c>
      <c r="BC108" s="12" t="b">
        <f t="shared" si="2"/>
        <v>0</v>
      </c>
    </row>
    <row r="109" spans="5:55" customFormat="1" ht="14.5" x14ac:dyDescent="0.35">
      <c r="E109" t="str">
        <f>VariantAllowances!E20</f>
        <v>PCD_Isle of Grain (SGN_So) / Full site and system rebuilds PCD (SGN)</v>
      </c>
      <c r="AT109" s="61"/>
      <c r="AU109" s="158">
        <f>SUMIFS(LicenseeSelect!AU$205:AU$456,LicenseeSelect!$E$205:$E$456,$E109)</f>
        <v>1</v>
      </c>
      <c r="AV109" s="45">
        <f>SUMIFS(LicenseeSelect!AV$205:AV$456,LicenseeSelect!$E$205:$E$456,$E109)</f>
        <v>1</v>
      </c>
      <c r="AW109" s="45">
        <f>SUMIFS(LicenseeSelect!AW$205:AW$456,LicenseeSelect!$E$205:$E$456,$E109)</f>
        <v>1</v>
      </c>
      <c r="AX109" s="45">
        <f>SUMIFS(LicenseeSelect!AX$205:AX$456,LicenseeSelect!$E$205:$E$456,$E109)</f>
        <v>1</v>
      </c>
      <c r="AY109" s="45">
        <f>SUMIFS(LicenseeSelect!AY$205:AY$456,LicenseeSelect!$E$205:$E$456,$E109)</f>
        <v>1</v>
      </c>
      <c r="BA109" s="27" t="b">
        <f>INDEX(LicenseeSelect!AV$153:AV$204,MATCH($E109,LicenseeSelect!$E$153:$E$204,0))</f>
        <v>1</v>
      </c>
      <c r="BB109" s="27">
        <f>INDEX(LicenseeSelect!AW$153:AW$204,MATCH($E109,LicenseeSelect!$E$153:$E$204,0))</f>
        <v>1</v>
      </c>
      <c r="BC109" s="12" t="b">
        <f t="shared" si="2"/>
        <v>0</v>
      </c>
    </row>
    <row r="110" spans="5:55" customFormat="1" ht="14.5" x14ac:dyDescent="0.35">
      <c r="E110" t="str">
        <f>VariantAllowances!E21</f>
        <v>PCD_EVs  / Operational Transport Emissions Reduction PCD</v>
      </c>
      <c r="AT110" s="61"/>
      <c r="AU110" s="158">
        <f>SUMIFS(LicenseeSelect!AU$205:AU$456,LicenseeSelect!$E$205:$E$456,$E110)</f>
        <v>1</v>
      </c>
      <c r="AV110" s="45">
        <f>SUMIFS(LicenseeSelect!AV$205:AV$456,LicenseeSelect!$E$205:$E$456,$E110)</f>
        <v>1</v>
      </c>
      <c r="AW110" s="45">
        <f>SUMIFS(LicenseeSelect!AW$205:AW$456,LicenseeSelect!$E$205:$E$456,$E110)</f>
        <v>1</v>
      </c>
      <c r="AX110" s="45">
        <f>SUMIFS(LicenseeSelect!AX$205:AX$456,LicenseeSelect!$E$205:$E$456,$E110)</f>
        <v>1</v>
      </c>
      <c r="AY110" s="45">
        <f>SUMIFS(LicenseeSelect!AY$205:AY$456,LicenseeSelect!$E$205:$E$456,$E110)</f>
        <v>1</v>
      </c>
      <c r="BA110" s="27" t="b">
        <f>INDEX(LicenseeSelect!AV$153:AV$204,MATCH($E110,LicenseeSelect!$E$153:$E$204,0))</f>
        <v>1</v>
      </c>
      <c r="BB110" s="27">
        <f>INDEX(LicenseeSelect!AW$153:AW$204,MATCH($E110,LicenseeSelect!$E$153:$E$204,0))</f>
        <v>1</v>
      </c>
      <c r="BC110" s="12" t="b">
        <f t="shared" si="2"/>
        <v>0</v>
      </c>
    </row>
    <row r="111" spans="5:55" customFormat="1" ht="14.5" x14ac:dyDescent="0.35">
      <c r="E111" t="str">
        <f>VariantAllowances!E22</f>
        <v>PCD_South London Mains (SGN_So)</v>
      </c>
      <c r="AT111" s="61"/>
      <c r="AU111" s="158">
        <f>SUMIFS(LicenseeSelect!AU$205:AU$456,LicenseeSelect!$E$205:$E$456,$E111)</f>
        <v>1</v>
      </c>
      <c r="AV111" s="45">
        <f>SUMIFS(LicenseeSelect!AV$205:AV$456,LicenseeSelect!$E$205:$E$456,$E111)</f>
        <v>1</v>
      </c>
      <c r="AW111" s="45">
        <f>SUMIFS(LicenseeSelect!AW$205:AW$456,LicenseeSelect!$E$205:$E$456,$E111)</f>
        <v>1</v>
      </c>
      <c r="AX111" s="45">
        <f>SUMIFS(LicenseeSelect!AX$205:AX$456,LicenseeSelect!$E$205:$E$456,$E111)</f>
        <v>1</v>
      </c>
      <c r="AY111" s="45">
        <f>SUMIFS(LicenseeSelect!AY$205:AY$456,LicenseeSelect!$E$205:$E$456,$E111)</f>
        <v>1</v>
      </c>
      <c r="BA111" s="27" t="b">
        <f>INDEX(LicenseeSelect!AV$153:AV$204,MATCH($E111,LicenseeSelect!$E$153:$E$204,0))</f>
        <v>1</v>
      </c>
      <c r="BB111" s="27">
        <f>INDEX(LicenseeSelect!AW$153:AW$204,MATCH($E111,LicenseeSelect!$E$153:$E$204,0))</f>
        <v>1</v>
      </c>
      <c r="BC111" s="12" t="b">
        <f t="shared" si="2"/>
        <v>0</v>
      </c>
    </row>
    <row r="112" spans="5:55" customFormat="1" ht="14.5" x14ac:dyDescent="0.35">
      <c r="E112" t="str">
        <f>VariantAllowances!E23</f>
        <v>PCD_WWU.7 - HS007 (WWU_WWU) / Pipeline Replacements PCD (WWU)</v>
      </c>
      <c r="AT112" s="61"/>
      <c r="AU112" s="158">
        <f>SUMIFS(LicenseeSelect!AU$205:AU$456,LicenseeSelect!$E$205:$E$456,$E112)</f>
        <v>1</v>
      </c>
      <c r="AV112" s="45">
        <f>SUMIFS(LicenseeSelect!AV$205:AV$456,LicenseeSelect!$E$205:$E$456,$E112)</f>
        <v>1</v>
      </c>
      <c r="AW112" s="45">
        <f>SUMIFS(LicenseeSelect!AW$205:AW$456,LicenseeSelect!$E$205:$E$456,$E112)</f>
        <v>1</v>
      </c>
      <c r="AX112" s="45">
        <f>SUMIFS(LicenseeSelect!AX$205:AX$456,LicenseeSelect!$E$205:$E$456,$E112)</f>
        <v>1</v>
      </c>
      <c r="AY112" s="45">
        <f>SUMIFS(LicenseeSelect!AY$205:AY$456,LicenseeSelect!$E$205:$E$456,$E112)</f>
        <v>1</v>
      </c>
      <c r="BA112" s="27" t="b">
        <f>INDEX(LicenseeSelect!AV$153:AV$204,MATCH($E112,LicenseeSelect!$E$153:$E$204,0))</f>
        <v>1</v>
      </c>
      <c r="BB112" s="27">
        <f>INDEX(LicenseeSelect!AW$153:AW$204,MATCH($E112,LicenseeSelect!$E$153:$E$204,0))</f>
        <v>1</v>
      </c>
      <c r="BC112" s="12" t="b">
        <f t="shared" si="2"/>
        <v>0</v>
      </c>
    </row>
    <row r="113" spans="5:55" customFormat="1" ht="14.5" x14ac:dyDescent="0.35">
      <c r="E113" t="str">
        <f>VariantAllowances!E24</f>
        <v>PCD_WWU.9 - HS009 (WWU_WWU) / Pipeline Replacements PCD (WWU)</v>
      </c>
      <c r="AT113" s="61"/>
      <c r="AU113" s="158">
        <f>SUMIFS(LicenseeSelect!AU$205:AU$456,LicenseeSelect!$E$205:$E$456,$E113)</f>
        <v>1</v>
      </c>
      <c r="AV113" s="45">
        <f>SUMIFS(LicenseeSelect!AV$205:AV$456,LicenseeSelect!$E$205:$E$456,$E113)</f>
        <v>1</v>
      </c>
      <c r="AW113" s="45">
        <f>SUMIFS(LicenseeSelect!AW$205:AW$456,LicenseeSelect!$E$205:$E$456,$E113)</f>
        <v>1</v>
      </c>
      <c r="AX113" s="45">
        <f>SUMIFS(LicenseeSelect!AX$205:AX$456,LicenseeSelect!$E$205:$E$456,$E113)</f>
        <v>1</v>
      </c>
      <c r="AY113" s="45">
        <f>SUMIFS(LicenseeSelect!AY$205:AY$456,LicenseeSelect!$E$205:$E$456,$E113)</f>
        <v>1</v>
      </c>
      <c r="BA113" s="27" t="b">
        <f>INDEX(LicenseeSelect!AV$153:AV$204,MATCH($E113,LicenseeSelect!$E$153:$E$204,0))</f>
        <v>1</v>
      </c>
      <c r="BB113" s="27">
        <f>INDEX(LicenseeSelect!AW$153:AW$204,MATCH($E113,LicenseeSelect!$E$153:$E$204,0))</f>
        <v>1</v>
      </c>
      <c r="BC113" s="12" t="b">
        <f t="shared" si="2"/>
        <v>0</v>
      </c>
    </row>
    <row r="114" spans="5:55" customFormat="1" ht="14.5" x14ac:dyDescent="0.35">
      <c r="E114" t="str">
        <f>VariantAllowances!E25</f>
        <v>PCD_WWU.9 - HS010 (WWU_WWU) / Pipeline Replacements PCD (WWU)</v>
      </c>
      <c r="AT114" s="61"/>
      <c r="AU114" s="158">
        <f>SUMIFS(LicenseeSelect!AU$205:AU$456,LicenseeSelect!$E$205:$E$456,$E114)</f>
        <v>1</v>
      </c>
      <c r="AV114" s="45">
        <f>SUMIFS(LicenseeSelect!AV$205:AV$456,LicenseeSelect!$E$205:$E$456,$E114)</f>
        <v>1</v>
      </c>
      <c r="AW114" s="45">
        <f>SUMIFS(LicenseeSelect!AW$205:AW$456,LicenseeSelect!$E$205:$E$456,$E114)</f>
        <v>1</v>
      </c>
      <c r="AX114" s="45">
        <f>SUMIFS(LicenseeSelect!AX$205:AX$456,LicenseeSelect!$E$205:$E$456,$E114)</f>
        <v>1</v>
      </c>
      <c r="AY114" s="45">
        <f>SUMIFS(LicenseeSelect!AY$205:AY$456,LicenseeSelect!$E$205:$E$456,$E114)</f>
        <v>1</v>
      </c>
      <c r="BA114" s="27" t="b">
        <f>INDEX(LicenseeSelect!AV$153:AV$204,MATCH($E114,LicenseeSelect!$E$153:$E$204,0))</f>
        <v>1</v>
      </c>
      <c r="BB114" s="27">
        <f>INDEX(LicenseeSelect!AW$153:AW$204,MATCH($E114,LicenseeSelect!$E$153:$E$204,0))</f>
        <v>1</v>
      </c>
      <c r="BC114" s="12" t="b">
        <f t="shared" si="2"/>
        <v>0</v>
      </c>
    </row>
    <row r="115" spans="5:55" customFormat="1" ht="14.5" x14ac:dyDescent="0.35">
      <c r="E115" t="str">
        <f>VariantAllowances!E26</f>
        <v>PCD_Mandated Category 3 Security (Cadent_all)</v>
      </c>
      <c r="AT115" s="61"/>
      <c r="AU115" s="158">
        <f>SUMIFS(LicenseeSelect!AU$205:AU$456,LicenseeSelect!$E$205:$E$456,$E115)</f>
        <v>1</v>
      </c>
      <c r="AV115" s="45">
        <f>SUMIFS(LicenseeSelect!AV$205:AV$456,LicenseeSelect!$E$205:$E$456,$E115)</f>
        <v>1</v>
      </c>
      <c r="AW115" s="45">
        <f>SUMIFS(LicenseeSelect!AW$205:AW$456,LicenseeSelect!$E$205:$E$456,$E115)</f>
        <v>1</v>
      </c>
      <c r="AX115" s="45">
        <f>SUMIFS(LicenseeSelect!AX$205:AX$456,LicenseeSelect!$E$205:$E$456,$E115)</f>
        <v>1</v>
      </c>
      <c r="AY115" s="45">
        <f>SUMIFS(LicenseeSelect!AY$205:AY$456,LicenseeSelect!$E$205:$E$456,$E115)</f>
        <v>1</v>
      </c>
      <c r="BA115" s="27" t="b">
        <f>INDEX(LicenseeSelect!AV$153:AV$204,MATCH($E115,LicenseeSelect!$E$153:$E$204,0))</f>
        <v>1</v>
      </c>
      <c r="BB115" s="27">
        <f>INDEX(LicenseeSelect!AW$153:AW$204,MATCH($E115,LicenseeSelect!$E$153:$E$204,0))</f>
        <v>1</v>
      </c>
      <c r="BC115" s="12" t="b">
        <f t="shared" si="2"/>
        <v>0</v>
      </c>
    </row>
    <row r="116" spans="5:55" customFormat="1" ht="14.5" x14ac:dyDescent="0.35">
      <c r="E116" t="str">
        <f>VariantAllowances!E27</f>
        <v>VD_GSIUR Disconnections Volume Driver</v>
      </c>
      <c r="AT116" s="61"/>
      <c r="AU116" s="158">
        <f>SUMIFS(LicenseeSelect!AU$205:AU$456,LicenseeSelect!$E$205:$E$456,$E116)</f>
        <v>1</v>
      </c>
      <c r="AV116" s="45">
        <f>SUMIFS(LicenseeSelect!AV$205:AV$456,LicenseeSelect!$E$205:$E$456,$E116)</f>
        <v>1</v>
      </c>
      <c r="AW116" s="45">
        <f>SUMIFS(LicenseeSelect!AW$205:AW$456,LicenseeSelect!$E$205:$E$456,$E116)</f>
        <v>1</v>
      </c>
      <c r="AX116" s="45">
        <f>SUMIFS(LicenseeSelect!AX$205:AX$456,LicenseeSelect!$E$205:$E$456,$E116)</f>
        <v>1</v>
      </c>
      <c r="AY116" s="45">
        <f>SUMIFS(LicenseeSelect!AY$205:AY$456,LicenseeSelect!$E$205:$E$456,$E116)</f>
        <v>1</v>
      </c>
      <c r="BA116" s="27" t="b">
        <f>INDEX(LicenseeSelect!AV$153:AV$204,MATCH($E116,LicenseeSelect!$E$153:$E$204,0))</f>
        <v>0</v>
      </c>
      <c r="BB116" s="27">
        <f>INDEX(LicenseeSelect!AW$153:AW$204,MATCH($E116,LicenseeSelect!$E$153:$E$204,0))</f>
        <v>1</v>
      </c>
      <c r="BC116" s="12" t="b">
        <f t="shared" si="2"/>
        <v>0</v>
      </c>
    </row>
    <row r="117" spans="5:55" customFormat="1" ht="14.5" x14ac:dyDescent="0.35">
      <c r="E117" t="str">
        <f>VariantAllowances!E28</f>
        <v>VD_[spare slot]</v>
      </c>
      <c r="AT117" s="61"/>
      <c r="AU117" s="158">
        <f>SUMIFS(LicenseeSelect!AU$205:AU$456,LicenseeSelect!$E$205:$E$456,$E117)</f>
        <v>0</v>
      </c>
      <c r="AV117" s="45">
        <f>SUMIFS(LicenseeSelect!AV$205:AV$456,LicenseeSelect!$E$205:$E$456,$E117)</f>
        <v>0</v>
      </c>
      <c r="AW117" s="45">
        <f>SUMIFS(LicenseeSelect!AW$205:AW$456,LicenseeSelect!$E$205:$E$456,$E117)</f>
        <v>0</v>
      </c>
      <c r="AX117" s="45">
        <f>SUMIFS(LicenseeSelect!AX$205:AX$456,LicenseeSelect!$E$205:$E$456,$E117)</f>
        <v>0</v>
      </c>
      <c r="AY117" s="45">
        <f>SUMIFS(LicenseeSelect!AY$205:AY$456,LicenseeSelect!$E$205:$E$456,$E117)</f>
        <v>0</v>
      </c>
      <c r="BA117" s="27" t="b">
        <f>INDEX(LicenseeSelect!AV$153:AV$204,MATCH($E117,LicenseeSelect!$E$153:$E$204,0))</f>
        <v>1</v>
      </c>
      <c r="BB117" s="27">
        <f>INDEX(LicenseeSelect!AW$153:AW$204,MATCH($E117,LicenseeSelect!$E$153:$E$204,0))</f>
        <v>1</v>
      </c>
      <c r="BC117" s="12" t="b">
        <f t="shared" si="2"/>
        <v>0</v>
      </c>
    </row>
    <row r="118" spans="5:55" customFormat="1" ht="14.5" x14ac:dyDescent="0.35">
      <c r="E118" t="str">
        <f>VariantAllowances!E29</f>
        <v>VD_Tier 2A Mains and Services Replacement Volume Driver</v>
      </c>
      <c r="AT118" s="61"/>
      <c r="AU118" s="158">
        <f>SUMIFS(LicenseeSelect!AU$205:AU$456,LicenseeSelect!$E$205:$E$456,$E118)</f>
        <v>1</v>
      </c>
      <c r="AV118" s="45">
        <f>SUMIFS(LicenseeSelect!AV$205:AV$456,LicenseeSelect!$E$205:$E$456,$E118)</f>
        <v>1</v>
      </c>
      <c r="AW118" s="45">
        <f>SUMIFS(LicenseeSelect!AW$205:AW$456,LicenseeSelect!$E$205:$E$456,$E118)</f>
        <v>1</v>
      </c>
      <c r="AX118" s="45">
        <f>SUMIFS(LicenseeSelect!AX$205:AX$456,LicenseeSelect!$E$205:$E$456,$E118)</f>
        <v>1</v>
      </c>
      <c r="AY118" s="45">
        <f>SUMIFS(LicenseeSelect!AY$205:AY$456,LicenseeSelect!$E$205:$E$456,$E118)</f>
        <v>1</v>
      </c>
      <c r="BA118" s="27" t="b">
        <f>INDEX(LicenseeSelect!AV$153:AV$204,MATCH($E118,LicenseeSelect!$E$153:$E$204,0))</f>
        <v>0</v>
      </c>
      <c r="BB118" s="27">
        <f>INDEX(LicenseeSelect!AW$153:AW$204,MATCH($E118,LicenseeSelect!$E$153:$E$204,0))</f>
        <v>1</v>
      </c>
      <c r="BC118" s="12" t="b">
        <f t="shared" si="2"/>
        <v>0</v>
      </c>
    </row>
    <row r="119" spans="5:55" customFormat="1" ht="14.5" x14ac:dyDescent="0.35">
      <c r="E119" t="str">
        <f>VariantAllowances!E30</f>
        <v>UIOLI_Net Zero and Re-opener Development Fund / Decarbonisation Project Development Fund UIOLI</v>
      </c>
      <c r="AT119" s="61"/>
      <c r="AU119" s="158">
        <f>SUMIFS(LicenseeSelect!AU$205:AU$456,LicenseeSelect!$E$205:$E$456,$E119)</f>
        <v>1</v>
      </c>
      <c r="AV119" s="45">
        <f>SUMIFS(LicenseeSelect!AV$205:AV$456,LicenseeSelect!$E$205:$E$456,$E119)</f>
        <v>1</v>
      </c>
      <c r="AW119" s="45">
        <f>SUMIFS(LicenseeSelect!AW$205:AW$456,LicenseeSelect!$E$205:$E$456,$E119)</f>
        <v>1</v>
      </c>
      <c r="AX119" s="45">
        <f>SUMIFS(LicenseeSelect!AX$205:AX$456,LicenseeSelect!$E$205:$E$456,$E119)</f>
        <v>1</v>
      </c>
      <c r="AY119" s="45">
        <f>SUMIFS(LicenseeSelect!AY$205:AY$456,LicenseeSelect!$E$205:$E$456,$E119)</f>
        <v>1</v>
      </c>
      <c r="BA119" s="27" t="b">
        <f>INDEX(LicenseeSelect!AV$153:AV$204,MATCH($E119,LicenseeSelect!$E$153:$E$204,0))</f>
        <v>0</v>
      </c>
      <c r="BB119" s="27">
        <f>INDEX(LicenseeSelect!AW$153:AW$204,MATCH($E119,LicenseeSelect!$E$153:$E$204,0))</f>
        <v>2</v>
      </c>
      <c r="BC119" s="12" t="b">
        <f t="shared" si="2"/>
        <v>0</v>
      </c>
    </row>
    <row r="120" spans="5:55" customFormat="1" ht="14.5" x14ac:dyDescent="0.35">
      <c r="E120" t="str">
        <f>VariantAllowances!E31</f>
        <v>UIOLI_Cyber Resilience_NGN</v>
      </c>
      <c r="AT120" s="61"/>
      <c r="AU120" s="158">
        <f>SUMIFS(LicenseeSelect!AU$205:AU$456,LicenseeSelect!$E$205:$E$456,$E120)</f>
        <v>1</v>
      </c>
      <c r="AV120" s="45">
        <f>SUMIFS(LicenseeSelect!AV$205:AV$456,LicenseeSelect!$E$205:$E$456,$E120)</f>
        <v>1</v>
      </c>
      <c r="AW120" s="45">
        <f>SUMIFS(LicenseeSelect!AW$205:AW$456,LicenseeSelect!$E$205:$E$456,$E120)</f>
        <v>1</v>
      </c>
      <c r="AX120" s="45">
        <f>SUMIFS(LicenseeSelect!AX$205:AX$456,LicenseeSelect!$E$205:$E$456,$E120)</f>
        <v>1</v>
      </c>
      <c r="AY120" s="45">
        <f>SUMIFS(LicenseeSelect!AY$205:AY$456,LicenseeSelect!$E$205:$E$456,$E120)</f>
        <v>1</v>
      </c>
      <c r="BA120" s="27" t="b">
        <f>INDEX(LicenseeSelect!AV$153:AV$204,MATCH($E120,LicenseeSelect!$E$153:$E$204,0))</f>
        <v>0</v>
      </c>
      <c r="BB120" s="27">
        <f>INDEX(LicenseeSelect!AW$153:AW$204,MATCH($E120,LicenseeSelect!$E$153:$E$204,0))</f>
        <v>2</v>
      </c>
      <c r="BC120" s="12" t="b">
        <f t="shared" si="2"/>
        <v>0</v>
      </c>
    </row>
    <row r="121" spans="5:55" customFormat="1" ht="14.5" x14ac:dyDescent="0.35">
      <c r="E121" t="str">
        <f>VariantAllowances!E32</f>
        <v>UIOLI_Cyber Resilience_All except NGN and WWU</v>
      </c>
      <c r="AT121" s="61"/>
      <c r="AU121" s="158">
        <f>SUMIFS(LicenseeSelect!AU$205:AU$456,LicenseeSelect!$E$205:$E$456,$E121)</f>
        <v>1</v>
      </c>
      <c r="AV121" s="45">
        <f>SUMIFS(LicenseeSelect!AV$205:AV$456,LicenseeSelect!$E$205:$E$456,$E121)</f>
        <v>1</v>
      </c>
      <c r="AW121" s="45">
        <f>SUMIFS(LicenseeSelect!AW$205:AW$456,LicenseeSelect!$E$205:$E$456,$E121)</f>
        <v>1</v>
      </c>
      <c r="AX121" s="45">
        <f>SUMIFS(LicenseeSelect!AX$205:AX$456,LicenseeSelect!$E$205:$E$456,$E121)</f>
        <v>1</v>
      </c>
      <c r="AY121" s="45">
        <f>SUMIFS(LicenseeSelect!AY$205:AY$456,LicenseeSelect!$E$205:$E$456,$E121)</f>
        <v>1</v>
      </c>
      <c r="BA121" s="27" t="b">
        <f>INDEX(LicenseeSelect!AV$153:AV$204,MATCH($E121,LicenseeSelect!$E$153:$E$204,0))</f>
        <v>0</v>
      </c>
      <c r="BB121" s="27">
        <f>INDEX(LicenseeSelect!AW$153:AW$204,MATCH($E121,LicenseeSelect!$E$153:$E$204,0))</f>
        <v>2</v>
      </c>
      <c r="BC121" s="12" t="b">
        <f t="shared" si="2"/>
        <v>0</v>
      </c>
    </row>
    <row r="122" spans="5:55" customFormat="1" ht="14.5" x14ac:dyDescent="0.35">
      <c r="E122" t="str">
        <f>VariantAllowances!E33</f>
        <v>UIOLI_Biomethane connections / Biomethane Distributed Entry Reinforcement</v>
      </c>
      <c r="AT122" s="61"/>
      <c r="AU122" s="158">
        <f>SUMIFS(LicenseeSelect!AU$205:AU$456,LicenseeSelect!$E$205:$E$456,$E122)</f>
        <v>1</v>
      </c>
      <c r="AV122" s="45">
        <f>SUMIFS(LicenseeSelect!AV$205:AV$456,LicenseeSelect!$E$205:$E$456,$E122)</f>
        <v>1</v>
      </c>
      <c r="AW122" s="45">
        <f>SUMIFS(LicenseeSelect!AW$205:AW$456,LicenseeSelect!$E$205:$E$456,$E122)</f>
        <v>1</v>
      </c>
      <c r="AX122" s="45">
        <f>SUMIFS(LicenseeSelect!AX$205:AX$456,LicenseeSelect!$E$205:$E$456,$E122)</f>
        <v>1</v>
      </c>
      <c r="AY122" s="45">
        <f>SUMIFS(LicenseeSelect!AY$205:AY$456,LicenseeSelect!$E$205:$E$456,$E122)</f>
        <v>1</v>
      </c>
      <c r="BA122" s="27" t="b">
        <f>INDEX(LicenseeSelect!AV$153:AV$204,MATCH($E122,LicenseeSelect!$E$153:$E$204,0))</f>
        <v>0</v>
      </c>
      <c r="BB122" s="27">
        <f>INDEX(LicenseeSelect!AW$153:AW$204,MATCH($E122,LicenseeSelect!$E$153:$E$204,0))</f>
        <v>2</v>
      </c>
      <c r="BC122" s="12" t="b">
        <f t="shared" ref="BC122:BC146" si="3">AND(SUM(AU122:AY122)&lt;&gt;0,OR(BA122="",BB122=""))</f>
        <v>0</v>
      </c>
    </row>
    <row r="123" spans="5:55" customFormat="1" ht="14.5" x14ac:dyDescent="0.35">
      <c r="E123" t="str">
        <f>VariantAllowances!E34</f>
        <v>Re-opener_Climate change resilience work</v>
      </c>
      <c r="AT123" s="61"/>
      <c r="AU123" s="158">
        <f>SUMIFS(LicenseeSelect!AU$205:AU$456,LicenseeSelect!$E$205:$E$456,$E123)</f>
        <v>0</v>
      </c>
      <c r="AV123" s="45">
        <f>SUMIFS(LicenseeSelect!AV$205:AV$456,LicenseeSelect!$E$205:$E$456,$E123)</f>
        <v>0</v>
      </c>
      <c r="AW123" s="45">
        <f>SUMIFS(LicenseeSelect!AW$205:AW$456,LicenseeSelect!$E$205:$E$456,$E123)</f>
        <v>0</v>
      </c>
      <c r="AX123" s="45">
        <f>SUMIFS(LicenseeSelect!AX$205:AX$456,LicenseeSelect!$E$205:$E$456,$E123)</f>
        <v>0</v>
      </c>
      <c r="AY123" s="45">
        <f>SUMIFS(LicenseeSelect!AY$205:AY$456,LicenseeSelect!$E$205:$E$456,$E123)</f>
        <v>0</v>
      </c>
      <c r="BA123" s="27" t="b">
        <f>INDEX(LicenseeSelect!AV$153:AV$204,MATCH($E123,LicenseeSelect!$E$153:$E$204,0))</f>
        <v>0</v>
      </c>
      <c r="BB123" s="27">
        <f>INDEX(LicenseeSelect!AW$153:AW$204,MATCH($E123,LicenseeSelect!$E$153:$E$204,0))</f>
        <v>2</v>
      </c>
      <c r="BC123" s="12" t="b">
        <f t="shared" si="3"/>
        <v>0</v>
      </c>
    </row>
    <row r="124" spans="5:55" customFormat="1" ht="14.5" x14ac:dyDescent="0.35">
      <c r="E124" t="str">
        <f>VariantAllowances!E35</f>
        <v>Re-opener_Coordinated Adjustment Mechanism Re-opener</v>
      </c>
      <c r="AT124" s="61"/>
      <c r="AU124" s="158">
        <f>SUMIFS(LicenseeSelect!AU$205:AU$456,LicenseeSelect!$E$205:$E$456,$E124)</f>
        <v>0</v>
      </c>
      <c r="AV124" s="45">
        <f>SUMIFS(LicenseeSelect!AV$205:AV$456,LicenseeSelect!$E$205:$E$456,$E124)</f>
        <v>0</v>
      </c>
      <c r="AW124" s="45">
        <f>SUMIFS(LicenseeSelect!AW$205:AW$456,LicenseeSelect!$E$205:$E$456,$E124)</f>
        <v>0</v>
      </c>
      <c r="AX124" s="45">
        <f>SUMIFS(LicenseeSelect!AX$205:AX$456,LicenseeSelect!$E$205:$E$456,$E124)</f>
        <v>0</v>
      </c>
      <c r="AY124" s="45">
        <f>SUMIFS(LicenseeSelect!AY$205:AY$456,LicenseeSelect!$E$205:$E$456,$E124)</f>
        <v>0</v>
      </c>
      <c r="BA124" s="27" t="b">
        <f>INDEX(LicenseeSelect!AV$153:AV$204,MATCH($E124,LicenseeSelect!$E$153:$E$204,0))</f>
        <v>0</v>
      </c>
      <c r="BB124" s="27">
        <f>INDEX(LicenseeSelect!AW$153:AW$204,MATCH($E124,LicenseeSelect!$E$153:$E$204,0))</f>
        <v>2</v>
      </c>
      <c r="BC124" s="12" t="b">
        <f t="shared" si="3"/>
        <v>0</v>
      </c>
    </row>
    <row r="125" spans="5:55" customFormat="1" ht="14.5" x14ac:dyDescent="0.35">
      <c r="E125" t="str">
        <f>VariantAllowances!E36</f>
        <v>Re-opener_Cyber re-opener (Cadent_EoE) / Cyber resilience Re-Opener</v>
      </c>
      <c r="AT125" s="61"/>
      <c r="AU125" s="158">
        <f>SUMIFS(LicenseeSelect!AU$205:AU$456,LicenseeSelect!$E$205:$E$456,$E125)</f>
        <v>1</v>
      </c>
      <c r="AV125" s="45">
        <f>SUMIFS(LicenseeSelect!AV$205:AV$456,LicenseeSelect!$E$205:$E$456,$E125)</f>
        <v>1</v>
      </c>
      <c r="AW125" s="45">
        <f>SUMIFS(LicenseeSelect!AW$205:AW$456,LicenseeSelect!$E$205:$E$456,$E125)</f>
        <v>1</v>
      </c>
      <c r="AX125" s="45">
        <f>SUMIFS(LicenseeSelect!AX$205:AX$456,LicenseeSelect!$E$205:$E$456,$E125)</f>
        <v>1</v>
      </c>
      <c r="AY125" s="45">
        <f>SUMIFS(LicenseeSelect!AY$205:AY$456,LicenseeSelect!$E$205:$E$456,$E125)</f>
        <v>1</v>
      </c>
      <c r="BA125" s="27" t="b">
        <f>INDEX(LicenseeSelect!AV$153:AV$204,MATCH($E125,LicenseeSelect!$E$153:$E$204,0))</f>
        <v>0</v>
      </c>
      <c r="BB125" s="27">
        <f>INDEX(LicenseeSelect!AW$153:AW$204,MATCH($E125,LicenseeSelect!$E$153:$E$204,0))</f>
        <v>2</v>
      </c>
      <c r="BC125" s="12" t="b">
        <f t="shared" si="3"/>
        <v>0</v>
      </c>
    </row>
    <row r="126" spans="5:55" customFormat="1" ht="14.5" x14ac:dyDescent="0.35">
      <c r="E126" t="str">
        <f>VariantAllowances!E37</f>
        <v>Re-opener_Data and digitalisation</v>
      </c>
      <c r="AT126" s="61"/>
      <c r="AU126" s="158">
        <f>SUMIFS(LicenseeSelect!AU$205:AU$456,LicenseeSelect!$E$205:$E$456,$E126)</f>
        <v>0</v>
      </c>
      <c r="AV126" s="45">
        <f>SUMIFS(LicenseeSelect!AV$205:AV$456,LicenseeSelect!$E$205:$E$456,$E126)</f>
        <v>0</v>
      </c>
      <c r="AW126" s="45">
        <f>SUMIFS(LicenseeSelect!AW$205:AW$456,LicenseeSelect!$E$205:$E$456,$E126)</f>
        <v>0</v>
      </c>
      <c r="AX126" s="45">
        <f>SUMIFS(LicenseeSelect!AX$205:AX$456,LicenseeSelect!$E$205:$E$456,$E126)</f>
        <v>0</v>
      </c>
      <c r="AY126" s="45">
        <f>SUMIFS(LicenseeSelect!AY$205:AY$456,LicenseeSelect!$E$205:$E$456,$E126)</f>
        <v>0</v>
      </c>
      <c r="BA126" s="27" t="b">
        <f>INDEX(LicenseeSelect!AV$153:AV$204,MATCH($E126,LicenseeSelect!$E$153:$E$204,0))</f>
        <v>0</v>
      </c>
      <c r="BB126" s="27">
        <f>INDEX(LicenseeSelect!AW$153:AW$204,MATCH($E126,LicenseeSelect!$E$153:$E$204,0))</f>
        <v>2</v>
      </c>
      <c r="BC126" s="12" t="b">
        <f t="shared" si="3"/>
        <v>0</v>
      </c>
    </row>
    <row r="127" spans="5:55" customFormat="1" ht="14.5" x14ac:dyDescent="0.35">
      <c r="E127" t="str">
        <f>VariantAllowances!E38</f>
        <v>Re-opener_Digitalisation re-opener</v>
      </c>
      <c r="AT127" s="61"/>
      <c r="AU127" s="158">
        <f>SUMIFS(LicenseeSelect!AU$205:AU$456,LicenseeSelect!$E$205:$E$456,$E127)</f>
        <v>0</v>
      </c>
      <c r="AV127" s="45">
        <f>SUMIFS(LicenseeSelect!AV$205:AV$456,LicenseeSelect!$E$205:$E$456,$E127)</f>
        <v>0</v>
      </c>
      <c r="AW127" s="45">
        <f>SUMIFS(LicenseeSelect!AW$205:AW$456,LicenseeSelect!$E$205:$E$456,$E127)</f>
        <v>0</v>
      </c>
      <c r="AX127" s="45">
        <f>SUMIFS(LicenseeSelect!AX$205:AX$456,LicenseeSelect!$E$205:$E$456,$E127)</f>
        <v>0</v>
      </c>
      <c r="AY127" s="45">
        <f>SUMIFS(LicenseeSelect!AY$205:AY$456,LicenseeSelect!$E$205:$E$456,$E127)</f>
        <v>0</v>
      </c>
      <c r="BA127" s="27" t="b">
        <f>INDEX(LicenseeSelect!AV$153:AV$204,MATCH($E127,LicenseeSelect!$E$153:$E$204,0))</f>
        <v>0</v>
      </c>
      <c r="BB127" s="27">
        <f>INDEX(LicenseeSelect!AW$153:AW$204,MATCH($E127,LicenseeSelect!$E$153:$E$204,0))</f>
        <v>2</v>
      </c>
      <c r="BC127" s="12" t="b">
        <f t="shared" si="3"/>
        <v>0</v>
      </c>
    </row>
    <row r="128" spans="5:55" customFormat="1" ht="14.5" x14ac:dyDescent="0.35">
      <c r="E128" t="str">
        <f>VariantAllowances!E39</f>
        <v>Re-opener_Diversions and Loss of Development Claims Re-opener</v>
      </c>
      <c r="AT128" s="61"/>
      <c r="AU128" s="158">
        <f>SUMIFS(LicenseeSelect!AU$205:AU$456,LicenseeSelect!$E$205:$E$456,$E128)</f>
        <v>1</v>
      </c>
      <c r="AV128" s="45">
        <f>SUMIFS(LicenseeSelect!AV$205:AV$456,LicenseeSelect!$E$205:$E$456,$E128)</f>
        <v>1</v>
      </c>
      <c r="AW128" s="45">
        <f>SUMIFS(LicenseeSelect!AW$205:AW$456,LicenseeSelect!$E$205:$E$456,$E128)</f>
        <v>1</v>
      </c>
      <c r="AX128" s="45">
        <f>SUMIFS(LicenseeSelect!AX$205:AX$456,LicenseeSelect!$E$205:$E$456,$E128)</f>
        <v>1</v>
      </c>
      <c r="AY128" s="45">
        <f>SUMIFS(LicenseeSelect!AY$205:AY$456,LicenseeSelect!$E$205:$E$456,$E128)</f>
        <v>1</v>
      </c>
      <c r="BA128" s="27" t="b">
        <f>INDEX(LicenseeSelect!AV$153:AV$204,MATCH($E128,LicenseeSelect!$E$153:$E$204,0))</f>
        <v>0</v>
      </c>
      <c r="BB128" s="27">
        <f>INDEX(LicenseeSelect!AW$153:AW$204,MATCH($E128,LicenseeSelect!$E$153:$E$204,0))</f>
        <v>2</v>
      </c>
      <c r="BC128" s="12" t="b">
        <f t="shared" si="3"/>
        <v>0</v>
      </c>
    </row>
    <row r="129" spans="5:55" customFormat="1" ht="14.5" x14ac:dyDescent="0.35">
      <c r="E129" t="str">
        <f>VariantAllowances!E40</f>
        <v>Re-opener_Heat Policy re-opener</v>
      </c>
      <c r="AT129" s="61"/>
      <c r="AU129" s="158">
        <f>SUMIFS(LicenseeSelect!AU$205:AU$456,LicenseeSelect!$E$205:$E$456,$E129)</f>
        <v>0</v>
      </c>
      <c r="AV129" s="45">
        <f>SUMIFS(LicenseeSelect!AV$205:AV$456,LicenseeSelect!$E$205:$E$456,$E129)</f>
        <v>0</v>
      </c>
      <c r="AW129" s="45">
        <f>SUMIFS(LicenseeSelect!AW$205:AW$456,LicenseeSelect!$E$205:$E$456,$E129)</f>
        <v>0</v>
      </c>
      <c r="AX129" s="45">
        <f>SUMIFS(LicenseeSelect!AX$205:AX$456,LicenseeSelect!$E$205:$E$456,$E129)</f>
        <v>0</v>
      </c>
      <c r="AY129" s="45">
        <f>SUMIFS(LicenseeSelect!AY$205:AY$456,LicenseeSelect!$E$205:$E$456,$E129)</f>
        <v>0</v>
      </c>
      <c r="BA129" s="27" t="b">
        <f>INDEX(LicenseeSelect!AV$153:AV$204,MATCH($E129,LicenseeSelect!$E$153:$E$204,0))</f>
        <v>0</v>
      </c>
      <c r="BB129" s="27">
        <f>INDEX(LicenseeSelect!AW$153:AW$204,MATCH($E129,LicenseeSelect!$E$153:$E$204,0))</f>
        <v>2</v>
      </c>
      <c r="BC129" s="12" t="b">
        <f t="shared" si="3"/>
        <v>0</v>
      </c>
    </row>
    <row r="130" spans="5:55" customFormat="1" ht="14.5" x14ac:dyDescent="0.35">
      <c r="E130" t="str">
        <f>VariantAllowances!E41</f>
        <v>Re-opener_HSE Policy Re-opener</v>
      </c>
      <c r="AT130" s="61"/>
      <c r="AU130" s="158">
        <f>SUMIFS(LicenseeSelect!AU$205:AU$456,LicenseeSelect!$E$205:$E$456,$E130)</f>
        <v>0</v>
      </c>
      <c r="AV130" s="45">
        <f>SUMIFS(LicenseeSelect!AV$205:AV$456,LicenseeSelect!$E$205:$E$456,$E130)</f>
        <v>0</v>
      </c>
      <c r="AW130" s="45">
        <f>SUMIFS(LicenseeSelect!AW$205:AW$456,LicenseeSelect!$E$205:$E$456,$E130)</f>
        <v>0</v>
      </c>
      <c r="AX130" s="45">
        <f>SUMIFS(LicenseeSelect!AX$205:AX$456,LicenseeSelect!$E$205:$E$456,$E130)</f>
        <v>0</v>
      </c>
      <c r="AY130" s="45">
        <f>SUMIFS(LicenseeSelect!AY$205:AY$456,LicenseeSelect!$E$205:$E$456,$E130)</f>
        <v>0</v>
      </c>
      <c r="BA130" s="27" t="b">
        <f>INDEX(LicenseeSelect!AV$153:AV$204,MATCH($E130,LicenseeSelect!$E$153:$E$204,0))</f>
        <v>0</v>
      </c>
      <c r="BB130" s="27">
        <f>INDEX(LicenseeSelect!AW$153:AW$204,MATCH($E130,LicenseeSelect!$E$153:$E$204,0))</f>
        <v>2</v>
      </c>
      <c r="BC130" s="12" t="b">
        <f t="shared" si="3"/>
        <v>0</v>
      </c>
    </row>
    <row r="131" spans="5:55" customFormat="1" ht="14.5" x14ac:dyDescent="0.35">
      <c r="E131" t="str">
        <f>VariantAllowances!E42</f>
        <v>Re-opener_London Subways and Tunnels</v>
      </c>
      <c r="AT131" s="61"/>
      <c r="AU131" s="158">
        <f>SUMIFS(LicenseeSelect!AU$205:AU$456,LicenseeSelect!$E$205:$E$456,$E131)</f>
        <v>0</v>
      </c>
      <c r="AV131" s="45">
        <f>SUMIFS(LicenseeSelect!AV$205:AV$456,LicenseeSelect!$E$205:$E$456,$E131)</f>
        <v>0</v>
      </c>
      <c r="AW131" s="45">
        <f>SUMIFS(LicenseeSelect!AW$205:AW$456,LicenseeSelect!$E$205:$E$456,$E131)</f>
        <v>0</v>
      </c>
      <c r="AX131" s="45">
        <f>SUMIFS(LicenseeSelect!AX$205:AX$456,LicenseeSelect!$E$205:$E$456,$E131)</f>
        <v>0</v>
      </c>
      <c r="AY131" s="45">
        <f>SUMIFS(LicenseeSelect!AY$205:AY$456,LicenseeSelect!$E$205:$E$456,$E131)</f>
        <v>0</v>
      </c>
      <c r="BA131" s="27" t="b">
        <f>INDEX(LicenseeSelect!AV$153:AV$204,MATCH($E131,LicenseeSelect!$E$153:$E$204,0))</f>
        <v>0</v>
      </c>
      <c r="BB131" s="27">
        <f>INDEX(LicenseeSelect!AW$153:AW$204,MATCH($E131,LicenseeSelect!$E$153:$E$204,0))</f>
        <v>2</v>
      </c>
      <c r="BC131" s="12" t="b">
        <f t="shared" si="3"/>
        <v>0</v>
      </c>
    </row>
    <row r="132" spans="5:55" customFormat="1" ht="14.5" x14ac:dyDescent="0.35">
      <c r="E132" t="str">
        <f>VariantAllowances!E43</f>
        <v>Re-opener_Net Zero Pre-construction Works and Small Net Zero Projects Re-opener / Small Decarbonisation Projects Re-opener</v>
      </c>
      <c r="AT132" s="61"/>
      <c r="AU132" s="158">
        <f>SUMIFS(LicenseeSelect!AU$205:AU$456,LicenseeSelect!$E$205:$E$456,$E132)</f>
        <v>0</v>
      </c>
      <c r="AV132" s="45">
        <f>SUMIFS(LicenseeSelect!AV$205:AV$456,LicenseeSelect!$E$205:$E$456,$E132)</f>
        <v>0</v>
      </c>
      <c r="AW132" s="45">
        <f>SUMIFS(LicenseeSelect!AW$205:AW$456,LicenseeSelect!$E$205:$E$456,$E132)</f>
        <v>0</v>
      </c>
      <c r="AX132" s="45">
        <f>SUMIFS(LicenseeSelect!AX$205:AX$456,LicenseeSelect!$E$205:$E$456,$E132)</f>
        <v>0</v>
      </c>
      <c r="AY132" s="45">
        <f>SUMIFS(LicenseeSelect!AY$205:AY$456,LicenseeSelect!$E$205:$E$456,$E132)</f>
        <v>0</v>
      </c>
      <c r="BA132" s="27" t="b">
        <f>INDEX(LicenseeSelect!AV$153:AV$204,MATCH($E132,LicenseeSelect!$E$153:$E$204,0))</f>
        <v>0</v>
      </c>
      <c r="BB132" s="27">
        <f>INDEX(LicenseeSelect!AW$153:AW$204,MATCH($E132,LicenseeSelect!$E$153:$E$204,0))</f>
        <v>2</v>
      </c>
      <c r="BC132" s="12" t="b">
        <f t="shared" si="3"/>
        <v>0</v>
      </c>
    </row>
    <row r="133" spans="5:55" customFormat="1" ht="14.5" x14ac:dyDescent="0.35">
      <c r="E133" t="str">
        <f>VariantAllowances!E44</f>
        <v>Re-opener_Net zero re-opener / Decarbonisation and Environmental Policy Re-opener</v>
      </c>
      <c r="AT133" s="61"/>
      <c r="AU133" s="158">
        <f>SUMIFS(LicenseeSelect!AU$205:AU$456,LicenseeSelect!$E$205:$E$456,$E133)</f>
        <v>0</v>
      </c>
      <c r="AV133" s="45">
        <f>SUMIFS(LicenseeSelect!AV$205:AV$456,LicenseeSelect!$E$205:$E$456,$E133)</f>
        <v>0</v>
      </c>
      <c r="AW133" s="45">
        <f>SUMIFS(LicenseeSelect!AW$205:AW$456,LicenseeSelect!$E$205:$E$456,$E133)</f>
        <v>0</v>
      </c>
      <c r="AX133" s="45">
        <f>SUMIFS(LicenseeSelect!AX$205:AX$456,LicenseeSelect!$E$205:$E$456,$E133)</f>
        <v>0</v>
      </c>
      <c r="AY133" s="45">
        <f>SUMIFS(LicenseeSelect!AY$205:AY$456,LicenseeSelect!$E$205:$E$456,$E133)</f>
        <v>0</v>
      </c>
      <c r="BA133" s="27" t="b">
        <f>INDEX(LicenseeSelect!AV$153:AV$204,MATCH($E133,LicenseeSelect!$E$153:$E$204,0))</f>
        <v>0</v>
      </c>
      <c r="BB133" s="27">
        <f>INDEX(LicenseeSelect!AW$153:AW$204,MATCH($E133,LicenseeSelect!$E$153:$E$204,0))</f>
        <v>2</v>
      </c>
      <c r="BC133" s="12" t="b">
        <f t="shared" si="3"/>
        <v>0</v>
      </c>
    </row>
    <row r="134" spans="5:55" customFormat="1" ht="14.5" x14ac:dyDescent="0.35">
      <c r="E134" t="str">
        <f>VariantAllowances!E45</f>
        <v>Re-opener_New Large Load Connections Re-opener</v>
      </c>
      <c r="AT134" s="61"/>
      <c r="AU134" s="158">
        <f>SUMIFS(LicenseeSelect!AU$205:AU$456,LicenseeSelect!$E$205:$E$456,$E134)</f>
        <v>0</v>
      </c>
      <c r="AV134" s="45">
        <f>SUMIFS(LicenseeSelect!AV$205:AV$456,LicenseeSelect!$E$205:$E$456,$E134)</f>
        <v>0</v>
      </c>
      <c r="AW134" s="45">
        <f>SUMIFS(LicenseeSelect!AW$205:AW$456,LicenseeSelect!$E$205:$E$456,$E134)</f>
        <v>0</v>
      </c>
      <c r="AX134" s="45">
        <f>SUMIFS(LicenseeSelect!AX$205:AX$456,LicenseeSelect!$E$205:$E$456,$E134)</f>
        <v>0</v>
      </c>
      <c r="AY134" s="45">
        <f>SUMIFS(LicenseeSelect!AY$205:AY$456,LicenseeSelect!$E$205:$E$456,$E134)</f>
        <v>0</v>
      </c>
      <c r="BA134" s="27" t="b">
        <f>INDEX(LicenseeSelect!AV$153:AV$204,MATCH($E134,LicenseeSelect!$E$153:$E$204,0))</f>
        <v>0</v>
      </c>
      <c r="BB134" s="27">
        <f>INDEX(LicenseeSelect!AW$153:AW$204,MATCH($E134,LicenseeSelect!$E$153:$E$204,0))</f>
        <v>2</v>
      </c>
      <c r="BC134" s="12" t="b">
        <f t="shared" si="3"/>
        <v>0</v>
      </c>
    </row>
    <row r="135" spans="5:55" customFormat="1" ht="14.5" x14ac:dyDescent="0.35">
      <c r="E135" t="str">
        <f>VariantAllowances!E46</f>
        <v>Re-opener_Resilience re-opener / Resilience Activity Re-opener</v>
      </c>
      <c r="AT135" s="61"/>
      <c r="AU135" s="158">
        <f>SUMIFS(LicenseeSelect!AU$205:AU$456,LicenseeSelect!$E$205:$E$456,$E135)</f>
        <v>0</v>
      </c>
      <c r="AV135" s="45">
        <f>SUMIFS(LicenseeSelect!AV$205:AV$456,LicenseeSelect!$E$205:$E$456,$E135)</f>
        <v>0</v>
      </c>
      <c r="AW135" s="45">
        <f>SUMIFS(LicenseeSelect!AW$205:AW$456,LicenseeSelect!$E$205:$E$456,$E135)</f>
        <v>0</v>
      </c>
      <c r="AX135" s="45">
        <f>SUMIFS(LicenseeSelect!AX$205:AX$456,LicenseeSelect!$E$205:$E$456,$E135)</f>
        <v>0</v>
      </c>
      <c r="AY135" s="45">
        <f>SUMIFS(LicenseeSelect!AY$205:AY$456,LicenseeSelect!$E$205:$E$456,$E135)</f>
        <v>0</v>
      </c>
      <c r="BA135" s="27" t="b">
        <f>INDEX(LicenseeSelect!AV$153:AV$204,MATCH($E135,LicenseeSelect!$E$153:$E$204,0))</f>
        <v>0</v>
      </c>
      <c r="BB135" s="27">
        <f>INDEX(LicenseeSelect!AW$153:AW$204,MATCH($E135,LicenseeSelect!$E$153:$E$204,0))</f>
        <v>2</v>
      </c>
      <c r="BC135" s="12" t="b">
        <f t="shared" si="3"/>
        <v>0</v>
      </c>
    </row>
    <row r="136" spans="5:55" customFormat="1" ht="14.5" x14ac:dyDescent="0.35">
      <c r="E136" t="str">
        <f>VariantAllowances!E47</f>
        <v>Re-opener_Specified Streetworks Costs Re-opener</v>
      </c>
      <c r="AT136" s="61"/>
      <c r="AU136" s="158">
        <f>SUMIFS(LicenseeSelect!AU$205:AU$456,LicenseeSelect!$E$205:$E$456,$E136)</f>
        <v>0</v>
      </c>
      <c r="AV136" s="45">
        <f>SUMIFS(LicenseeSelect!AV$205:AV$456,LicenseeSelect!$E$205:$E$456,$E136)</f>
        <v>0</v>
      </c>
      <c r="AW136" s="45">
        <f>SUMIFS(LicenseeSelect!AW$205:AW$456,LicenseeSelect!$E$205:$E$456,$E136)</f>
        <v>0</v>
      </c>
      <c r="AX136" s="45">
        <f>SUMIFS(LicenseeSelect!AX$205:AX$456,LicenseeSelect!$E$205:$E$456,$E136)</f>
        <v>0</v>
      </c>
      <c r="AY136" s="45">
        <f>SUMIFS(LicenseeSelect!AY$205:AY$456,LicenseeSelect!$E$205:$E$456,$E136)</f>
        <v>0</v>
      </c>
      <c r="BA136" s="27" t="b">
        <f>INDEX(LicenseeSelect!AV$153:AV$204,MATCH($E136,LicenseeSelect!$E$153:$E$204,0))</f>
        <v>0</v>
      </c>
      <c r="BB136" s="27">
        <f>INDEX(LicenseeSelect!AW$153:AW$204,MATCH($E136,LicenseeSelect!$E$153:$E$204,0))</f>
        <v>2</v>
      </c>
      <c r="BC136" s="12" t="b">
        <f t="shared" si="3"/>
        <v>0</v>
      </c>
    </row>
    <row r="137" spans="5:55" customFormat="1" ht="14.5" x14ac:dyDescent="0.35">
      <c r="E137" t="str">
        <f>VariantAllowances!E48</f>
        <v>Re-opener_Physical Security Re-opener</v>
      </c>
      <c r="AT137" s="61"/>
      <c r="AU137" s="158">
        <f>SUMIFS(LicenseeSelect!AU$205:AU$456,LicenseeSelect!$E$205:$E$456,$E137)</f>
        <v>0</v>
      </c>
      <c r="AV137" s="45">
        <f>SUMIFS(LicenseeSelect!AV$205:AV$456,LicenseeSelect!$E$205:$E$456,$E137)</f>
        <v>0</v>
      </c>
      <c r="AW137" s="45">
        <f>SUMIFS(LicenseeSelect!AW$205:AW$456,LicenseeSelect!$E$205:$E$456,$E137)</f>
        <v>0</v>
      </c>
      <c r="AX137" s="45">
        <f>SUMIFS(LicenseeSelect!AX$205:AX$456,LicenseeSelect!$E$205:$E$456,$E137)</f>
        <v>0</v>
      </c>
      <c r="AY137" s="45">
        <f>SUMIFS(LicenseeSelect!AY$205:AY$456,LicenseeSelect!$E$205:$E$456,$E137)</f>
        <v>0</v>
      </c>
      <c r="BA137" s="27" t="b">
        <f>INDEX(LicenseeSelect!AV$153:AV$204,MATCH($E137,LicenseeSelect!$E$153:$E$204,0))</f>
        <v>0</v>
      </c>
      <c r="BB137" s="27">
        <f>INDEX(LicenseeSelect!AW$153:AW$204,MATCH($E137,LicenseeSelect!$E$153:$E$204,0))</f>
        <v>2</v>
      </c>
      <c r="BC137" s="12" t="b">
        <f t="shared" si="3"/>
        <v>0</v>
      </c>
    </row>
    <row r="138" spans="5:55" customFormat="1" ht="14.5" x14ac:dyDescent="0.35">
      <c r="E138" t="str">
        <f>VariantAllowances!E49</f>
        <v>Re-opener_East Coast Hydrogen NZASP Re-Opener (EoE and NGN) / GD2/GD3 Crossover Adjustment</v>
      </c>
      <c r="AT138" s="61"/>
      <c r="AU138" s="158">
        <f>SUMIFS(LicenseeSelect!AU$205:AU$456,LicenseeSelect!$E$205:$E$456,$E138)</f>
        <v>1</v>
      </c>
      <c r="AV138" s="45">
        <f>SUMIFS(LicenseeSelect!AV$205:AV$456,LicenseeSelect!$E$205:$E$456,$E138)</f>
        <v>1</v>
      </c>
      <c r="AW138" s="45">
        <f>SUMIFS(LicenseeSelect!AW$205:AW$456,LicenseeSelect!$E$205:$E$456,$E138)</f>
        <v>1</v>
      </c>
      <c r="AX138" s="45">
        <f>SUMIFS(LicenseeSelect!AX$205:AX$456,LicenseeSelect!$E$205:$E$456,$E138)</f>
        <v>1</v>
      </c>
      <c r="AY138" s="45">
        <f>SUMIFS(LicenseeSelect!AY$205:AY$456,LicenseeSelect!$E$205:$E$456,$E138)</f>
        <v>1</v>
      </c>
      <c r="BA138" s="27" t="b">
        <f>INDEX(LicenseeSelect!AV$153:AV$204,MATCH($E138,LicenseeSelect!$E$153:$E$204,0))</f>
        <v>0</v>
      </c>
      <c r="BB138" s="27">
        <f>INDEX(LicenseeSelect!AW$153:AW$204,MATCH($E138,LicenseeSelect!$E$153:$E$204,0))</f>
        <v>2</v>
      </c>
      <c r="BC138" s="12" t="b">
        <f t="shared" si="3"/>
        <v>0</v>
      </c>
    </row>
    <row r="139" spans="5:55" customFormat="1" ht="14.5" x14ac:dyDescent="0.35">
      <c r="E139" t="str">
        <f>VariantAllowances!E50</f>
        <v>Re-opener_Complex Distributions Systems Re-opener</v>
      </c>
      <c r="AT139" s="61"/>
      <c r="AU139" s="158">
        <f>SUMIFS(LicenseeSelect!AU$205:AU$456,LicenseeSelect!$E$205:$E$456,$E139)</f>
        <v>1</v>
      </c>
      <c r="AV139" s="45">
        <f>SUMIFS(LicenseeSelect!AV$205:AV$456,LicenseeSelect!$E$205:$E$456,$E139)</f>
        <v>1</v>
      </c>
      <c r="AW139" s="45">
        <f>SUMIFS(LicenseeSelect!AW$205:AW$456,LicenseeSelect!$E$205:$E$456,$E139)</f>
        <v>1</v>
      </c>
      <c r="AX139" s="45">
        <f>SUMIFS(LicenseeSelect!AX$205:AX$456,LicenseeSelect!$E$205:$E$456,$E139)</f>
        <v>1</v>
      </c>
      <c r="AY139" s="45">
        <f>SUMIFS(LicenseeSelect!AY$205:AY$456,LicenseeSelect!$E$205:$E$456,$E139)</f>
        <v>1</v>
      </c>
      <c r="BA139" s="27" t="b">
        <f>INDEX(LicenseeSelect!AV$153:AV$204,MATCH($E139,LicenseeSelect!$E$153:$E$204,0))</f>
        <v>0</v>
      </c>
      <c r="BB139" s="27">
        <f>INDEX(LicenseeSelect!AW$153:AW$204,MATCH($E139,LicenseeSelect!$E$153:$E$204,0))</f>
        <v>2</v>
      </c>
      <c r="BC139" s="12" t="b">
        <f t="shared" si="3"/>
        <v>0</v>
      </c>
    </row>
    <row r="140" spans="5:55" customFormat="1" ht="14.5" x14ac:dyDescent="0.35">
      <c r="E140" t="str">
        <f>VariantAllowances!E51</f>
        <v>Re-opener_Mandated Category 3 Security Re-opener</v>
      </c>
      <c r="AT140" s="61"/>
      <c r="AU140" s="158">
        <f>SUMIFS(LicenseeSelect!AU$205:AU$456,LicenseeSelect!$E$205:$E$456,$E140)</f>
        <v>0</v>
      </c>
      <c r="AV140" s="45">
        <f>SUMIFS(LicenseeSelect!AV$205:AV$456,LicenseeSelect!$E$205:$E$456,$E140)</f>
        <v>0</v>
      </c>
      <c r="AW140" s="45">
        <f>SUMIFS(LicenseeSelect!AW$205:AW$456,LicenseeSelect!$E$205:$E$456,$E140)</f>
        <v>0</v>
      </c>
      <c r="AX140" s="45">
        <f>SUMIFS(LicenseeSelect!AX$205:AX$456,LicenseeSelect!$E$205:$E$456,$E140)</f>
        <v>0</v>
      </c>
      <c r="AY140" s="45">
        <f>SUMIFS(LicenseeSelect!AY$205:AY$456,LicenseeSelect!$E$205:$E$456,$E140)</f>
        <v>0</v>
      </c>
      <c r="BA140" s="27" t="b">
        <f>INDEX(LicenseeSelect!AV$153:AV$204,MATCH($E140,LicenseeSelect!$E$153:$E$204,0))</f>
        <v>0</v>
      </c>
      <c r="BB140" s="27">
        <f>INDEX(LicenseeSelect!AW$153:AW$204,MATCH($E140,LicenseeSelect!$E$153:$E$204,0))</f>
        <v>2</v>
      </c>
      <c r="BC140" s="12" t="b">
        <f t="shared" si="3"/>
        <v>0</v>
      </c>
    </row>
    <row r="141" spans="5:55" customFormat="1" ht="14.5" x14ac:dyDescent="0.35">
      <c r="E141" t="str">
        <f>VariantAllowances!E52</f>
        <v>Re-opener_General Reinforcement</v>
      </c>
      <c r="AT141" s="61"/>
      <c r="AU141" s="158">
        <f>SUMIFS(LicenseeSelect!AU$205:AU$456,LicenseeSelect!$E$205:$E$456,$E141)</f>
        <v>0</v>
      </c>
      <c r="AV141" s="45">
        <f>SUMIFS(LicenseeSelect!AV$205:AV$456,LicenseeSelect!$E$205:$E$456,$E141)</f>
        <v>0</v>
      </c>
      <c r="AW141" s="45">
        <f>SUMIFS(LicenseeSelect!AW$205:AW$456,LicenseeSelect!$E$205:$E$456,$E141)</f>
        <v>0</v>
      </c>
      <c r="AX141" s="45">
        <f>SUMIFS(LicenseeSelect!AX$205:AX$456,LicenseeSelect!$E$205:$E$456,$E141)</f>
        <v>0</v>
      </c>
      <c r="AY141" s="45">
        <f>SUMIFS(LicenseeSelect!AY$205:AY$456,LicenseeSelect!$E$205:$E$456,$E141)</f>
        <v>0</v>
      </c>
      <c r="BA141" s="27" t="b">
        <f>INDEX(LicenseeSelect!AV$153:AV$204,MATCH($E141,LicenseeSelect!$E$153:$E$204,0))</f>
        <v>0</v>
      </c>
      <c r="BB141" s="27">
        <f>INDEX(LicenseeSelect!AW$153:AW$204,MATCH($E141,LicenseeSelect!$E$153:$E$204,0))</f>
        <v>2</v>
      </c>
      <c r="BC141" s="12" t="b">
        <f t="shared" si="3"/>
        <v>0</v>
      </c>
    </row>
    <row r="142" spans="5:55" customFormat="1" ht="14.5" x14ac:dyDescent="0.35">
      <c r="E142" t="str">
        <f>VariantAllowances!E53</f>
        <v>Spare 2</v>
      </c>
      <c r="AT142" s="61"/>
      <c r="AU142" s="158">
        <f>SUMIFS(LicenseeSelect!AU$205:AU$456,LicenseeSelect!$E$205:$E$456,$E142)</f>
        <v>0</v>
      </c>
      <c r="AV142" s="45">
        <f>SUMIFS(LicenseeSelect!AV$205:AV$456,LicenseeSelect!$E$205:$E$456,$E142)</f>
        <v>0</v>
      </c>
      <c r="AW142" s="45">
        <f>SUMIFS(LicenseeSelect!AW$205:AW$456,LicenseeSelect!$E$205:$E$456,$E142)</f>
        <v>0</v>
      </c>
      <c r="AX142" s="45">
        <f>SUMIFS(LicenseeSelect!AX$205:AX$456,LicenseeSelect!$E$205:$E$456,$E142)</f>
        <v>0</v>
      </c>
      <c r="AY142" s="45">
        <f>SUMIFS(LicenseeSelect!AY$205:AY$456,LicenseeSelect!$E$205:$E$456,$E142)</f>
        <v>0</v>
      </c>
      <c r="BA142" s="27" t="b">
        <f>INDEX(LicenseeSelect!AV$153:AV$204,MATCH($E142,LicenseeSelect!$E$153:$E$204,0))</f>
        <v>0</v>
      </c>
      <c r="BB142" s="27">
        <f>INDEX(LicenseeSelect!AW$153:AW$204,MATCH($E142,LicenseeSelect!$E$153:$E$204,0))</f>
        <v>2</v>
      </c>
      <c r="BC142" s="12" t="b">
        <f t="shared" si="3"/>
        <v>0</v>
      </c>
    </row>
    <row r="143" spans="5:55" customFormat="1" ht="14.5" x14ac:dyDescent="0.35">
      <c r="E143" t="str">
        <f>VariantAllowances!E54</f>
        <v>Spare 3</v>
      </c>
      <c r="AT143" s="61"/>
      <c r="AU143" s="158">
        <f>SUMIFS(LicenseeSelect!AU$205:AU$456,LicenseeSelect!$E$205:$E$456,$E143)</f>
        <v>0</v>
      </c>
      <c r="AV143" s="45">
        <f>SUMIFS(LicenseeSelect!AV$205:AV$456,LicenseeSelect!$E$205:$E$456,$E143)</f>
        <v>0</v>
      </c>
      <c r="AW143" s="45">
        <f>SUMIFS(LicenseeSelect!AW$205:AW$456,LicenseeSelect!$E$205:$E$456,$E143)</f>
        <v>0</v>
      </c>
      <c r="AX143" s="45">
        <f>SUMIFS(LicenseeSelect!AX$205:AX$456,LicenseeSelect!$E$205:$E$456,$E143)</f>
        <v>0</v>
      </c>
      <c r="AY143" s="45">
        <f>SUMIFS(LicenseeSelect!AY$205:AY$456,LicenseeSelect!$E$205:$E$456,$E143)</f>
        <v>0</v>
      </c>
      <c r="BA143" s="27" t="b">
        <f>INDEX(LicenseeSelect!AV$153:AV$204,MATCH($E143,LicenseeSelect!$E$153:$E$204,0))</f>
        <v>0</v>
      </c>
      <c r="BB143" s="27">
        <f>INDEX(LicenseeSelect!AW$153:AW$204,MATCH($E143,LicenseeSelect!$E$153:$E$204,0))</f>
        <v>2</v>
      </c>
      <c r="BC143" s="12" t="b">
        <f t="shared" si="3"/>
        <v>0</v>
      </c>
    </row>
    <row r="144" spans="5:55" customFormat="1" ht="14.5" x14ac:dyDescent="0.35">
      <c r="E144" t="str">
        <f>VariantAllowances!E55</f>
        <v>Spare 4</v>
      </c>
      <c r="AT144" s="61"/>
      <c r="AU144" s="158">
        <f>SUMIFS(LicenseeSelect!AU$205:AU$456,LicenseeSelect!$E$205:$E$456,$E144)</f>
        <v>0</v>
      </c>
      <c r="AV144" s="45">
        <f>SUMIFS(LicenseeSelect!AV$205:AV$456,LicenseeSelect!$E$205:$E$456,$E144)</f>
        <v>0</v>
      </c>
      <c r="AW144" s="45">
        <f>SUMIFS(LicenseeSelect!AW$205:AW$456,LicenseeSelect!$E$205:$E$456,$E144)</f>
        <v>0</v>
      </c>
      <c r="AX144" s="45">
        <f>SUMIFS(LicenseeSelect!AX$205:AX$456,LicenseeSelect!$E$205:$E$456,$E144)</f>
        <v>0</v>
      </c>
      <c r="AY144" s="45">
        <f>SUMIFS(LicenseeSelect!AY$205:AY$456,LicenseeSelect!$E$205:$E$456,$E144)</f>
        <v>0</v>
      </c>
      <c r="BA144" s="27" t="b">
        <f>INDEX(LicenseeSelect!AV$153:AV$204,MATCH($E144,LicenseeSelect!$E$153:$E$204,0))</f>
        <v>0</v>
      </c>
      <c r="BB144" s="27">
        <f>INDEX(LicenseeSelect!AW$153:AW$204,MATCH($E144,LicenseeSelect!$E$153:$E$204,0))</f>
        <v>2</v>
      </c>
      <c r="BC144" s="12" t="b">
        <f t="shared" si="3"/>
        <v>0</v>
      </c>
    </row>
    <row r="145" spans="1:58" customFormat="1" ht="14.5" x14ac:dyDescent="0.35">
      <c r="E145" t="str">
        <f>VariantAllowances!E56</f>
        <v>Spare 5</v>
      </c>
      <c r="AT145" s="61"/>
      <c r="AU145" s="158">
        <f>SUMIFS(LicenseeSelect!AU$205:AU$456,LicenseeSelect!$E$205:$E$456,$E145)</f>
        <v>0</v>
      </c>
      <c r="AV145" s="45">
        <f>SUMIFS(LicenseeSelect!AV$205:AV$456,LicenseeSelect!$E$205:$E$456,$E145)</f>
        <v>0</v>
      </c>
      <c r="AW145" s="45">
        <f>SUMIFS(LicenseeSelect!AW$205:AW$456,LicenseeSelect!$E$205:$E$456,$E145)</f>
        <v>0</v>
      </c>
      <c r="AX145" s="45">
        <f>SUMIFS(LicenseeSelect!AX$205:AX$456,LicenseeSelect!$E$205:$E$456,$E145)</f>
        <v>0</v>
      </c>
      <c r="AY145" s="45">
        <f>SUMIFS(LicenseeSelect!AY$205:AY$456,LicenseeSelect!$E$205:$E$456,$E145)</f>
        <v>0</v>
      </c>
      <c r="BA145" s="27" t="b">
        <f>INDEX(LicenseeSelect!AV$153:AV$204,MATCH($E145,LicenseeSelect!$E$153:$E$204,0))</f>
        <v>0</v>
      </c>
      <c r="BB145" s="27">
        <f>INDEX(LicenseeSelect!AW$153:AW$204,MATCH($E145,LicenseeSelect!$E$153:$E$204,0))</f>
        <v>2</v>
      </c>
      <c r="BC145" s="12" t="b">
        <f t="shared" si="3"/>
        <v>0</v>
      </c>
    </row>
    <row r="146" spans="1:58" customFormat="1" ht="14.5" x14ac:dyDescent="0.35">
      <c r="E146" t="str">
        <f>VariantAllowances!E57</f>
        <v>Spare 6</v>
      </c>
      <c r="AT146" s="61"/>
      <c r="AU146" s="158">
        <f>SUMIFS(LicenseeSelect!AU$205:AU$456,LicenseeSelect!$E$205:$E$456,$E146)</f>
        <v>0</v>
      </c>
      <c r="AV146" s="45">
        <f>SUMIFS(LicenseeSelect!AV$205:AV$456,LicenseeSelect!$E$205:$E$456,$E146)</f>
        <v>0</v>
      </c>
      <c r="AW146" s="45">
        <f>SUMIFS(LicenseeSelect!AW$205:AW$456,LicenseeSelect!$E$205:$E$456,$E146)</f>
        <v>0</v>
      </c>
      <c r="AX146" s="45">
        <f>SUMIFS(LicenseeSelect!AX$205:AX$456,LicenseeSelect!$E$205:$E$456,$E146)</f>
        <v>0</v>
      </c>
      <c r="AY146" s="45">
        <f>SUMIFS(LicenseeSelect!AY$205:AY$456,LicenseeSelect!$E$205:$E$456,$E146)</f>
        <v>0</v>
      </c>
      <c r="BA146" s="27" t="b">
        <f>INDEX(LicenseeSelect!AV$153:AV$204,MATCH($E146,LicenseeSelect!$E$153:$E$204,0))</f>
        <v>0</v>
      </c>
      <c r="BB146" s="27">
        <f>INDEX(LicenseeSelect!AW$153:AW$204,MATCH($E146,LicenseeSelect!$E$153:$E$204,0))</f>
        <v>2</v>
      </c>
      <c r="BC146" s="12" t="b">
        <f t="shared" si="3"/>
        <v>0</v>
      </c>
    </row>
    <row r="147" spans="1:58" customFormat="1" ht="14.5" x14ac:dyDescent="0.35">
      <c r="AT147" s="61"/>
    </row>
    <row r="148" spans="1:58" ht="20" thickBot="1" x14ac:dyDescent="0.4">
      <c r="A148" s="18" t="s">
        <v>241</v>
      </c>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U148" s="10"/>
      <c r="AV148" s="10"/>
      <c r="AW148" s="10"/>
      <c r="AX148" s="10"/>
      <c r="AY148" s="10"/>
      <c r="AZ148" s="10"/>
      <c r="BA148" s="16"/>
      <c r="BB148" s="10"/>
      <c r="BC148" s="10"/>
      <c r="BF148" s="6"/>
    </row>
    <row r="149" spans="1:58" customFormat="1" ht="15" thickTop="1" x14ac:dyDescent="0.35">
      <c r="AT149" s="61"/>
    </row>
    <row r="150" spans="1:58" customFormat="1" ht="14.5" x14ac:dyDescent="0.35">
      <c r="AT150" s="61"/>
    </row>
    <row r="151" spans="1:58" customFormat="1" ht="14.5" hidden="1" x14ac:dyDescent="0.35">
      <c r="AT151" s="61"/>
    </row>
    <row r="152" spans="1:58" customFormat="1" ht="14.5" hidden="1" x14ac:dyDescent="0.35">
      <c r="AT152" s="61"/>
    </row>
    <row r="153" spans="1:58" customFormat="1" ht="14.5" hidden="1" x14ac:dyDescent="0.35">
      <c r="AT153" s="61"/>
    </row>
    <row r="154" spans="1:58" customFormat="1" ht="14.5" hidden="1" x14ac:dyDescent="0.35">
      <c r="AT154" s="61"/>
    </row>
    <row r="155" spans="1:58" customFormat="1" ht="14.5" hidden="1" x14ac:dyDescent="0.35">
      <c r="AT155" s="61"/>
    </row>
    <row r="156" spans="1:58" customFormat="1" ht="14.5" hidden="1" x14ac:dyDescent="0.35">
      <c r="AT156" s="61"/>
    </row>
    <row r="157" spans="1:58" customFormat="1" ht="14.5" hidden="1" x14ac:dyDescent="0.35">
      <c r="AT157" s="61"/>
    </row>
    <row r="158" spans="1:58" customFormat="1" ht="14.5" hidden="1" x14ac:dyDescent="0.35">
      <c r="AT158" s="61"/>
    </row>
    <row r="159" spans="1:58" customFormat="1" ht="14.5" hidden="1" x14ac:dyDescent="0.35">
      <c r="AT159" s="61"/>
    </row>
    <row r="160" spans="1:58" customFormat="1" ht="14.5" hidden="1" x14ac:dyDescent="0.35">
      <c r="AT160" s="61"/>
    </row>
    <row r="161" spans="46:46" customFormat="1" ht="14.5" hidden="1" x14ac:dyDescent="0.35">
      <c r="AT161" s="61"/>
    </row>
    <row r="162" spans="46:46" customFormat="1" ht="14.5" hidden="1" x14ac:dyDescent="0.35">
      <c r="AT162" s="61"/>
    </row>
    <row r="163" spans="46:46" customFormat="1" ht="14.5" hidden="1" x14ac:dyDescent="0.35">
      <c r="AT163" s="61"/>
    </row>
    <row r="164" spans="46:46" customFormat="1" ht="14.5" hidden="1" x14ac:dyDescent="0.35">
      <c r="AT164" s="61"/>
    </row>
    <row r="165" spans="46:46" customFormat="1" ht="14.5" hidden="1" x14ac:dyDescent="0.35">
      <c r="AT165" s="61"/>
    </row>
    <row r="166" spans="46:46" customFormat="1" ht="14.5" hidden="1" x14ac:dyDescent="0.35">
      <c r="AT166" s="61"/>
    </row>
    <row r="167" spans="46:46" customFormat="1" ht="14.5" hidden="1" x14ac:dyDescent="0.35">
      <c r="AT167" s="61"/>
    </row>
    <row r="168" spans="46:46" customFormat="1" ht="14.5" hidden="1" x14ac:dyDescent="0.35">
      <c r="AT168" s="61"/>
    </row>
    <row r="169" spans="46:46" customFormat="1" ht="14.5" hidden="1" x14ac:dyDescent="0.35">
      <c r="AT169" s="61"/>
    </row>
    <row r="170" spans="46:46" customFormat="1" ht="14.5" hidden="1" x14ac:dyDescent="0.35">
      <c r="AT170" s="61"/>
    </row>
    <row r="171" spans="46:46" customFormat="1" ht="14.5" hidden="1" x14ac:dyDescent="0.35">
      <c r="AT171" s="61"/>
    </row>
    <row r="172" spans="46:46" customFormat="1" ht="14.5" hidden="1" x14ac:dyDescent="0.35">
      <c r="AT172" s="61"/>
    </row>
    <row r="173" spans="46:46" customFormat="1" ht="14.5" hidden="1" x14ac:dyDescent="0.35">
      <c r="AT173" s="61"/>
    </row>
    <row r="174" spans="46:46" customFormat="1" ht="14.5" hidden="1" x14ac:dyDescent="0.35">
      <c r="AT174" s="61"/>
    </row>
    <row r="175" spans="46:46" customFormat="1" ht="14.5" hidden="1" x14ac:dyDescent="0.35">
      <c r="AT175" s="61"/>
    </row>
    <row r="176" spans="46:46" customFormat="1" ht="14.5" hidden="1" x14ac:dyDescent="0.35">
      <c r="AT176" s="61"/>
    </row>
    <row r="177" spans="46:46" customFormat="1" ht="14.5" hidden="1" x14ac:dyDescent="0.35">
      <c r="AT177" s="61"/>
    </row>
    <row r="178" spans="46:46" customFormat="1" ht="14.5" hidden="1" x14ac:dyDescent="0.35">
      <c r="AT178" s="61"/>
    </row>
    <row r="179" spans="46:46" customFormat="1" ht="14.5" hidden="1" x14ac:dyDescent="0.35">
      <c r="AT179" s="61"/>
    </row>
    <row r="180" spans="46:46" customFormat="1" ht="14.5" hidden="1" x14ac:dyDescent="0.35">
      <c r="AT180" s="61"/>
    </row>
    <row r="181" spans="46:46" customFormat="1" ht="14.5" hidden="1" x14ac:dyDescent="0.35">
      <c r="AT181" s="61"/>
    </row>
    <row r="182" spans="46:46" customFormat="1" ht="14.5" hidden="1" x14ac:dyDescent="0.35">
      <c r="AT182" s="61"/>
    </row>
    <row r="183" spans="46:46" customFormat="1" ht="14.5" hidden="1" x14ac:dyDescent="0.35">
      <c r="AT183" s="61"/>
    </row>
    <row r="184" spans="46:46" customFormat="1" ht="14.5" hidden="1" x14ac:dyDescent="0.35">
      <c r="AT184" s="61"/>
    </row>
    <row r="185" spans="46:46" customFormat="1" ht="14.5" hidden="1" x14ac:dyDescent="0.35">
      <c r="AT185" s="61"/>
    </row>
    <row r="186" spans="46:46" customFormat="1" ht="14.5" hidden="1" x14ac:dyDescent="0.35">
      <c r="AT186" s="61"/>
    </row>
    <row r="187" spans="46:46" customFormat="1" ht="14.5" hidden="1" x14ac:dyDescent="0.35">
      <c r="AT187" s="61"/>
    </row>
    <row r="188" spans="46:46" customFormat="1" ht="14.5" hidden="1" x14ac:dyDescent="0.35">
      <c r="AT188" s="61"/>
    </row>
    <row r="189" spans="46:46" customFormat="1" ht="14.5" hidden="1" x14ac:dyDescent="0.35">
      <c r="AT189" s="61"/>
    </row>
    <row r="190" spans="46:46" customFormat="1" ht="14.5" hidden="1" x14ac:dyDescent="0.35">
      <c r="AT190" s="61"/>
    </row>
    <row r="191" spans="46:46" customFormat="1" ht="14.5" hidden="1" x14ac:dyDescent="0.35">
      <c r="AT191" s="61"/>
    </row>
    <row r="192" spans="46:46" customFormat="1" ht="14.5" hidden="1" x14ac:dyDescent="0.35">
      <c r="AT192" s="61"/>
    </row>
    <row r="193" spans="46:46" customFormat="1" ht="14.5" hidden="1" x14ac:dyDescent="0.35">
      <c r="AT193" s="61"/>
    </row>
    <row r="194" spans="46:46" customFormat="1" ht="14.5" hidden="1" x14ac:dyDescent="0.35">
      <c r="AT194" s="61"/>
    </row>
    <row r="195" spans="46:46" customFormat="1" ht="14.5" hidden="1" x14ac:dyDescent="0.35">
      <c r="AT195" s="61"/>
    </row>
    <row r="196" spans="46:46" customFormat="1" ht="14.5" hidden="1" x14ac:dyDescent="0.35">
      <c r="AT196" s="61"/>
    </row>
    <row r="197" spans="46:46" customFormat="1" ht="14.5" hidden="1" x14ac:dyDescent="0.35">
      <c r="AT197" s="61"/>
    </row>
    <row r="198" spans="46:46" customFormat="1" ht="14.5" hidden="1" x14ac:dyDescent="0.35">
      <c r="AT198" s="61"/>
    </row>
    <row r="199" spans="46:46" customFormat="1" ht="14.5" hidden="1" x14ac:dyDescent="0.35">
      <c r="AT199" s="61"/>
    </row>
    <row r="200" spans="46:46" customFormat="1" ht="14.5" hidden="1" x14ac:dyDescent="0.35">
      <c r="AT200" s="61"/>
    </row>
    <row r="201" spans="46:46" customFormat="1" ht="14.5" hidden="1" x14ac:dyDescent="0.35">
      <c r="AT201" s="61"/>
    </row>
    <row r="202" spans="46:46" customFormat="1" ht="14.5" hidden="1" x14ac:dyDescent="0.35">
      <c r="AT202" s="61"/>
    </row>
    <row r="203" spans="46:46" customFormat="1" ht="14.5" hidden="1" x14ac:dyDescent="0.35">
      <c r="AT203" s="61"/>
    </row>
    <row r="204" spans="46:46" customFormat="1" ht="14.5" hidden="1" x14ac:dyDescent="0.35">
      <c r="AT204" s="61"/>
    </row>
    <row r="205" spans="46:46" customFormat="1" ht="14.5" hidden="1" x14ac:dyDescent="0.35">
      <c r="AT205" s="61"/>
    </row>
    <row r="206" spans="46:46" customFormat="1" ht="14.5" hidden="1" x14ac:dyDescent="0.35">
      <c r="AT206" s="61"/>
    </row>
    <row r="207" spans="46:46" customFormat="1" ht="14.5" hidden="1" x14ac:dyDescent="0.35">
      <c r="AT207" s="61"/>
    </row>
    <row r="208" spans="46:46" customFormat="1" ht="14.5" hidden="1" x14ac:dyDescent="0.35">
      <c r="AT208" s="61"/>
    </row>
    <row r="209" spans="46:46" customFormat="1" ht="14.5" hidden="1" x14ac:dyDescent="0.35">
      <c r="AT209" s="61"/>
    </row>
    <row r="210" spans="46:46" customFormat="1" ht="14.5" hidden="1" x14ac:dyDescent="0.35">
      <c r="AT210" s="61"/>
    </row>
    <row r="211" spans="46:46" customFormat="1" ht="14.5" hidden="1" x14ac:dyDescent="0.35">
      <c r="AT211" s="61"/>
    </row>
    <row r="212" spans="46:46" customFormat="1" ht="14.5" hidden="1" x14ac:dyDescent="0.35">
      <c r="AT212" s="61"/>
    </row>
    <row r="213" spans="46:46" customFormat="1" ht="14.5" hidden="1" x14ac:dyDescent="0.35">
      <c r="AT213" s="61"/>
    </row>
    <row r="214" spans="46:46" customFormat="1" ht="14.5" hidden="1" x14ac:dyDescent="0.35">
      <c r="AT214" s="61"/>
    </row>
    <row r="215" spans="46:46" customFormat="1" ht="14.5" hidden="1" x14ac:dyDescent="0.35">
      <c r="AT215" s="61"/>
    </row>
    <row r="216" spans="46:46" customFormat="1" ht="14.5" hidden="1" x14ac:dyDescent="0.35">
      <c r="AT216" s="61"/>
    </row>
    <row r="217" spans="46:46" customFormat="1" ht="14.5" hidden="1" x14ac:dyDescent="0.35">
      <c r="AT217" s="61"/>
    </row>
    <row r="218" spans="46:46" customFormat="1" ht="14.5" hidden="1" x14ac:dyDescent="0.35">
      <c r="AT218" s="61"/>
    </row>
    <row r="219" spans="46:46" customFormat="1" ht="14.5" hidden="1" x14ac:dyDescent="0.35">
      <c r="AT219" s="61"/>
    </row>
    <row r="220" spans="46:46" customFormat="1" ht="14.5" hidden="1" x14ac:dyDescent="0.35">
      <c r="AT220" s="61"/>
    </row>
    <row r="221" spans="46:46" customFormat="1" ht="14.5" hidden="1" x14ac:dyDescent="0.35">
      <c r="AT221" s="61"/>
    </row>
    <row r="222" spans="46:46" customFormat="1" ht="14.5" hidden="1" x14ac:dyDescent="0.35">
      <c r="AT222" s="61"/>
    </row>
    <row r="223" spans="46:46" customFormat="1" ht="14.5" hidden="1" x14ac:dyDescent="0.35">
      <c r="AT223" s="61"/>
    </row>
    <row r="224" spans="46:46" customFormat="1" ht="14.5" hidden="1" x14ac:dyDescent="0.35">
      <c r="AT224" s="61"/>
    </row>
    <row r="225" spans="46:46" customFormat="1" ht="14.5" hidden="1" x14ac:dyDescent="0.35">
      <c r="AT225" s="61"/>
    </row>
    <row r="226" spans="46:46" customFormat="1" ht="14.5" hidden="1" x14ac:dyDescent="0.35">
      <c r="AT226" s="61"/>
    </row>
    <row r="227" spans="46:46" customFormat="1" ht="14.5" hidden="1" x14ac:dyDescent="0.35">
      <c r="AT227" s="61"/>
    </row>
    <row r="228" spans="46:46" customFormat="1" ht="14.5" hidden="1" x14ac:dyDescent="0.35">
      <c r="AT228" s="61"/>
    </row>
    <row r="229" spans="46:46" customFormat="1" ht="14.5" hidden="1" x14ac:dyDescent="0.35">
      <c r="AT229" s="61"/>
    </row>
    <row r="230" spans="46:46" customFormat="1" ht="14.5" hidden="1" x14ac:dyDescent="0.35">
      <c r="AT230" s="61"/>
    </row>
    <row r="231" spans="46:46" customFormat="1" ht="14.5" hidden="1" x14ac:dyDescent="0.35">
      <c r="AT231" s="61"/>
    </row>
    <row r="232" spans="46:46" customFormat="1" ht="14.5" hidden="1" x14ac:dyDescent="0.35">
      <c r="AT232" s="61"/>
    </row>
    <row r="233" spans="46:46" customFormat="1" ht="14.5" hidden="1" x14ac:dyDescent="0.35">
      <c r="AT233" s="61"/>
    </row>
    <row r="234" spans="46:46" customFormat="1" ht="14.5" hidden="1" x14ac:dyDescent="0.35">
      <c r="AT234" s="61"/>
    </row>
    <row r="235" spans="46:46" customFormat="1" ht="14.5" hidden="1" x14ac:dyDescent="0.35">
      <c r="AT235" s="61"/>
    </row>
    <row r="236" spans="46:46" customFormat="1" ht="14.5" hidden="1" x14ac:dyDescent="0.35">
      <c r="AT236" s="61"/>
    </row>
    <row r="237" spans="46:46" customFormat="1" ht="14.5" hidden="1" x14ac:dyDescent="0.35">
      <c r="AT237" s="61"/>
    </row>
    <row r="238" spans="46:46" customFormat="1" ht="14.5" hidden="1" x14ac:dyDescent="0.35">
      <c r="AT238" s="61"/>
    </row>
    <row r="239" spans="46:46" customFormat="1" ht="14.5" hidden="1" x14ac:dyDescent="0.35">
      <c r="AT239" s="61"/>
    </row>
    <row r="240" spans="46:46" customFormat="1" ht="14.5" hidden="1" x14ac:dyDescent="0.35">
      <c r="AT240" s="61"/>
    </row>
    <row r="241" spans="46:46" customFormat="1" ht="14.5" hidden="1" x14ac:dyDescent="0.35">
      <c r="AT241" s="61"/>
    </row>
    <row r="242" spans="46:46" customFormat="1" ht="14.5" hidden="1" x14ac:dyDescent="0.35">
      <c r="AT242" s="61"/>
    </row>
    <row r="243" spans="46:46" customFormat="1" ht="14.5" hidden="1" x14ac:dyDescent="0.35">
      <c r="AT243" s="61"/>
    </row>
    <row r="244" spans="46:46" customFormat="1" ht="14.5" hidden="1" x14ac:dyDescent="0.35">
      <c r="AT244" s="61"/>
    </row>
    <row r="245" spans="46:46" customFormat="1" ht="14.5" hidden="1" x14ac:dyDescent="0.35">
      <c r="AT245" s="61"/>
    </row>
    <row r="246" spans="46:46" customFormat="1" ht="14.5" hidden="1" x14ac:dyDescent="0.35">
      <c r="AT246" s="61"/>
    </row>
    <row r="247" spans="46:46" customFormat="1" ht="14.5" hidden="1" x14ac:dyDescent="0.35">
      <c r="AT247" s="61"/>
    </row>
    <row r="248" spans="46:46" customFormat="1" ht="14.5" hidden="1" x14ac:dyDescent="0.35">
      <c r="AT248" s="61"/>
    </row>
    <row r="249" spans="46:46" customFormat="1" ht="14.5" hidden="1" x14ac:dyDescent="0.35">
      <c r="AT249" s="61"/>
    </row>
    <row r="250" spans="46:46" customFormat="1" ht="14.5" hidden="1" x14ac:dyDescent="0.35">
      <c r="AT250" s="61"/>
    </row>
    <row r="251" spans="46:46" customFormat="1" ht="14.5" hidden="1" x14ac:dyDescent="0.35">
      <c r="AT251" s="61"/>
    </row>
    <row r="252" spans="46:46" customFormat="1" ht="14.5" hidden="1" x14ac:dyDescent="0.35">
      <c r="AT252" s="61"/>
    </row>
    <row r="253" spans="46:46" customFormat="1" ht="14.5" hidden="1" x14ac:dyDescent="0.35">
      <c r="AT253" s="61"/>
    </row>
    <row r="254" spans="46:46" customFormat="1" ht="14.5" hidden="1" x14ac:dyDescent="0.35">
      <c r="AT254" s="61"/>
    </row>
    <row r="255" spans="46:46" customFormat="1" ht="14.5" hidden="1" x14ac:dyDescent="0.35">
      <c r="AT255" s="61"/>
    </row>
    <row r="256" spans="46:46" customFormat="1" ht="14.5" hidden="1" x14ac:dyDescent="0.35">
      <c r="AT256" s="61"/>
    </row>
    <row r="257" spans="46:46" customFormat="1" ht="14.5" hidden="1" x14ac:dyDescent="0.35">
      <c r="AT257" s="61"/>
    </row>
    <row r="258" spans="46:46" customFormat="1" ht="14.5" hidden="1" x14ac:dyDescent="0.35">
      <c r="AT258" s="61"/>
    </row>
    <row r="259" spans="46:46" customFormat="1" ht="14.5" hidden="1" x14ac:dyDescent="0.35">
      <c r="AT259" s="61"/>
    </row>
    <row r="260" spans="46:46" customFormat="1" ht="14.5" hidden="1" x14ac:dyDescent="0.35">
      <c r="AT260" s="61"/>
    </row>
    <row r="261" spans="46:46" customFormat="1" ht="14.5" hidden="1" x14ac:dyDescent="0.35">
      <c r="AT261" s="61"/>
    </row>
    <row r="262" spans="46:46" customFormat="1" ht="14.5" hidden="1" x14ac:dyDescent="0.35">
      <c r="AT262" s="61"/>
    </row>
    <row r="263" spans="46:46" customFormat="1" ht="14.5" hidden="1" x14ac:dyDescent="0.35">
      <c r="AT263" s="61"/>
    </row>
    <row r="264" spans="46:46" customFormat="1" ht="14.5" hidden="1" x14ac:dyDescent="0.35">
      <c r="AT264" s="61"/>
    </row>
    <row r="265" spans="46:46" customFormat="1" ht="14.5" hidden="1" x14ac:dyDescent="0.35">
      <c r="AT265" s="61"/>
    </row>
    <row r="266" spans="46:46" customFormat="1" ht="14.5" hidden="1" x14ac:dyDescent="0.35">
      <c r="AT266" s="61"/>
    </row>
    <row r="267" spans="46:46" customFormat="1" ht="14.5" hidden="1" x14ac:dyDescent="0.35">
      <c r="AT267" s="61"/>
    </row>
    <row r="268" spans="46:46" customFormat="1" ht="14.5" hidden="1" x14ac:dyDescent="0.35">
      <c r="AT268" s="61"/>
    </row>
    <row r="269" spans="46:46" customFormat="1" ht="14.5" hidden="1" x14ac:dyDescent="0.35">
      <c r="AT269" s="61"/>
    </row>
    <row r="270" spans="46:46" customFormat="1" ht="14.5" hidden="1" x14ac:dyDescent="0.35">
      <c r="AT270" s="61"/>
    </row>
    <row r="271" spans="46:46" customFormat="1" ht="14.5" hidden="1" x14ac:dyDescent="0.35">
      <c r="AT271" s="61"/>
    </row>
    <row r="272" spans="46:46" customFormat="1" ht="14.5" hidden="1" x14ac:dyDescent="0.35">
      <c r="AT272" s="61"/>
    </row>
    <row r="273" spans="46:46" customFormat="1" ht="14.5" hidden="1" x14ac:dyDescent="0.35">
      <c r="AT273" s="61"/>
    </row>
    <row r="274" spans="46:46" customFormat="1" ht="14.5" hidden="1" x14ac:dyDescent="0.35">
      <c r="AT274" s="61"/>
    </row>
    <row r="275" spans="46:46" customFormat="1" ht="14.5" hidden="1" x14ac:dyDescent="0.35">
      <c r="AT275" s="61"/>
    </row>
    <row r="276" spans="46:46" customFormat="1" ht="14.5" hidden="1" x14ac:dyDescent="0.35">
      <c r="AT276" s="61"/>
    </row>
    <row r="277" spans="46:46" customFormat="1" ht="14.5" hidden="1" x14ac:dyDescent="0.35">
      <c r="AT277" s="61"/>
    </row>
    <row r="278" spans="46:46" customFormat="1" ht="14.5" hidden="1" x14ac:dyDescent="0.35">
      <c r="AT278" s="61"/>
    </row>
    <row r="279" spans="46:46" customFormat="1" ht="14.5" hidden="1" x14ac:dyDescent="0.35">
      <c r="AT279" s="61"/>
    </row>
    <row r="280" spans="46:46" customFormat="1" ht="14.5" hidden="1" x14ac:dyDescent="0.35">
      <c r="AT280" s="61"/>
    </row>
    <row r="281" spans="46:46" customFormat="1" ht="14.5" hidden="1" x14ac:dyDescent="0.35">
      <c r="AT281" s="61"/>
    </row>
    <row r="282" spans="46:46" customFormat="1" ht="14.5" hidden="1" x14ac:dyDescent="0.35">
      <c r="AT282" s="61"/>
    </row>
    <row r="283" spans="46:46" customFormat="1" ht="14.5" hidden="1" x14ac:dyDescent="0.35">
      <c r="AT283" s="61"/>
    </row>
    <row r="284" spans="46:46" customFormat="1" ht="14.5" hidden="1" x14ac:dyDescent="0.35">
      <c r="AT284" s="61"/>
    </row>
    <row r="285" spans="46:46" customFormat="1" ht="14.5" hidden="1" x14ac:dyDescent="0.35">
      <c r="AT285" s="61"/>
    </row>
    <row r="286" spans="46:46" customFormat="1" ht="14.5" hidden="1" x14ac:dyDescent="0.35">
      <c r="AT286" s="61"/>
    </row>
    <row r="287" spans="46:46" customFormat="1" ht="14.5" hidden="1" x14ac:dyDescent="0.35">
      <c r="AT287" s="61"/>
    </row>
    <row r="288" spans="46:46" customFormat="1" ht="14.5" hidden="1" x14ac:dyDescent="0.35">
      <c r="AT288" s="61"/>
    </row>
    <row r="289" spans="46:46" customFormat="1" ht="14.5" hidden="1" x14ac:dyDescent="0.35">
      <c r="AT289" s="61"/>
    </row>
    <row r="290" spans="46:46" customFormat="1" ht="14.5" hidden="1" x14ac:dyDescent="0.35">
      <c r="AT290" s="61"/>
    </row>
    <row r="291" spans="46:46" customFormat="1" ht="14.5" hidden="1" x14ac:dyDescent="0.35">
      <c r="AT291" s="61"/>
    </row>
    <row r="292" spans="46:46" customFormat="1" ht="14.5" hidden="1" x14ac:dyDescent="0.35">
      <c r="AT292" s="61"/>
    </row>
    <row r="293" spans="46:46" customFormat="1" ht="14.5" hidden="1" x14ac:dyDescent="0.35">
      <c r="AT293" s="61"/>
    </row>
    <row r="294" spans="46:46" customFormat="1" ht="14.5" hidden="1" x14ac:dyDescent="0.35">
      <c r="AT294" s="61"/>
    </row>
    <row r="295" spans="46:46" customFormat="1" ht="14.5" hidden="1" x14ac:dyDescent="0.35">
      <c r="AT295" s="61"/>
    </row>
    <row r="296" spans="46:46" customFormat="1" ht="14.5" hidden="1" x14ac:dyDescent="0.35">
      <c r="AT296" s="61"/>
    </row>
    <row r="297" spans="46:46" customFormat="1" ht="14.5" hidden="1" x14ac:dyDescent="0.35">
      <c r="AT297" s="61"/>
    </row>
    <row r="298" spans="46:46" customFormat="1" ht="14.5" hidden="1" x14ac:dyDescent="0.35">
      <c r="AT298" s="61"/>
    </row>
    <row r="299" spans="46:46" customFormat="1" ht="14.5" hidden="1" x14ac:dyDescent="0.35">
      <c r="AT299" s="61"/>
    </row>
    <row r="300" spans="46:46" customFormat="1" ht="14.5" hidden="1" x14ac:dyDescent="0.35">
      <c r="AT300" s="61"/>
    </row>
    <row r="301" spans="46:46" customFormat="1" ht="14.5" hidden="1" x14ac:dyDescent="0.35">
      <c r="AT301" s="61"/>
    </row>
    <row r="302" spans="46:46" customFormat="1" ht="14.5" hidden="1" x14ac:dyDescent="0.35">
      <c r="AT302" s="61"/>
    </row>
    <row r="303" spans="46:46" customFormat="1" ht="14.5" hidden="1" x14ac:dyDescent="0.35">
      <c r="AT303" s="61"/>
    </row>
    <row r="304" spans="46:46" customFormat="1" ht="14.5" hidden="1" x14ac:dyDescent="0.35">
      <c r="AT304" s="61"/>
    </row>
    <row r="305" spans="46:46" customFormat="1" ht="14.5" hidden="1" x14ac:dyDescent="0.35">
      <c r="AT305" s="61"/>
    </row>
    <row r="306" spans="46:46" customFormat="1" ht="14.5" hidden="1" x14ac:dyDescent="0.35">
      <c r="AT306" s="61"/>
    </row>
    <row r="307" spans="46:46" customFormat="1" ht="14.5" hidden="1" x14ac:dyDescent="0.35">
      <c r="AT307" s="61"/>
    </row>
    <row r="308" spans="46:46" customFormat="1" ht="14.5" hidden="1" x14ac:dyDescent="0.35">
      <c r="AT308" s="61"/>
    </row>
    <row r="309" spans="46:46" customFormat="1" ht="14.5" hidden="1" x14ac:dyDescent="0.35">
      <c r="AT309" s="61"/>
    </row>
    <row r="310" spans="46:46" customFormat="1" ht="14.5" hidden="1" x14ac:dyDescent="0.35">
      <c r="AT310" s="61"/>
    </row>
    <row r="311" spans="46:46" customFormat="1" ht="14.5" hidden="1" x14ac:dyDescent="0.35">
      <c r="AT311" s="61"/>
    </row>
    <row r="312" spans="46:46" customFormat="1" ht="14.5" hidden="1" x14ac:dyDescent="0.35">
      <c r="AT312" s="61"/>
    </row>
    <row r="313" spans="46:46" customFormat="1" ht="14.5" hidden="1" x14ac:dyDescent="0.35">
      <c r="AT313" s="61"/>
    </row>
    <row r="314" spans="46:46" customFormat="1" ht="14.5" hidden="1" x14ac:dyDescent="0.35">
      <c r="AT314" s="61"/>
    </row>
    <row r="315" spans="46:46" customFormat="1" ht="14.5" hidden="1" x14ac:dyDescent="0.35">
      <c r="AT315" s="61"/>
    </row>
    <row r="316" spans="46:46" customFormat="1" ht="14.5" hidden="1" x14ac:dyDescent="0.35">
      <c r="AT316" s="61"/>
    </row>
    <row r="317" spans="46:46" customFormat="1" ht="14.5" hidden="1" x14ac:dyDescent="0.35">
      <c r="AT317" s="61"/>
    </row>
    <row r="318" spans="46:46" customFormat="1" ht="14.5" hidden="1" x14ac:dyDescent="0.35">
      <c r="AT318" s="61"/>
    </row>
    <row r="319" spans="46:46" customFormat="1" ht="14.5" hidden="1" x14ac:dyDescent="0.35">
      <c r="AT319" s="61"/>
    </row>
    <row r="320" spans="46:46" customFormat="1" ht="14.5" hidden="1" x14ac:dyDescent="0.35">
      <c r="AT320" s="61"/>
    </row>
    <row r="321" spans="46:46" customFormat="1" ht="14.5" hidden="1" x14ac:dyDescent="0.35">
      <c r="AT321" s="61"/>
    </row>
    <row r="322" spans="46:46" customFormat="1" ht="14.5" hidden="1" x14ac:dyDescent="0.35">
      <c r="AT322" s="61"/>
    </row>
    <row r="323" spans="46:46" customFormat="1" ht="14.5" hidden="1" x14ac:dyDescent="0.35">
      <c r="AT323" s="61"/>
    </row>
    <row r="324" spans="46:46" customFormat="1" ht="14.5" hidden="1" x14ac:dyDescent="0.35">
      <c r="AT324" s="61"/>
    </row>
    <row r="325" spans="46:46" customFormat="1" ht="14.5" hidden="1" x14ac:dyDescent="0.35">
      <c r="AT325" s="61"/>
    </row>
    <row r="326" spans="46:46" customFormat="1" ht="14.5" hidden="1" x14ac:dyDescent="0.35">
      <c r="AT326" s="61"/>
    </row>
    <row r="327" spans="46:46" customFormat="1" ht="14.5" hidden="1" x14ac:dyDescent="0.35">
      <c r="AT327" s="61"/>
    </row>
    <row r="328" spans="46:46" customFormat="1" ht="14.5" hidden="1" x14ac:dyDescent="0.35">
      <c r="AT328" s="61"/>
    </row>
    <row r="329" spans="46:46" customFormat="1" ht="14.5" hidden="1" x14ac:dyDescent="0.35">
      <c r="AT329" s="61"/>
    </row>
    <row r="330" spans="46:46" customFormat="1" ht="14.5" hidden="1" x14ac:dyDescent="0.35">
      <c r="AT330" s="61"/>
    </row>
    <row r="331" spans="46:46" customFormat="1" ht="14.5" hidden="1" x14ac:dyDescent="0.35">
      <c r="AT331" s="61"/>
    </row>
    <row r="332" spans="46:46" customFormat="1" ht="14.5" hidden="1" x14ac:dyDescent="0.35">
      <c r="AT332" s="61"/>
    </row>
    <row r="333" spans="46:46" customFormat="1" ht="14.5" hidden="1" x14ac:dyDescent="0.35">
      <c r="AT333" s="61"/>
    </row>
    <row r="334" spans="46:46" customFormat="1" ht="14.5" hidden="1" x14ac:dyDescent="0.35">
      <c r="AT334" s="61"/>
    </row>
    <row r="335" spans="46:46" customFormat="1" ht="14.5" hidden="1" x14ac:dyDescent="0.35">
      <c r="AT335" s="61"/>
    </row>
    <row r="336" spans="46:46" customFormat="1" ht="14.5" hidden="1" x14ac:dyDescent="0.35">
      <c r="AT336" s="61"/>
    </row>
    <row r="337" spans="46:46" customFormat="1" ht="14.5" hidden="1" x14ac:dyDescent="0.35">
      <c r="AT337" s="61"/>
    </row>
    <row r="338" spans="46:46" customFormat="1" ht="14.5" hidden="1" x14ac:dyDescent="0.35">
      <c r="AT338" s="61"/>
    </row>
    <row r="339" spans="46:46" customFormat="1" ht="14.5" hidden="1" x14ac:dyDescent="0.35">
      <c r="AT339" s="61"/>
    </row>
    <row r="340" spans="46:46" customFormat="1" ht="14.5" hidden="1" x14ac:dyDescent="0.35">
      <c r="AT340" s="61"/>
    </row>
    <row r="341" spans="46:46" customFormat="1" ht="14.5" hidden="1" x14ac:dyDescent="0.35">
      <c r="AT341" s="61"/>
    </row>
    <row r="342" spans="46:46" customFormat="1" ht="14.5" hidden="1" x14ac:dyDescent="0.35">
      <c r="AT342" s="61"/>
    </row>
    <row r="343" spans="46:46" customFormat="1" ht="14.5" hidden="1" x14ac:dyDescent="0.35">
      <c r="AT343" s="61"/>
    </row>
    <row r="344" spans="46:46" customFormat="1" ht="14.5" hidden="1" x14ac:dyDescent="0.35">
      <c r="AT344" s="61"/>
    </row>
    <row r="345" spans="46:46" customFormat="1" ht="14.5" hidden="1" x14ac:dyDescent="0.35">
      <c r="AT345" s="61"/>
    </row>
    <row r="346" spans="46:46" customFormat="1" ht="14.5" hidden="1" x14ac:dyDescent="0.35">
      <c r="AT346" s="61"/>
    </row>
    <row r="347" spans="46:46" customFormat="1" ht="14.5" hidden="1" x14ac:dyDescent="0.35">
      <c r="AT347" s="61"/>
    </row>
    <row r="348" spans="46:46" customFormat="1" ht="14.5" hidden="1" x14ac:dyDescent="0.35">
      <c r="AT348" s="61"/>
    </row>
    <row r="349" spans="46:46" customFormat="1" ht="14.5" hidden="1" x14ac:dyDescent="0.35">
      <c r="AT349" s="61"/>
    </row>
    <row r="350" spans="46:46" customFormat="1" ht="14.5" hidden="1" x14ac:dyDescent="0.35">
      <c r="AT350" s="61"/>
    </row>
    <row r="351" spans="46:46" customFormat="1" ht="14.5" hidden="1" x14ac:dyDescent="0.35">
      <c r="AT351" s="61"/>
    </row>
    <row r="352" spans="46:46" customFormat="1" ht="14.5" hidden="1" x14ac:dyDescent="0.35">
      <c r="AT352" s="61"/>
    </row>
    <row r="353" spans="46:46" customFormat="1" ht="14.5" hidden="1" x14ac:dyDescent="0.35">
      <c r="AT353" s="61"/>
    </row>
    <row r="354" spans="46:46" customFormat="1" ht="14.5" hidden="1" x14ac:dyDescent="0.35">
      <c r="AT354" s="61"/>
    </row>
    <row r="355" spans="46:46" customFormat="1" ht="14.5" hidden="1" x14ac:dyDescent="0.35">
      <c r="AT355" s="61"/>
    </row>
    <row r="356" spans="46:46" customFormat="1" ht="14.5" hidden="1" x14ac:dyDescent="0.35">
      <c r="AT356" s="61"/>
    </row>
    <row r="357" spans="46:46" customFormat="1" ht="14.5" hidden="1" x14ac:dyDescent="0.35">
      <c r="AT357" s="61"/>
    </row>
    <row r="358" spans="46:46" customFormat="1" ht="14.5" hidden="1" x14ac:dyDescent="0.35">
      <c r="AT358" s="61"/>
    </row>
    <row r="359" spans="46:46" customFormat="1" ht="14.5" hidden="1" x14ac:dyDescent="0.35">
      <c r="AT359" s="61"/>
    </row>
    <row r="360" spans="46:46" customFormat="1" ht="14.5" hidden="1" x14ac:dyDescent="0.35">
      <c r="AT360" s="61"/>
    </row>
    <row r="361" spans="46:46" customFormat="1" ht="14.5" hidden="1" x14ac:dyDescent="0.35">
      <c r="AT361" s="61"/>
    </row>
    <row r="362" spans="46:46" customFormat="1" ht="14.5" hidden="1" x14ac:dyDescent="0.35">
      <c r="AT362" s="61"/>
    </row>
    <row r="363" spans="46:46" customFormat="1" ht="14.5" hidden="1" x14ac:dyDescent="0.35">
      <c r="AT363" s="61"/>
    </row>
    <row r="364" spans="46:46" customFormat="1" ht="14.5" hidden="1" x14ac:dyDescent="0.35">
      <c r="AT364" s="61"/>
    </row>
    <row r="365" spans="46:46" customFormat="1" ht="14.5" hidden="1" x14ac:dyDescent="0.35">
      <c r="AT365" s="61"/>
    </row>
    <row r="366" spans="46:46" customFormat="1" ht="14.5" hidden="1" x14ac:dyDescent="0.35">
      <c r="AT366" s="61"/>
    </row>
    <row r="367" spans="46:46" customFormat="1" ht="14.5" hidden="1" x14ac:dyDescent="0.35">
      <c r="AT367" s="61"/>
    </row>
    <row r="368" spans="46:46" customFormat="1" ht="14.5" hidden="1" x14ac:dyDescent="0.35">
      <c r="AT368" s="61"/>
    </row>
    <row r="369" spans="46:46" customFormat="1" ht="14.5" hidden="1" x14ac:dyDescent="0.35">
      <c r="AT369" s="61"/>
    </row>
    <row r="370" spans="46:46" customFormat="1" ht="14.5" hidden="1" x14ac:dyDescent="0.35">
      <c r="AT370" s="61"/>
    </row>
    <row r="371" spans="46:46" customFormat="1" ht="14.5" hidden="1" x14ac:dyDescent="0.35">
      <c r="AT371" s="61"/>
    </row>
    <row r="372" spans="46:46" customFormat="1" ht="14.5" hidden="1" x14ac:dyDescent="0.35">
      <c r="AT372" s="61"/>
    </row>
    <row r="373" spans="46:46" customFormat="1" ht="14.5" hidden="1" x14ac:dyDescent="0.35">
      <c r="AT373" s="61"/>
    </row>
    <row r="374" spans="46:46" customFormat="1" ht="14.5" hidden="1" x14ac:dyDescent="0.35">
      <c r="AT374" s="61"/>
    </row>
    <row r="375" spans="46:46" customFormat="1" ht="14.5" hidden="1" x14ac:dyDescent="0.35">
      <c r="AT375" s="61"/>
    </row>
    <row r="376" spans="46:46" customFormat="1" ht="14.5" hidden="1" x14ac:dyDescent="0.35">
      <c r="AT376" s="61"/>
    </row>
    <row r="377" spans="46:46" customFormat="1" ht="14.5" hidden="1" x14ac:dyDescent="0.35">
      <c r="AT377" s="61"/>
    </row>
    <row r="378" spans="46:46" customFormat="1" ht="14.5" hidden="1" x14ac:dyDescent="0.35">
      <c r="AT378" s="61"/>
    </row>
    <row r="379" spans="46:46" customFormat="1" ht="14.5" hidden="1" x14ac:dyDescent="0.35">
      <c r="AT379" s="61"/>
    </row>
    <row r="380" spans="46:46" customFormat="1" ht="14.5" hidden="1" x14ac:dyDescent="0.35">
      <c r="AT380" s="61"/>
    </row>
    <row r="381" spans="46:46" customFormat="1" ht="14.5" hidden="1" x14ac:dyDescent="0.35">
      <c r="AT381" s="61"/>
    </row>
    <row r="382" spans="46:46" customFormat="1" ht="14.5" hidden="1" x14ac:dyDescent="0.35">
      <c r="AT382" s="61"/>
    </row>
    <row r="383" spans="46:46" customFormat="1" ht="14.5" hidden="1" x14ac:dyDescent="0.35">
      <c r="AT383" s="61"/>
    </row>
    <row r="384" spans="46:46" customFormat="1" ht="14.5" hidden="1" x14ac:dyDescent="0.35">
      <c r="AT384" s="61"/>
    </row>
    <row r="385" spans="46:46" customFormat="1" ht="14.5" hidden="1" x14ac:dyDescent="0.35">
      <c r="AT385" s="61"/>
    </row>
    <row r="386" spans="46:46" customFormat="1" ht="14.5" hidden="1" x14ac:dyDescent="0.35">
      <c r="AT386" s="61"/>
    </row>
    <row r="387" spans="46:46" customFormat="1" ht="14.5" hidden="1" x14ac:dyDescent="0.35">
      <c r="AT387" s="61"/>
    </row>
    <row r="388" spans="46:46" customFormat="1" ht="14.5" hidden="1" x14ac:dyDescent="0.35">
      <c r="AT388" s="61"/>
    </row>
    <row r="389" spans="46:46" customFormat="1" ht="14.5" hidden="1" x14ac:dyDescent="0.35">
      <c r="AT389" s="61"/>
    </row>
    <row r="390" spans="46:46" customFormat="1" ht="14.5" hidden="1" x14ac:dyDescent="0.35">
      <c r="AT390" s="61"/>
    </row>
    <row r="391" spans="46:46" customFormat="1" ht="14.5" hidden="1" x14ac:dyDescent="0.35">
      <c r="AT391" s="61"/>
    </row>
    <row r="392" spans="46:46" customFormat="1" ht="14.5" hidden="1" x14ac:dyDescent="0.35">
      <c r="AT392" s="61"/>
    </row>
    <row r="393" spans="46:46" customFormat="1" ht="14.5" hidden="1" x14ac:dyDescent="0.35">
      <c r="AT393" s="61"/>
    </row>
    <row r="394" spans="46:46" customFormat="1" ht="14.5" hidden="1" x14ac:dyDescent="0.35">
      <c r="AT394" s="61"/>
    </row>
    <row r="395" spans="46:46" customFormat="1" ht="14.5" hidden="1" x14ac:dyDescent="0.35">
      <c r="AT395" s="61"/>
    </row>
    <row r="396" spans="46:46" customFormat="1" ht="14.5" hidden="1" x14ac:dyDescent="0.35">
      <c r="AT396" s="61"/>
    </row>
    <row r="397" spans="46:46" customFormat="1" ht="14.5" hidden="1" x14ac:dyDescent="0.35">
      <c r="AT397" s="61"/>
    </row>
    <row r="398" spans="46:46" customFormat="1" ht="14.5" hidden="1" x14ac:dyDescent="0.35">
      <c r="AT398" s="61"/>
    </row>
    <row r="399" spans="46:46" customFormat="1" ht="14.5" hidden="1" x14ac:dyDescent="0.35">
      <c r="AT399" s="61"/>
    </row>
    <row r="400" spans="46:46" customFormat="1" ht="14.5" hidden="1" x14ac:dyDescent="0.35">
      <c r="AT400" s="61"/>
    </row>
    <row r="401" spans="46:46" customFormat="1" ht="14.5" hidden="1" x14ac:dyDescent="0.35">
      <c r="AT401" s="61"/>
    </row>
    <row r="402" spans="46:46" customFormat="1" ht="14.5" hidden="1" x14ac:dyDescent="0.35">
      <c r="AT402" s="61"/>
    </row>
    <row r="403" spans="46:46" customFormat="1" ht="14.5" hidden="1" x14ac:dyDescent="0.35">
      <c r="AT403" s="61"/>
    </row>
    <row r="404" spans="46:46" customFormat="1" ht="14.5" hidden="1" x14ac:dyDescent="0.35">
      <c r="AT404" s="61"/>
    </row>
    <row r="405" spans="46:46" customFormat="1" ht="14.5" hidden="1" x14ac:dyDescent="0.35">
      <c r="AT405" s="61"/>
    </row>
    <row r="406" spans="46:46" customFormat="1" ht="14.5" hidden="1" x14ac:dyDescent="0.35">
      <c r="AT406" s="61"/>
    </row>
    <row r="407" spans="46:46" customFormat="1" ht="14.5" hidden="1" x14ac:dyDescent="0.35">
      <c r="AT407" s="61"/>
    </row>
    <row r="408" spans="46:46" customFormat="1" ht="14.5" hidden="1" x14ac:dyDescent="0.35">
      <c r="AT408" s="61"/>
    </row>
    <row r="409" spans="46:46" customFormat="1" ht="14.5" hidden="1" x14ac:dyDescent="0.35">
      <c r="AT409" s="61"/>
    </row>
    <row r="410" spans="46:46" customFormat="1" ht="14.5" hidden="1" x14ac:dyDescent="0.35">
      <c r="AT410" s="61"/>
    </row>
    <row r="411" spans="46:46" customFormat="1" ht="14.5" hidden="1" x14ac:dyDescent="0.35">
      <c r="AT411" s="61"/>
    </row>
    <row r="412" spans="46:46" customFormat="1" ht="14.5" hidden="1" x14ac:dyDescent="0.35">
      <c r="AT412" s="61"/>
    </row>
    <row r="413" spans="46:46" customFormat="1" ht="14.5" hidden="1" x14ac:dyDescent="0.35">
      <c r="AT413" s="61"/>
    </row>
    <row r="414" spans="46:46" customFormat="1" ht="14.5" hidden="1" x14ac:dyDescent="0.35">
      <c r="AT414" s="61"/>
    </row>
    <row r="415" spans="46:46" customFormat="1" ht="14.5" hidden="1" x14ac:dyDescent="0.35">
      <c r="AT415" s="61"/>
    </row>
    <row r="416" spans="46:46" customFormat="1" ht="14.5" hidden="1" x14ac:dyDescent="0.35">
      <c r="AT416" s="61"/>
    </row>
    <row r="417" spans="46:46" customFormat="1" ht="14.5" hidden="1" x14ac:dyDescent="0.35">
      <c r="AT417" s="61"/>
    </row>
    <row r="418" spans="46:46" customFormat="1" ht="14.5" hidden="1" x14ac:dyDescent="0.35">
      <c r="AT418" s="61"/>
    </row>
    <row r="419" spans="46:46" customFormat="1" ht="14.5" hidden="1" x14ac:dyDescent="0.35">
      <c r="AT419" s="61"/>
    </row>
    <row r="420" spans="46:46" customFormat="1" ht="14.5" hidden="1" x14ac:dyDescent="0.35">
      <c r="AT420" s="61"/>
    </row>
    <row r="421" spans="46:46" customFormat="1" ht="14.5" hidden="1" x14ac:dyDescent="0.35">
      <c r="AT421" s="61"/>
    </row>
    <row r="422" spans="46:46" customFormat="1" ht="14.5" hidden="1" x14ac:dyDescent="0.35">
      <c r="AT422" s="61"/>
    </row>
    <row r="423" spans="46:46" customFormat="1" ht="14.5" hidden="1" x14ac:dyDescent="0.35">
      <c r="AT423" s="61"/>
    </row>
    <row r="424" spans="46:46" customFormat="1" ht="14.5" hidden="1" x14ac:dyDescent="0.35">
      <c r="AT424" s="61"/>
    </row>
    <row r="425" spans="46:46" customFormat="1" ht="14.5" hidden="1" x14ac:dyDescent="0.35">
      <c r="AT425" s="61"/>
    </row>
    <row r="426" spans="46:46" customFormat="1" ht="14.5" hidden="1" x14ac:dyDescent="0.35">
      <c r="AT426" s="61"/>
    </row>
    <row r="427" spans="46:46" customFormat="1" ht="14.5" hidden="1" x14ac:dyDescent="0.35">
      <c r="AT427" s="61"/>
    </row>
    <row r="428" spans="46:46" customFormat="1" ht="14.5" hidden="1" x14ac:dyDescent="0.35">
      <c r="AT428" s="61"/>
    </row>
    <row r="429" spans="46:46" customFormat="1" ht="14.5" hidden="1" x14ac:dyDescent="0.35">
      <c r="AT429" s="61"/>
    </row>
    <row r="430" spans="46:46" customFormat="1" ht="14.5" hidden="1" x14ac:dyDescent="0.35">
      <c r="AT430" s="61"/>
    </row>
    <row r="431" spans="46:46" customFormat="1" ht="14.5" hidden="1" x14ac:dyDescent="0.35">
      <c r="AT431" s="61"/>
    </row>
    <row r="432" spans="46:46" customFormat="1" ht="14.5" hidden="1" x14ac:dyDescent="0.35">
      <c r="AT432" s="61"/>
    </row>
    <row r="433" spans="46:46" customFormat="1" ht="14.5" hidden="1" x14ac:dyDescent="0.35">
      <c r="AT433" s="61"/>
    </row>
    <row r="434" spans="46:46" customFormat="1" ht="14.5" hidden="1" x14ac:dyDescent="0.35">
      <c r="AT434" s="61"/>
    </row>
    <row r="435" spans="46:46" customFormat="1" ht="14.5" hidden="1" x14ac:dyDescent="0.35">
      <c r="AT435" s="61"/>
    </row>
    <row r="436" spans="46:46" customFormat="1" ht="14.5" hidden="1" x14ac:dyDescent="0.35">
      <c r="AT436" s="61"/>
    </row>
    <row r="437" spans="46:46" customFormat="1" ht="14.5" hidden="1" x14ac:dyDescent="0.35">
      <c r="AT437" s="61"/>
    </row>
    <row r="438" spans="46:46" customFormat="1" ht="14.5" hidden="1" x14ac:dyDescent="0.35">
      <c r="AT438" s="61"/>
    </row>
    <row r="439" spans="46:46" customFormat="1" ht="14.5" hidden="1" x14ac:dyDescent="0.35">
      <c r="AT439" s="61"/>
    </row>
    <row r="440" spans="46:46" customFormat="1" ht="14.5" hidden="1" x14ac:dyDescent="0.35">
      <c r="AT440" s="61"/>
    </row>
    <row r="441" spans="46:46" customFormat="1" ht="14.5" hidden="1" x14ac:dyDescent="0.35">
      <c r="AT441" s="61"/>
    </row>
    <row r="442" spans="46:46" customFormat="1" ht="14.5" hidden="1" x14ac:dyDescent="0.35">
      <c r="AT442" s="61"/>
    </row>
    <row r="443" spans="46:46" customFormat="1" ht="14.5" hidden="1" x14ac:dyDescent="0.35">
      <c r="AT443" s="61"/>
    </row>
    <row r="444" spans="46:46" customFormat="1" ht="14.5" hidden="1" x14ac:dyDescent="0.35">
      <c r="AT444" s="61"/>
    </row>
    <row r="445" spans="46:46" customFormat="1" ht="14.5" hidden="1" x14ac:dyDescent="0.35">
      <c r="AT445" s="61"/>
    </row>
    <row r="446" spans="46:46" customFormat="1" ht="14.5" hidden="1" x14ac:dyDescent="0.35">
      <c r="AT446" s="61"/>
    </row>
    <row r="447" spans="46:46" customFormat="1" ht="14.5" hidden="1" x14ac:dyDescent="0.35">
      <c r="AT447" s="61"/>
    </row>
    <row r="448" spans="46:46" customFormat="1" ht="14.5" hidden="1" x14ac:dyDescent="0.35">
      <c r="AT448" s="61"/>
    </row>
    <row r="449" spans="46:46" customFormat="1" ht="14.5" hidden="1" x14ac:dyDescent="0.35">
      <c r="AT449" s="61"/>
    </row>
    <row r="450" spans="46:46" customFormat="1" ht="14.5" hidden="1" x14ac:dyDescent="0.35">
      <c r="AT450" s="61"/>
    </row>
    <row r="451" spans="46:46" customFormat="1" ht="14.5" hidden="1" x14ac:dyDescent="0.35">
      <c r="AT451" s="61"/>
    </row>
    <row r="452" spans="46:46" customFormat="1" ht="14.5" hidden="1" x14ac:dyDescent="0.35">
      <c r="AT452" s="61"/>
    </row>
    <row r="453" spans="46:46" customFormat="1" ht="14.5" hidden="1" x14ac:dyDescent="0.35">
      <c r="AT453" s="61"/>
    </row>
    <row r="454" spans="46:46" customFormat="1" ht="14.5" hidden="1" x14ac:dyDescent="0.35">
      <c r="AT454" s="61"/>
    </row>
    <row r="455" spans="46:46" customFormat="1" ht="14.5" hidden="1" x14ac:dyDescent="0.35">
      <c r="AT455" s="61"/>
    </row>
    <row r="456" spans="46:46" customFormat="1" ht="14.5" hidden="1" x14ac:dyDescent="0.35">
      <c r="AT456" s="61"/>
    </row>
    <row r="457" spans="46:46" customFormat="1" ht="14.5" hidden="1" x14ac:dyDescent="0.35">
      <c r="AT457" s="61"/>
    </row>
    <row r="458" spans="46:46" customFormat="1" ht="14.5" hidden="1" x14ac:dyDescent="0.35">
      <c r="AT458" s="61"/>
    </row>
    <row r="459" spans="46:46" customFormat="1" ht="14.5" hidden="1" x14ac:dyDescent="0.35">
      <c r="AT459" s="61"/>
    </row>
    <row r="460" spans="46:46" customFormat="1" ht="14.5" hidden="1" x14ac:dyDescent="0.35">
      <c r="AT460" s="61"/>
    </row>
    <row r="461" spans="46:46" customFormat="1" ht="14.5" hidden="1" x14ac:dyDescent="0.35">
      <c r="AT461" s="61"/>
    </row>
    <row r="462" spans="46:46" customFormat="1" ht="14.5" hidden="1" x14ac:dyDescent="0.35">
      <c r="AT462" s="61"/>
    </row>
    <row r="463" spans="46:46" customFormat="1" ht="14.5" hidden="1" x14ac:dyDescent="0.35">
      <c r="AT463" s="61"/>
    </row>
    <row r="464" spans="46:46" customFormat="1" ht="14.5" hidden="1" x14ac:dyDescent="0.35">
      <c r="AT464" s="61"/>
    </row>
    <row r="465" spans="46:46" customFormat="1" ht="14.5" hidden="1" x14ac:dyDescent="0.35">
      <c r="AT465" s="61"/>
    </row>
    <row r="466" spans="46:46" customFormat="1" ht="14.5" hidden="1" x14ac:dyDescent="0.35">
      <c r="AT466" s="61"/>
    </row>
    <row r="467" spans="46:46" customFormat="1" ht="14.5" hidden="1" x14ac:dyDescent="0.35">
      <c r="AT467" s="61"/>
    </row>
    <row r="468" spans="46:46" customFormat="1" ht="14.5" hidden="1" x14ac:dyDescent="0.35">
      <c r="AT468" s="61"/>
    </row>
    <row r="469" spans="46:46" customFormat="1" ht="14.5" hidden="1" x14ac:dyDescent="0.35">
      <c r="AT469" s="61"/>
    </row>
    <row r="470" spans="46:46" customFormat="1" ht="14.5" hidden="1" x14ac:dyDescent="0.35">
      <c r="AT470" s="61"/>
    </row>
    <row r="471" spans="46:46" customFormat="1" ht="14.5" hidden="1" x14ac:dyDescent="0.35">
      <c r="AT471" s="61"/>
    </row>
    <row r="472" spans="46:46" customFormat="1" ht="14.5" hidden="1" x14ac:dyDescent="0.35">
      <c r="AT472" s="61"/>
    </row>
    <row r="473" spans="46:46" customFormat="1" ht="14.5" hidden="1" x14ac:dyDescent="0.35">
      <c r="AT473" s="61"/>
    </row>
    <row r="474" spans="46:46" customFormat="1" ht="14.5" hidden="1" x14ac:dyDescent="0.35">
      <c r="AT474" s="61"/>
    </row>
    <row r="475" spans="46:46" customFormat="1" ht="14.5" hidden="1" x14ac:dyDescent="0.35">
      <c r="AT475" s="61"/>
    </row>
    <row r="476" spans="46:46" customFormat="1" ht="14.5" hidden="1" x14ac:dyDescent="0.35">
      <c r="AT476" s="61"/>
    </row>
    <row r="477" spans="46:46" customFormat="1" ht="14.5" hidden="1" x14ac:dyDescent="0.35">
      <c r="AT477" s="61"/>
    </row>
    <row r="478" spans="46:46" customFormat="1" ht="14.5" hidden="1" x14ac:dyDescent="0.35">
      <c r="AT478" s="61"/>
    </row>
    <row r="479" spans="46:46" customFormat="1" ht="14.5" hidden="1" x14ac:dyDescent="0.35">
      <c r="AT479" s="61"/>
    </row>
    <row r="480" spans="46:46" customFormat="1" ht="14.5" hidden="1" x14ac:dyDescent="0.35">
      <c r="AT480" s="61"/>
    </row>
    <row r="481" spans="46:46" customFormat="1" ht="14.5" hidden="1" x14ac:dyDescent="0.35">
      <c r="AT481" s="61"/>
    </row>
    <row r="482" spans="46:46" customFormat="1" ht="14.5" hidden="1" x14ac:dyDescent="0.35">
      <c r="AT482" s="61"/>
    </row>
    <row r="483" spans="46:46" customFormat="1" ht="14.5" hidden="1" x14ac:dyDescent="0.35">
      <c r="AT483" s="61"/>
    </row>
    <row r="484" spans="46:46" customFormat="1" ht="14.5" hidden="1" x14ac:dyDescent="0.35">
      <c r="AT484" s="61"/>
    </row>
    <row r="485" spans="46:46" customFormat="1" ht="14.5" hidden="1" x14ac:dyDescent="0.35">
      <c r="AT485" s="61"/>
    </row>
    <row r="486" spans="46:46" customFormat="1" ht="14.5" hidden="1" x14ac:dyDescent="0.35">
      <c r="AT486" s="61"/>
    </row>
    <row r="487" spans="46:46" customFormat="1" ht="14.5" hidden="1" x14ac:dyDescent="0.35">
      <c r="AT487" s="61"/>
    </row>
    <row r="488" spans="46:46" customFormat="1" ht="14.5" hidden="1" x14ac:dyDescent="0.35">
      <c r="AT488" s="61"/>
    </row>
    <row r="489" spans="46:46" customFormat="1" ht="14.5" hidden="1" x14ac:dyDescent="0.35">
      <c r="AT489" s="61"/>
    </row>
    <row r="490" spans="46:46" customFormat="1" ht="14.5" hidden="1" x14ac:dyDescent="0.35">
      <c r="AT490" s="61"/>
    </row>
    <row r="491" spans="46:46" customFormat="1" ht="14.5" hidden="1" x14ac:dyDescent="0.35">
      <c r="AT491" s="61"/>
    </row>
    <row r="492" spans="46:46" customFormat="1" ht="14.5" hidden="1" x14ac:dyDescent="0.35">
      <c r="AT492" s="61"/>
    </row>
    <row r="493" spans="46:46" customFormat="1" ht="14.5" hidden="1" x14ac:dyDescent="0.35">
      <c r="AT493" s="61"/>
    </row>
    <row r="494" spans="46:46" customFormat="1" ht="14.5" hidden="1" x14ac:dyDescent="0.35">
      <c r="AT494" s="61"/>
    </row>
    <row r="495" spans="46:46" customFormat="1" ht="14.5" hidden="1" x14ac:dyDescent="0.35">
      <c r="AT495" s="61"/>
    </row>
    <row r="496" spans="46:46" customFormat="1" ht="14.5" hidden="1" x14ac:dyDescent="0.35">
      <c r="AT496" s="61"/>
    </row>
    <row r="497" spans="46:46" customFormat="1" ht="14.5" hidden="1" x14ac:dyDescent="0.35">
      <c r="AT497" s="61"/>
    </row>
    <row r="498" spans="46:46" customFormat="1" ht="14.5" hidden="1" x14ac:dyDescent="0.35">
      <c r="AT498" s="61"/>
    </row>
    <row r="499" spans="46:46" customFormat="1" ht="14.5" hidden="1" x14ac:dyDescent="0.35">
      <c r="AT499" s="61"/>
    </row>
    <row r="500" spans="46:46" customFormat="1" ht="14.5" hidden="1" x14ac:dyDescent="0.35">
      <c r="AT500" s="61"/>
    </row>
    <row r="501" spans="46:46" customFormat="1" ht="14.5" hidden="1" x14ac:dyDescent="0.35">
      <c r="AT501" s="61"/>
    </row>
    <row r="502" spans="46:46" customFormat="1" ht="14.5" hidden="1" x14ac:dyDescent="0.35">
      <c r="AT502" s="61"/>
    </row>
    <row r="503" spans="46:46" customFormat="1" ht="14.5" hidden="1" x14ac:dyDescent="0.35">
      <c r="AT503" s="61"/>
    </row>
    <row r="504" spans="46:46" customFormat="1" ht="14.5" hidden="1" x14ac:dyDescent="0.35">
      <c r="AT504" s="61"/>
    </row>
    <row r="505" spans="46:46" customFormat="1" ht="14.5" hidden="1" x14ac:dyDescent="0.35">
      <c r="AT505" s="61"/>
    </row>
    <row r="506" spans="46:46" customFormat="1" ht="14.5" hidden="1" x14ac:dyDescent="0.35">
      <c r="AT506" s="61"/>
    </row>
    <row r="507" spans="46:46" customFormat="1" ht="14.5" hidden="1" x14ac:dyDescent="0.35">
      <c r="AT507" s="61"/>
    </row>
    <row r="508" spans="46:46" customFormat="1" ht="14.5" hidden="1" x14ac:dyDescent="0.35">
      <c r="AT508" s="61"/>
    </row>
    <row r="509" spans="46:46" customFormat="1" ht="14.5" hidden="1" x14ac:dyDescent="0.35">
      <c r="AT509" s="61"/>
    </row>
    <row r="510" spans="46:46" customFormat="1" ht="14.5" hidden="1" x14ac:dyDescent="0.35">
      <c r="AT510" s="61"/>
    </row>
    <row r="511" spans="46:46" customFormat="1" ht="14.5" hidden="1" x14ac:dyDescent="0.35">
      <c r="AT511" s="61"/>
    </row>
    <row r="512" spans="46:46" customFormat="1" ht="14.5" hidden="1" x14ac:dyDescent="0.35">
      <c r="AT512" s="61"/>
    </row>
    <row r="513" spans="46:46" customFormat="1" ht="14.5" hidden="1" x14ac:dyDescent="0.35">
      <c r="AT513" s="61"/>
    </row>
    <row r="514" spans="46:46" customFormat="1" ht="14.5" hidden="1" x14ac:dyDescent="0.35">
      <c r="AT514" s="61"/>
    </row>
    <row r="515" spans="46:46" customFormat="1" ht="14.5" hidden="1" x14ac:dyDescent="0.35">
      <c r="AT515" s="61"/>
    </row>
    <row r="516" spans="46:46" customFormat="1" ht="14.5" hidden="1" x14ac:dyDescent="0.35">
      <c r="AT516" s="61"/>
    </row>
    <row r="517" spans="46:46" customFormat="1" ht="14.5" hidden="1" x14ac:dyDescent="0.35">
      <c r="AT517" s="61"/>
    </row>
    <row r="518" spans="46:46" customFormat="1" ht="14.5" hidden="1" x14ac:dyDescent="0.35">
      <c r="AT518" s="61"/>
    </row>
    <row r="519" spans="46:46" customFormat="1" ht="14.5" hidden="1" x14ac:dyDescent="0.35">
      <c r="AT519" s="61"/>
    </row>
    <row r="520" spans="46:46" customFormat="1" ht="14.5" hidden="1" x14ac:dyDescent="0.35">
      <c r="AT520" s="61"/>
    </row>
    <row r="521" spans="46:46" customFormat="1" ht="14.5" hidden="1" x14ac:dyDescent="0.35">
      <c r="AT521" s="61"/>
    </row>
    <row r="522" spans="46:46" customFormat="1" ht="14.5" hidden="1" x14ac:dyDescent="0.35">
      <c r="AT522" s="61"/>
    </row>
    <row r="523" spans="46:46" customFormat="1" ht="14.5" hidden="1" x14ac:dyDescent="0.35">
      <c r="AT523" s="61"/>
    </row>
    <row r="524" spans="46:46" customFormat="1" ht="14.5" hidden="1" x14ac:dyDescent="0.35">
      <c r="AT524" s="61"/>
    </row>
    <row r="525" spans="46:46" customFormat="1" ht="14.5" hidden="1" x14ac:dyDescent="0.35">
      <c r="AT525" s="61"/>
    </row>
    <row r="526" spans="46:46" customFormat="1" ht="14.5" hidden="1" x14ac:dyDescent="0.35">
      <c r="AT526" s="61"/>
    </row>
    <row r="527" spans="46:46" customFormat="1" ht="14.5" hidden="1" x14ac:dyDescent="0.35">
      <c r="AT527" s="61"/>
    </row>
    <row r="528" spans="46:46" customFormat="1" ht="14.5" hidden="1" x14ac:dyDescent="0.35">
      <c r="AT528" s="61"/>
    </row>
    <row r="529" spans="46:46" customFormat="1" ht="14.5" hidden="1" x14ac:dyDescent="0.35">
      <c r="AT529" s="61"/>
    </row>
    <row r="530" spans="46:46" customFormat="1" ht="14.5" hidden="1" x14ac:dyDescent="0.35">
      <c r="AT530" s="61"/>
    </row>
    <row r="531" spans="46:46" customFormat="1" ht="14.5" hidden="1" x14ac:dyDescent="0.35">
      <c r="AT531" s="61"/>
    </row>
    <row r="532" spans="46:46" customFormat="1" ht="14.5" hidden="1" x14ac:dyDescent="0.35">
      <c r="AT532" s="61"/>
    </row>
    <row r="533" spans="46:46" customFormat="1" ht="14.5" hidden="1" x14ac:dyDescent="0.35">
      <c r="AT533" s="61"/>
    </row>
    <row r="534" spans="46:46" customFormat="1" ht="14.5" hidden="1" x14ac:dyDescent="0.35">
      <c r="AT534" s="61"/>
    </row>
    <row r="535" spans="46:46" customFormat="1" ht="14.5" hidden="1" x14ac:dyDescent="0.35">
      <c r="AT535" s="61"/>
    </row>
    <row r="536" spans="46:46" customFormat="1" ht="14.5" hidden="1" x14ac:dyDescent="0.35">
      <c r="AT536" s="61"/>
    </row>
    <row r="537" spans="46:46" customFormat="1" ht="14.5" hidden="1" x14ac:dyDescent="0.35">
      <c r="AT537" s="61"/>
    </row>
    <row r="538" spans="46:46" customFormat="1" ht="14.5" hidden="1" x14ac:dyDescent="0.35">
      <c r="AT538" s="61"/>
    </row>
    <row r="539" spans="46:46" customFormat="1" ht="14.5" hidden="1" x14ac:dyDescent="0.35">
      <c r="AT539" s="61"/>
    </row>
    <row r="540" spans="46:46" customFormat="1" ht="14.5" hidden="1" x14ac:dyDescent="0.35">
      <c r="AT540" s="61"/>
    </row>
    <row r="541" spans="46:46" customFormat="1" ht="14.5" hidden="1" x14ac:dyDescent="0.35">
      <c r="AT541" s="61"/>
    </row>
    <row r="542" spans="46:46" customFormat="1" ht="14.5" hidden="1" x14ac:dyDescent="0.35">
      <c r="AT542" s="61"/>
    </row>
    <row r="543" spans="46:46" customFormat="1" ht="14.5" hidden="1" x14ac:dyDescent="0.35">
      <c r="AT543" s="61"/>
    </row>
    <row r="544" spans="46:46" customFormat="1" ht="14.5" hidden="1" x14ac:dyDescent="0.35">
      <c r="AT544" s="61"/>
    </row>
    <row r="545" spans="46:46" customFormat="1" ht="14.5" hidden="1" x14ac:dyDescent="0.35">
      <c r="AT545" s="61"/>
    </row>
    <row r="546" spans="46:46" customFormat="1" ht="14.5" hidden="1" x14ac:dyDescent="0.35">
      <c r="AT546" s="61"/>
    </row>
    <row r="547" spans="46:46" customFormat="1" ht="14.5" hidden="1" x14ac:dyDescent="0.35">
      <c r="AT547" s="61"/>
    </row>
    <row r="548" spans="46:46" customFormat="1" ht="14.5" hidden="1" x14ac:dyDescent="0.35">
      <c r="AT548" s="61"/>
    </row>
    <row r="549" spans="46:46" customFormat="1" ht="14.5" hidden="1" x14ac:dyDescent="0.35">
      <c r="AT549" s="61"/>
    </row>
    <row r="550" spans="46:46" customFormat="1" ht="14.5" hidden="1" x14ac:dyDescent="0.35">
      <c r="AT550" s="61"/>
    </row>
    <row r="551" spans="46:46" customFormat="1" ht="14.5" hidden="1" x14ac:dyDescent="0.35">
      <c r="AT551" s="61"/>
    </row>
    <row r="552" spans="46:46" customFormat="1" ht="14.5" hidden="1" x14ac:dyDescent="0.35">
      <c r="AT552" s="61"/>
    </row>
    <row r="553" spans="46:46" customFormat="1" ht="14.5" hidden="1" x14ac:dyDescent="0.35">
      <c r="AT553" s="61"/>
    </row>
    <row r="554" spans="46:46" customFormat="1" ht="14.5" hidden="1" x14ac:dyDescent="0.35">
      <c r="AT554" s="61"/>
    </row>
    <row r="555" spans="46:46" customFormat="1" ht="14.5" hidden="1" x14ac:dyDescent="0.35">
      <c r="AT555" s="61"/>
    </row>
    <row r="556" spans="46:46" customFormat="1" ht="14.5" hidden="1" x14ac:dyDescent="0.35">
      <c r="AT556" s="61"/>
    </row>
    <row r="557" spans="46:46" customFormat="1" ht="14.5" hidden="1" x14ac:dyDescent="0.35">
      <c r="AT557" s="61"/>
    </row>
    <row r="558" spans="46:46" customFormat="1" ht="14.5" hidden="1" x14ac:dyDescent="0.35">
      <c r="AT558" s="61"/>
    </row>
    <row r="559" spans="46:46" customFormat="1" ht="14.5" hidden="1" x14ac:dyDescent="0.35">
      <c r="AT559" s="61"/>
    </row>
    <row r="560" spans="46:46" customFormat="1" ht="14.5" hidden="1" x14ac:dyDescent="0.35">
      <c r="AT560" s="61"/>
    </row>
    <row r="561" spans="46:46" customFormat="1" ht="14.5" hidden="1" x14ac:dyDescent="0.35">
      <c r="AT561" s="61"/>
    </row>
    <row r="562" spans="46:46" customFormat="1" ht="14.5" hidden="1" x14ac:dyDescent="0.35">
      <c r="AT562" s="61"/>
    </row>
    <row r="563" spans="46:46" customFormat="1" ht="14.5" hidden="1" x14ac:dyDescent="0.35">
      <c r="AT563" s="61"/>
    </row>
    <row r="564" spans="46:46" customFormat="1" ht="14.5" hidden="1" x14ac:dyDescent="0.35">
      <c r="AT564" s="61"/>
    </row>
    <row r="565" spans="46:46" customFormat="1" ht="14.5" hidden="1" x14ac:dyDescent="0.35">
      <c r="AT565" s="61"/>
    </row>
    <row r="566" spans="46:46" customFormat="1" ht="14.5" hidden="1" x14ac:dyDescent="0.35">
      <c r="AT566" s="61"/>
    </row>
    <row r="567" spans="46:46" customFormat="1" ht="14.5" hidden="1" x14ac:dyDescent="0.35">
      <c r="AT567" s="61"/>
    </row>
    <row r="568" spans="46:46" customFormat="1" ht="14.5" hidden="1" x14ac:dyDescent="0.35">
      <c r="AT568" s="61"/>
    </row>
    <row r="569" spans="46:46" customFormat="1" ht="14.5" hidden="1" x14ac:dyDescent="0.35">
      <c r="AT569" s="61"/>
    </row>
    <row r="570" spans="46:46" customFormat="1" ht="14.5" hidden="1" x14ac:dyDescent="0.35">
      <c r="AT570" s="61"/>
    </row>
    <row r="571" spans="46:46" customFormat="1" ht="14.5" hidden="1" x14ac:dyDescent="0.35">
      <c r="AT571" s="61"/>
    </row>
    <row r="572" spans="46:46" customFormat="1" ht="14.5" hidden="1" x14ac:dyDescent="0.35">
      <c r="AT572" s="61"/>
    </row>
    <row r="573" spans="46:46" customFormat="1" ht="14.5" hidden="1" x14ac:dyDescent="0.35">
      <c r="AT573" s="61"/>
    </row>
    <row r="574" spans="46:46" customFormat="1" ht="14.5" hidden="1" x14ac:dyDescent="0.35">
      <c r="AT574" s="61"/>
    </row>
    <row r="575" spans="46:46" customFormat="1" ht="14.5" hidden="1" x14ac:dyDescent="0.35">
      <c r="AT575" s="61"/>
    </row>
    <row r="576" spans="46:46" customFormat="1" ht="14.5" hidden="1" x14ac:dyDescent="0.35">
      <c r="AT576" s="61"/>
    </row>
    <row r="577" spans="46:46" customFormat="1" ht="14.5" hidden="1" x14ac:dyDescent="0.35">
      <c r="AT577" s="61"/>
    </row>
    <row r="578" spans="46:46" customFormat="1" ht="14.5" hidden="1" x14ac:dyDescent="0.35">
      <c r="AT578" s="61"/>
    </row>
    <row r="579" spans="46:46" customFormat="1" ht="14.5" hidden="1" x14ac:dyDescent="0.35">
      <c r="AT579" s="61"/>
    </row>
    <row r="580" spans="46:46" customFormat="1" ht="14.5" hidden="1" x14ac:dyDescent="0.35">
      <c r="AT580" s="61"/>
    </row>
    <row r="581" spans="46:46" customFormat="1" ht="14.5" hidden="1" x14ac:dyDescent="0.35">
      <c r="AT581" s="61"/>
    </row>
    <row r="582" spans="46:46" customFormat="1" ht="14.5" hidden="1" x14ac:dyDescent="0.35">
      <c r="AT582" s="61"/>
    </row>
    <row r="583" spans="46:46" customFormat="1" ht="14.5" hidden="1" x14ac:dyDescent="0.35">
      <c r="AT583" s="61"/>
    </row>
    <row r="584" spans="46:46" customFormat="1" ht="14.5" hidden="1" x14ac:dyDescent="0.35">
      <c r="AT584" s="61"/>
    </row>
    <row r="585" spans="46:46" customFormat="1" ht="14.5" hidden="1" x14ac:dyDescent="0.35">
      <c r="AT585" s="61"/>
    </row>
    <row r="586" spans="46:46" customFormat="1" ht="14.5" hidden="1" x14ac:dyDescent="0.35">
      <c r="AT586" s="61"/>
    </row>
    <row r="587" spans="46:46" customFormat="1" ht="14.5" hidden="1" x14ac:dyDescent="0.35">
      <c r="AT587" s="61"/>
    </row>
    <row r="588" spans="46:46" customFormat="1" ht="14.5" hidden="1" x14ac:dyDescent="0.35">
      <c r="AT588" s="61"/>
    </row>
    <row r="589" spans="46:46" customFormat="1" ht="14.5" hidden="1" x14ac:dyDescent="0.35">
      <c r="AT589" s="61"/>
    </row>
    <row r="590" spans="46:46" customFormat="1" ht="14.5" hidden="1" x14ac:dyDescent="0.35">
      <c r="AT590" s="61"/>
    </row>
    <row r="591" spans="46:46" customFormat="1" ht="14.5" hidden="1" x14ac:dyDescent="0.35">
      <c r="AT591" s="61"/>
    </row>
    <row r="592" spans="46:46" customFormat="1" ht="14.5" hidden="1" x14ac:dyDescent="0.35">
      <c r="AT592" s="61"/>
    </row>
    <row r="593" spans="46:46" customFormat="1" ht="14.5" hidden="1" x14ac:dyDescent="0.35">
      <c r="AT593" s="61"/>
    </row>
    <row r="594" spans="46:46" customFormat="1" ht="14.5" hidden="1" x14ac:dyDescent="0.35">
      <c r="AT594" s="61"/>
    </row>
    <row r="595" spans="46:46" customFormat="1" ht="14.5" hidden="1" x14ac:dyDescent="0.35">
      <c r="AT595" s="61"/>
    </row>
    <row r="596" spans="46:46" customFormat="1" ht="14.5" hidden="1" x14ac:dyDescent="0.35">
      <c r="AT596" s="61"/>
    </row>
    <row r="597" spans="46:46" customFormat="1" ht="14.5" hidden="1" x14ac:dyDescent="0.35">
      <c r="AT597" s="61"/>
    </row>
    <row r="598" spans="46:46" customFormat="1" ht="14.5" hidden="1" x14ac:dyDescent="0.35">
      <c r="AT598" s="61"/>
    </row>
    <row r="599" spans="46:46" customFormat="1" ht="14.5" hidden="1" x14ac:dyDescent="0.35">
      <c r="AT599" s="61"/>
    </row>
    <row r="600" spans="46:46" customFormat="1" ht="14.5" hidden="1" x14ac:dyDescent="0.35">
      <c r="AT600" s="61"/>
    </row>
    <row r="601" spans="46:46" customFormat="1" ht="14.5" hidden="1" x14ac:dyDescent="0.35">
      <c r="AT601" s="61"/>
    </row>
    <row r="602" spans="46:46" customFormat="1" ht="14.5" hidden="1" x14ac:dyDescent="0.35">
      <c r="AT602" s="61"/>
    </row>
    <row r="603" spans="46:46" customFormat="1" ht="14.5" hidden="1" x14ac:dyDescent="0.35">
      <c r="AT603" s="61"/>
    </row>
    <row r="604" spans="46:46" customFormat="1" ht="14.5" hidden="1" x14ac:dyDescent="0.35">
      <c r="AT604" s="61"/>
    </row>
    <row r="605" spans="46:46" customFormat="1" ht="14.5" hidden="1" x14ac:dyDescent="0.35">
      <c r="AT605" s="61"/>
    </row>
    <row r="606" spans="46:46" customFormat="1" ht="14.5" hidden="1" x14ac:dyDescent="0.35">
      <c r="AT606" s="61"/>
    </row>
    <row r="607" spans="46:46" customFormat="1" ht="14.5" hidden="1" x14ac:dyDescent="0.35">
      <c r="AT607" s="61"/>
    </row>
    <row r="608" spans="46:46" customFormat="1" ht="14.5" hidden="1" x14ac:dyDescent="0.35">
      <c r="AT608" s="61"/>
    </row>
    <row r="609" spans="46:46" customFormat="1" ht="14.5" hidden="1" x14ac:dyDescent="0.35">
      <c r="AT609" s="61"/>
    </row>
    <row r="610" spans="46:46" customFormat="1" ht="14.5" hidden="1" x14ac:dyDescent="0.35">
      <c r="AT610" s="61"/>
    </row>
    <row r="611" spans="46:46" customFormat="1" ht="14.5" hidden="1" x14ac:dyDescent="0.35">
      <c r="AT611" s="61"/>
    </row>
    <row r="612" spans="46:46" customFormat="1" ht="14.5" hidden="1" x14ac:dyDescent="0.35">
      <c r="AT612" s="61"/>
    </row>
    <row r="613" spans="46:46" customFormat="1" ht="14.5" hidden="1" x14ac:dyDescent="0.35">
      <c r="AT613" s="61"/>
    </row>
    <row r="614" spans="46:46" customFormat="1" ht="14.5" hidden="1" x14ac:dyDescent="0.35">
      <c r="AT614" s="61"/>
    </row>
    <row r="615" spans="46:46" customFormat="1" ht="14.5" hidden="1" x14ac:dyDescent="0.35">
      <c r="AT615" s="61"/>
    </row>
    <row r="616" spans="46:46" customFormat="1" ht="14.5" hidden="1" x14ac:dyDescent="0.35">
      <c r="AT616" s="61"/>
    </row>
    <row r="617" spans="46:46" customFormat="1" ht="14.5" hidden="1" x14ac:dyDescent="0.35">
      <c r="AT617" s="61"/>
    </row>
    <row r="618" spans="46:46" customFormat="1" ht="14.5" hidden="1" x14ac:dyDescent="0.35">
      <c r="AT618" s="61"/>
    </row>
    <row r="619" spans="46:46" customFormat="1" ht="14.5" hidden="1" x14ac:dyDescent="0.35">
      <c r="AT619" s="61"/>
    </row>
    <row r="620" spans="46:46" customFormat="1" ht="14.5" hidden="1" x14ac:dyDescent="0.35">
      <c r="AT620" s="61"/>
    </row>
    <row r="621" spans="46:46" customFormat="1" ht="14.5" hidden="1" x14ac:dyDescent="0.35">
      <c r="AT621" s="61"/>
    </row>
    <row r="622" spans="46:46" customFormat="1" ht="14.5" hidden="1" x14ac:dyDescent="0.35">
      <c r="AT622" s="61"/>
    </row>
    <row r="623" spans="46:46" customFormat="1" ht="14.5" hidden="1" x14ac:dyDescent="0.35">
      <c r="AT623" s="61"/>
    </row>
    <row r="624" spans="46:46" customFormat="1" ht="14.5" hidden="1" x14ac:dyDescent="0.35">
      <c r="AT624" s="61"/>
    </row>
    <row r="625" spans="46:46" customFormat="1" ht="14.5" hidden="1" x14ac:dyDescent="0.35">
      <c r="AT625" s="61"/>
    </row>
    <row r="626" spans="46:46" customFormat="1" ht="14.5" hidden="1" x14ac:dyDescent="0.35">
      <c r="AT626" s="61"/>
    </row>
    <row r="627" spans="46:46" customFormat="1" ht="14.5" hidden="1" x14ac:dyDescent="0.35">
      <c r="AT627" s="61"/>
    </row>
    <row r="628" spans="46:46" customFormat="1" ht="14.5" hidden="1" x14ac:dyDescent="0.35">
      <c r="AT628" s="61"/>
    </row>
    <row r="629" spans="46:46" customFormat="1" ht="14.5" hidden="1" x14ac:dyDescent="0.35">
      <c r="AT629" s="61"/>
    </row>
    <row r="630" spans="46:46" customFormat="1" ht="14.5" hidden="1" x14ac:dyDescent="0.35">
      <c r="AT630" s="61"/>
    </row>
    <row r="631" spans="46:46" customFormat="1" ht="14.5" hidden="1" x14ac:dyDescent="0.35">
      <c r="AT631" s="61"/>
    </row>
    <row r="632" spans="46:46" customFormat="1" ht="14.5" hidden="1" x14ac:dyDescent="0.35">
      <c r="AT632" s="61"/>
    </row>
    <row r="633" spans="46:46" customFormat="1" ht="14.5" hidden="1" x14ac:dyDescent="0.35">
      <c r="AT633" s="61"/>
    </row>
    <row r="634" spans="46:46" customFormat="1" ht="14.5" hidden="1" x14ac:dyDescent="0.35">
      <c r="AT634" s="61"/>
    </row>
    <row r="635" spans="46:46" customFormat="1" ht="14.5" hidden="1" x14ac:dyDescent="0.35">
      <c r="AT635" s="61"/>
    </row>
    <row r="636" spans="46:46" customFormat="1" ht="14.5" hidden="1" x14ac:dyDescent="0.35">
      <c r="AT636" s="61"/>
    </row>
    <row r="637" spans="46:46" customFormat="1" ht="14.5" hidden="1" x14ac:dyDescent="0.35">
      <c r="AT637" s="61"/>
    </row>
    <row r="638" spans="46:46" customFormat="1" ht="14.5" hidden="1" x14ac:dyDescent="0.35">
      <c r="AT638" s="61"/>
    </row>
    <row r="639" spans="46:46" customFormat="1" ht="14.5" hidden="1" x14ac:dyDescent="0.35">
      <c r="AT639" s="61"/>
    </row>
    <row r="640" spans="46:46" customFormat="1" ht="14.5" hidden="1" x14ac:dyDescent="0.35">
      <c r="AT640" s="61"/>
    </row>
    <row r="641" spans="46:46" customFormat="1" ht="14.5" hidden="1" x14ac:dyDescent="0.35">
      <c r="AT641" s="61"/>
    </row>
    <row r="642" spans="46:46" customFormat="1" ht="14.5" hidden="1" x14ac:dyDescent="0.35">
      <c r="AT642" s="61"/>
    </row>
    <row r="643" spans="46:46" customFormat="1" ht="14.5" hidden="1" x14ac:dyDescent="0.35">
      <c r="AT643" s="61"/>
    </row>
    <row r="644" spans="46:46" customFormat="1" ht="14.5" hidden="1" x14ac:dyDescent="0.35">
      <c r="AT644" s="61"/>
    </row>
    <row r="645" spans="46:46" customFormat="1" ht="14.5" hidden="1" x14ac:dyDescent="0.35">
      <c r="AT645" s="61"/>
    </row>
    <row r="646" spans="46:46" customFormat="1" ht="14.5" hidden="1" x14ac:dyDescent="0.35">
      <c r="AT646" s="61"/>
    </row>
    <row r="647" spans="46:46" customFormat="1" ht="14.5" hidden="1" x14ac:dyDescent="0.35">
      <c r="AT647" s="61"/>
    </row>
    <row r="648" spans="46:46" customFormat="1" ht="14.5" hidden="1" x14ac:dyDescent="0.35">
      <c r="AT648" s="61"/>
    </row>
    <row r="649" spans="46:46" customFormat="1" ht="14.5" hidden="1" x14ac:dyDescent="0.35">
      <c r="AT649" s="61"/>
    </row>
    <row r="650" spans="46:46" customFormat="1" ht="14.5" hidden="1" x14ac:dyDescent="0.35">
      <c r="AT650" s="61"/>
    </row>
    <row r="651" spans="46:46" customFormat="1" ht="14.5" hidden="1" x14ac:dyDescent="0.35">
      <c r="AT651" s="61"/>
    </row>
    <row r="652" spans="46:46" customFormat="1" ht="14.5" hidden="1" x14ac:dyDescent="0.35">
      <c r="AT652" s="61"/>
    </row>
    <row r="653" spans="46:46" customFormat="1" ht="14.5" hidden="1" x14ac:dyDescent="0.35">
      <c r="AT653" s="61"/>
    </row>
    <row r="654" spans="46:46" customFormat="1" ht="14.5" hidden="1" x14ac:dyDescent="0.35">
      <c r="AT654" s="61"/>
    </row>
    <row r="655" spans="46:46" customFormat="1" ht="14.5" hidden="1" x14ac:dyDescent="0.35">
      <c r="AT655" s="61"/>
    </row>
    <row r="656" spans="46:46" customFormat="1" ht="14.5" hidden="1" x14ac:dyDescent="0.35">
      <c r="AT656" s="61"/>
    </row>
    <row r="657" spans="46:46" customFormat="1" ht="14.5" hidden="1" x14ac:dyDescent="0.35">
      <c r="AT657" s="61"/>
    </row>
    <row r="658" spans="46:46" customFormat="1" ht="14.5" hidden="1" x14ac:dyDescent="0.35">
      <c r="AT658" s="61"/>
    </row>
    <row r="659" spans="46:46" customFormat="1" ht="14.5" hidden="1" x14ac:dyDescent="0.35">
      <c r="AT659" s="61"/>
    </row>
    <row r="660" spans="46:46" customFormat="1" ht="14.5" hidden="1" x14ac:dyDescent="0.35">
      <c r="AT660" s="61"/>
    </row>
    <row r="661" spans="46:46" customFormat="1" ht="14.5" hidden="1" x14ac:dyDescent="0.35">
      <c r="AT661" s="61"/>
    </row>
    <row r="662" spans="46:46" customFormat="1" ht="14.5" hidden="1" x14ac:dyDescent="0.35">
      <c r="AT662" s="61"/>
    </row>
    <row r="663" spans="46:46" customFormat="1" ht="14.5" hidden="1" x14ac:dyDescent="0.35">
      <c r="AT663" s="61"/>
    </row>
    <row r="664" spans="46:46" customFormat="1" ht="14.5" hidden="1" x14ac:dyDescent="0.35">
      <c r="AT664" s="61"/>
    </row>
    <row r="665" spans="46:46" customFormat="1" ht="14.5" hidden="1" x14ac:dyDescent="0.35">
      <c r="AT665" s="61"/>
    </row>
    <row r="666" spans="46:46" customFormat="1" ht="14.5" hidden="1" x14ac:dyDescent="0.35">
      <c r="AT666" s="61"/>
    </row>
    <row r="667" spans="46:46" customFormat="1" ht="14.5" hidden="1" x14ac:dyDescent="0.35">
      <c r="AT667" s="61"/>
    </row>
    <row r="668" spans="46:46" customFormat="1" ht="14.5" hidden="1" x14ac:dyDescent="0.35">
      <c r="AT668" s="61"/>
    </row>
    <row r="669" spans="46:46" customFormat="1" ht="14.5" hidden="1" x14ac:dyDescent="0.35">
      <c r="AT669" s="61"/>
    </row>
    <row r="670" spans="46:46" customFormat="1" ht="14.5" hidden="1" x14ac:dyDescent="0.35">
      <c r="AT670" s="61"/>
    </row>
    <row r="671" spans="46:46" customFormat="1" ht="14.5" hidden="1" x14ac:dyDescent="0.35">
      <c r="AT671" s="61"/>
    </row>
    <row r="672" spans="46:46" customFormat="1" ht="14.5" hidden="1" x14ac:dyDescent="0.35">
      <c r="AT672" s="61"/>
    </row>
    <row r="673" spans="46:46" customFormat="1" ht="14.5" hidden="1" x14ac:dyDescent="0.35">
      <c r="AT673" s="61"/>
    </row>
    <row r="674" spans="46:46" customFormat="1" ht="14.5" hidden="1" x14ac:dyDescent="0.35">
      <c r="AT674" s="61"/>
    </row>
    <row r="675" spans="46:46" customFormat="1" ht="14.5" hidden="1" x14ac:dyDescent="0.35">
      <c r="AT675" s="61"/>
    </row>
    <row r="676" spans="46:46" customFormat="1" ht="14.5" hidden="1" x14ac:dyDescent="0.35">
      <c r="AT676" s="61"/>
    </row>
    <row r="677" spans="46:46" customFormat="1" ht="14.5" hidden="1" x14ac:dyDescent="0.35">
      <c r="AT677" s="61"/>
    </row>
    <row r="678" spans="46:46" customFormat="1" ht="14.5" hidden="1" x14ac:dyDescent="0.35">
      <c r="AT678" s="61"/>
    </row>
    <row r="679" spans="46:46" customFormat="1" ht="14.5" hidden="1" x14ac:dyDescent="0.35">
      <c r="AT679" s="61"/>
    </row>
    <row r="680" spans="46:46" customFormat="1" ht="14.5" hidden="1" x14ac:dyDescent="0.35">
      <c r="AT680" s="61"/>
    </row>
    <row r="681" spans="46:46" customFormat="1" ht="14.5" hidden="1" x14ac:dyDescent="0.35">
      <c r="AT681" s="61"/>
    </row>
    <row r="682" spans="46:46" customFormat="1" ht="14.5" hidden="1" x14ac:dyDescent="0.35">
      <c r="AT682" s="61"/>
    </row>
    <row r="683" spans="46:46" customFormat="1" ht="14.5" hidden="1" x14ac:dyDescent="0.35">
      <c r="AT683" s="61"/>
    </row>
    <row r="684" spans="46:46" customFormat="1" ht="14.5" hidden="1" x14ac:dyDescent="0.35">
      <c r="AT684" s="61"/>
    </row>
    <row r="685" spans="46:46" customFormat="1" ht="14.5" hidden="1" x14ac:dyDescent="0.35">
      <c r="AT685" s="61"/>
    </row>
    <row r="686" spans="46:46" customFormat="1" ht="14.5" hidden="1" x14ac:dyDescent="0.35">
      <c r="AT686" s="61"/>
    </row>
    <row r="687" spans="46:46" customFormat="1" ht="14.5" hidden="1" x14ac:dyDescent="0.35">
      <c r="AT687" s="61"/>
    </row>
    <row r="688" spans="46:46" customFormat="1" ht="14.5" hidden="1" x14ac:dyDescent="0.35">
      <c r="AT688" s="61"/>
    </row>
    <row r="689" spans="46:46" customFormat="1" ht="14.5" hidden="1" x14ac:dyDescent="0.35">
      <c r="AT689" s="61"/>
    </row>
    <row r="690" spans="46:46" customFormat="1" ht="14.5" hidden="1" x14ac:dyDescent="0.35">
      <c r="AT690" s="61"/>
    </row>
    <row r="691" spans="46:46" customFormat="1" ht="14.5" hidden="1" x14ac:dyDescent="0.35">
      <c r="AT691" s="61"/>
    </row>
    <row r="692" spans="46:46" customFormat="1" ht="14.5" hidden="1" x14ac:dyDescent="0.35">
      <c r="AT692" s="61"/>
    </row>
    <row r="693" spans="46:46" customFormat="1" ht="14.5" hidden="1" x14ac:dyDescent="0.35">
      <c r="AT693" s="61"/>
    </row>
    <row r="694" spans="46:46" customFormat="1" ht="14.5" hidden="1" x14ac:dyDescent="0.35">
      <c r="AT694" s="61"/>
    </row>
    <row r="695" spans="46:46" customFormat="1" ht="14.5" hidden="1" x14ac:dyDescent="0.35">
      <c r="AT695" s="61"/>
    </row>
    <row r="696" spans="46:46" customFormat="1" ht="14.5" hidden="1" x14ac:dyDescent="0.35">
      <c r="AT696" s="61"/>
    </row>
    <row r="697" spans="46:46" customFormat="1" ht="14.5" hidden="1" x14ac:dyDescent="0.35">
      <c r="AT697" s="61"/>
    </row>
    <row r="698" spans="46:46" customFormat="1" ht="14.5" hidden="1" x14ac:dyDescent="0.35">
      <c r="AT698" s="61"/>
    </row>
    <row r="699" spans="46:46" customFormat="1" ht="14.5" hidden="1" x14ac:dyDescent="0.35">
      <c r="AT699" s="61"/>
    </row>
    <row r="700" spans="46:46" customFormat="1" ht="14.5" hidden="1" x14ac:dyDescent="0.35">
      <c r="AT700" s="61"/>
    </row>
    <row r="701" spans="46:46" customFormat="1" ht="14.5" hidden="1" x14ac:dyDescent="0.35">
      <c r="AT701" s="61"/>
    </row>
    <row r="702" spans="46:46" customFormat="1" ht="14.5" hidden="1" x14ac:dyDescent="0.35">
      <c r="AT702" s="61"/>
    </row>
    <row r="703" spans="46:46" customFormat="1" ht="14.5" hidden="1" x14ac:dyDescent="0.35">
      <c r="AT703" s="61"/>
    </row>
    <row r="704" spans="46:46" customFormat="1" ht="14.5" hidden="1" x14ac:dyDescent="0.35">
      <c r="AT704" s="61"/>
    </row>
    <row r="705" spans="46:46" customFormat="1" ht="14.5" hidden="1" x14ac:dyDescent="0.35">
      <c r="AT705" s="61"/>
    </row>
    <row r="706" spans="46:46" customFormat="1" ht="14.5" hidden="1" x14ac:dyDescent="0.35">
      <c r="AT706" s="61"/>
    </row>
    <row r="707" spans="46:46" customFormat="1" ht="14.5" hidden="1" x14ac:dyDescent="0.35">
      <c r="AT707" s="61"/>
    </row>
    <row r="708" spans="46:46" customFormat="1" ht="14.5" hidden="1" x14ac:dyDescent="0.35">
      <c r="AT708" s="61"/>
    </row>
    <row r="709" spans="46:46" customFormat="1" ht="14.5" hidden="1" x14ac:dyDescent="0.35">
      <c r="AT709" s="61"/>
    </row>
    <row r="710" spans="46:46" customFormat="1" ht="14.5" hidden="1" x14ac:dyDescent="0.35">
      <c r="AT710" s="61"/>
    </row>
    <row r="711" spans="46:46" customFormat="1" ht="14.5" hidden="1" x14ac:dyDescent="0.35">
      <c r="AT711" s="61"/>
    </row>
    <row r="712" spans="46:46" customFormat="1" ht="14.5" hidden="1" x14ac:dyDescent="0.35">
      <c r="AT712" s="61"/>
    </row>
    <row r="713" spans="46:46" customFormat="1" ht="14.5" hidden="1" x14ac:dyDescent="0.35">
      <c r="AT713" s="61"/>
    </row>
    <row r="714" spans="46:46" customFormat="1" ht="14.5" hidden="1" x14ac:dyDescent="0.35">
      <c r="AT714" s="61"/>
    </row>
    <row r="715" spans="46:46" customFormat="1" ht="14.5" hidden="1" x14ac:dyDescent="0.35">
      <c r="AT715" s="61"/>
    </row>
    <row r="716" spans="46:46" customFormat="1" ht="14.5" hidden="1" x14ac:dyDescent="0.35">
      <c r="AT716" s="61"/>
    </row>
    <row r="717" spans="46:46" customFormat="1" ht="14.5" hidden="1" x14ac:dyDescent="0.35">
      <c r="AT717" s="61"/>
    </row>
    <row r="718" spans="46:46" customFormat="1" ht="14.5" hidden="1" x14ac:dyDescent="0.35">
      <c r="AT718" s="61"/>
    </row>
    <row r="719" spans="46:46" customFormat="1" ht="14.5" hidden="1" x14ac:dyDescent="0.35">
      <c r="AT719" s="61"/>
    </row>
    <row r="720" spans="46:46" customFormat="1" ht="14.5" hidden="1" x14ac:dyDescent="0.35">
      <c r="AT720" s="61"/>
    </row>
    <row r="721" spans="46:46" customFormat="1" ht="14.5" hidden="1" x14ac:dyDescent="0.35">
      <c r="AT721" s="61"/>
    </row>
    <row r="722" spans="46:46" customFormat="1" ht="14.5" hidden="1" x14ac:dyDescent="0.35">
      <c r="AT722" s="61"/>
    </row>
    <row r="723" spans="46:46" customFormat="1" ht="14.5" hidden="1" x14ac:dyDescent="0.35">
      <c r="AT723" s="61"/>
    </row>
    <row r="724" spans="46:46" customFormat="1" ht="14.5" hidden="1" x14ac:dyDescent="0.35">
      <c r="AT724" s="61"/>
    </row>
    <row r="725" spans="46:46" customFormat="1" ht="14.5" hidden="1" x14ac:dyDescent="0.35">
      <c r="AT725" s="61"/>
    </row>
    <row r="726" spans="46:46" customFormat="1" ht="14.5" hidden="1" x14ac:dyDescent="0.35">
      <c r="AT726" s="61"/>
    </row>
    <row r="727" spans="46:46" customFormat="1" ht="14.5" hidden="1" x14ac:dyDescent="0.35">
      <c r="AT727" s="61"/>
    </row>
    <row r="728" spans="46:46" customFormat="1" ht="14.5" hidden="1" x14ac:dyDescent="0.35">
      <c r="AT728" s="61"/>
    </row>
    <row r="729" spans="46:46" customFormat="1" ht="14.5" hidden="1" x14ac:dyDescent="0.35">
      <c r="AT729" s="61"/>
    </row>
    <row r="730" spans="46:46" customFormat="1" ht="14.5" hidden="1" x14ac:dyDescent="0.35">
      <c r="AT730" s="61"/>
    </row>
    <row r="731" spans="46:46" customFormat="1" ht="14.5" hidden="1" x14ac:dyDescent="0.35">
      <c r="AT731" s="61"/>
    </row>
    <row r="732" spans="46:46" customFormat="1" ht="14.5" hidden="1" x14ac:dyDescent="0.35">
      <c r="AT732" s="61"/>
    </row>
    <row r="733" spans="46:46" customFormat="1" ht="14.5" hidden="1" x14ac:dyDescent="0.35">
      <c r="AT733" s="61"/>
    </row>
    <row r="734" spans="46:46" customFormat="1" ht="14.5" hidden="1" x14ac:dyDescent="0.35">
      <c r="AT734" s="61"/>
    </row>
    <row r="735" spans="46:46" customFormat="1" ht="14.5" hidden="1" x14ac:dyDescent="0.35">
      <c r="AT735" s="61"/>
    </row>
    <row r="736" spans="46:46" customFormat="1" ht="14.5" hidden="1" x14ac:dyDescent="0.35">
      <c r="AT736" s="61"/>
    </row>
    <row r="737" spans="46:46" customFormat="1" ht="14.5" hidden="1" x14ac:dyDescent="0.35">
      <c r="AT737" s="61"/>
    </row>
    <row r="738" spans="46:46" customFormat="1" ht="14.5" hidden="1" x14ac:dyDescent="0.35">
      <c r="AT738" s="61"/>
    </row>
    <row r="739" spans="46:46" customFormat="1" ht="14.5" hidden="1" x14ac:dyDescent="0.35">
      <c r="AT739" s="61"/>
    </row>
    <row r="740" spans="46:46" customFormat="1" ht="14.5" hidden="1" x14ac:dyDescent="0.35">
      <c r="AT740" s="61"/>
    </row>
    <row r="741" spans="46:46" customFormat="1" ht="14.5" hidden="1" x14ac:dyDescent="0.35">
      <c r="AT741" s="61"/>
    </row>
    <row r="742" spans="46:46" customFormat="1" ht="14.5" hidden="1" x14ac:dyDescent="0.35">
      <c r="AT742" s="61"/>
    </row>
    <row r="743" spans="46:46" customFormat="1" ht="14.5" hidden="1" x14ac:dyDescent="0.35">
      <c r="AT743" s="61"/>
    </row>
    <row r="744" spans="46:46" customFormat="1" ht="14.5" hidden="1" x14ac:dyDescent="0.35">
      <c r="AT744" s="61"/>
    </row>
    <row r="745" spans="46:46" customFormat="1" ht="14.5" hidden="1" x14ac:dyDescent="0.35">
      <c r="AT745" s="61"/>
    </row>
    <row r="746" spans="46:46" customFormat="1" ht="14.5" hidden="1" x14ac:dyDescent="0.35">
      <c r="AT746" s="61"/>
    </row>
    <row r="747" spans="46:46" customFormat="1" ht="14.5" hidden="1" x14ac:dyDescent="0.35">
      <c r="AT747" s="61"/>
    </row>
    <row r="748" spans="46:46" customFormat="1" ht="14.5" hidden="1" x14ac:dyDescent="0.35">
      <c r="AT748" s="61"/>
    </row>
    <row r="749" spans="46:46" customFormat="1" ht="14.5" hidden="1" x14ac:dyDescent="0.35">
      <c r="AT749" s="61"/>
    </row>
    <row r="750" spans="46:46" customFormat="1" ht="14.5" hidden="1" x14ac:dyDescent="0.35">
      <c r="AT750" s="61"/>
    </row>
    <row r="751" spans="46:46" customFormat="1" ht="14.5" hidden="1" x14ac:dyDescent="0.35">
      <c r="AT751" s="61"/>
    </row>
    <row r="752" spans="46:46" customFormat="1" ht="14.5" hidden="1" x14ac:dyDescent="0.35">
      <c r="AT752" s="61"/>
    </row>
    <row r="753" spans="46:46" customFormat="1" ht="14.5" hidden="1" x14ac:dyDescent="0.35">
      <c r="AT753" s="61"/>
    </row>
    <row r="754" spans="46:46" customFormat="1" ht="14.5" hidden="1" x14ac:dyDescent="0.35">
      <c r="AT754" s="61"/>
    </row>
    <row r="755" spans="46:46" customFormat="1" ht="14.5" hidden="1" x14ac:dyDescent="0.35">
      <c r="AT755" s="61"/>
    </row>
    <row r="756" spans="46:46" customFormat="1" ht="14.5" hidden="1" x14ac:dyDescent="0.35">
      <c r="AT756" s="61"/>
    </row>
    <row r="757" spans="46:46" customFormat="1" ht="14.5" hidden="1" x14ac:dyDescent="0.35">
      <c r="AT757" s="61"/>
    </row>
    <row r="758" spans="46:46" customFormat="1" ht="14.5" hidden="1" x14ac:dyDescent="0.35">
      <c r="AT758" s="61"/>
    </row>
    <row r="759" spans="46:46" customFormat="1" ht="14.5" hidden="1" x14ac:dyDescent="0.35">
      <c r="AT759" s="61"/>
    </row>
    <row r="760" spans="46:46" customFormat="1" ht="14.5" hidden="1" x14ac:dyDescent="0.35">
      <c r="AT760" s="61"/>
    </row>
    <row r="761" spans="46:46" customFormat="1" ht="14.5" hidden="1" x14ac:dyDescent="0.35">
      <c r="AT761" s="61"/>
    </row>
    <row r="762" spans="46:46" customFormat="1" ht="14.5" hidden="1" x14ac:dyDescent="0.35">
      <c r="AT762" s="61"/>
    </row>
    <row r="763" spans="46:46" customFormat="1" ht="14.5" hidden="1" x14ac:dyDescent="0.35">
      <c r="AT763" s="61"/>
    </row>
    <row r="764" spans="46:46" customFormat="1" ht="14.5" hidden="1" x14ac:dyDescent="0.35">
      <c r="AT764" s="61"/>
    </row>
    <row r="765" spans="46:46" customFormat="1" ht="14.5" hidden="1" x14ac:dyDescent="0.35">
      <c r="AT765" s="61"/>
    </row>
    <row r="766" spans="46:46" customFormat="1" ht="14.5" hidden="1" x14ac:dyDescent="0.35">
      <c r="AT766" s="61"/>
    </row>
    <row r="767" spans="46:46" customFormat="1" ht="14.5" hidden="1" x14ac:dyDescent="0.35">
      <c r="AT767" s="61"/>
    </row>
    <row r="768" spans="46:46" customFormat="1" ht="14.5" hidden="1" x14ac:dyDescent="0.35">
      <c r="AT768" s="61"/>
    </row>
    <row r="769" spans="46:46" customFormat="1" ht="14.5" hidden="1" x14ac:dyDescent="0.35">
      <c r="AT769" s="61"/>
    </row>
    <row r="770" spans="46:46" customFormat="1" ht="14.5" hidden="1" x14ac:dyDescent="0.35">
      <c r="AT770" s="61"/>
    </row>
    <row r="771" spans="46:46" customFormat="1" ht="14.5" hidden="1" x14ac:dyDescent="0.35">
      <c r="AT771" s="61"/>
    </row>
    <row r="772" spans="46:46" customFormat="1" ht="14.5" hidden="1" x14ac:dyDescent="0.35">
      <c r="AT772" s="61"/>
    </row>
    <row r="773" spans="46:46" customFormat="1" ht="14.5" hidden="1" x14ac:dyDescent="0.35">
      <c r="AT773" s="61"/>
    </row>
    <row r="774" spans="46:46" customFormat="1" ht="14.5" hidden="1" x14ac:dyDescent="0.35">
      <c r="AT774" s="61"/>
    </row>
    <row r="775" spans="46:46" customFormat="1" ht="14.5" hidden="1" x14ac:dyDescent="0.35">
      <c r="AT775" s="61"/>
    </row>
    <row r="776" spans="46:46" customFormat="1" ht="14.5" hidden="1" x14ac:dyDescent="0.35">
      <c r="AT776" s="61"/>
    </row>
    <row r="777" spans="46:46" customFormat="1" ht="14.5" hidden="1" x14ac:dyDescent="0.35">
      <c r="AT777" s="61"/>
    </row>
    <row r="778" spans="46:46" customFormat="1" ht="14.5" hidden="1" x14ac:dyDescent="0.35">
      <c r="AT778" s="61"/>
    </row>
    <row r="779" spans="46:46" customFormat="1" ht="14.5" hidden="1" x14ac:dyDescent="0.35">
      <c r="AT779" s="61"/>
    </row>
    <row r="780" spans="46:46" customFormat="1" ht="14.5" hidden="1" x14ac:dyDescent="0.35">
      <c r="AT780" s="61"/>
    </row>
    <row r="781" spans="46:46" customFormat="1" ht="14.5" hidden="1" x14ac:dyDescent="0.35">
      <c r="AT781" s="61"/>
    </row>
    <row r="782" spans="46:46" customFormat="1" ht="14.5" hidden="1" x14ac:dyDescent="0.35">
      <c r="AT782" s="61"/>
    </row>
    <row r="783" spans="46:46" customFormat="1" ht="14.5" hidden="1" x14ac:dyDescent="0.35">
      <c r="AT783" s="61"/>
    </row>
    <row r="784" spans="46:46" customFormat="1" ht="14.5" hidden="1" x14ac:dyDescent="0.35">
      <c r="AT784" s="61"/>
    </row>
    <row r="785" spans="46:46" customFormat="1" ht="14.5" hidden="1" x14ac:dyDescent="0.35">
      <c r="AT785" s="61"/>
    </row>
    <row r="786" spans="46:46" customFormat="1" ht="14.5" hidden="1" x14ac:dyDescent="0.35">
      <c r="AT786" s="61"/>
    </row>
    <row r="787" spans="46:46" customFormat="1" ht="14.5" hidden="1" x14ac:dyDescent="0.35">
      <c r="AT787" s="61"/>
    </row>
    <row r="788" spans="46:46" customFormat="1" ht="14.5" hidden="1" x14ac:dyDescent="0.35">
      <c r="AT788" s="61"/>
    </row>
    <row r="789" spans="46:46" customFormat="1" ht="14.5" hidden="1" x14ac:dyDescent="0.35">
      <c r="AT789" s="61"/>
    </row>
    <row r="790" spans="46:46" customFormat="1" ht="14.5" hidden="1" x14ac:dyDescent="0.35">
      <c r="AT790" s="61"/>
    </row>
    <row r="791" spans="46:46" customFormat="1" ht="14.5" hidden="1" x14ac:dyDescent="0.35">
      <c r="AT791" s="61"/>
    </row>
    <row r="792" spans="46:46" customFormat="1" ht="14.5" hidden="1" x14ac:dyDescent="0.35">
      <c r="AT792" s="61"/>
    </row>
    <row r="793" spans="46:46" customFormat="1" ht="14.5" hidden="1" x14ac:dyDescent="0.35">
      <c r="AT793" s="61"/>
    </row>
    <row r="794" spans="46:46" customFormat="1" ht="14.5" hidden="1" x14ac:dyDescent="0.35">
      <c r="AT794" s="61"/>
    </row>
    <row r="795" spans="46:46" customFormat="1" ht="14.5" hidden="1" x14ac:dyDescent="0.35">
      <c r="AT795" s="61"/>
    </row>
    <row r="796" spans="46:46" customFormat="1" ht="14.5" hidden="1" x14ac:dyDescent="0.35">
      <c r="AT796" s="61"/>
    </row>
    <row r="797" spans="46:46" customFormat="1" ht="14.5" hidden="1" x14ac:dyDescent="0.35">
      <c r="AT797" s="61"/>
    </row>
    <row r="798" spans="46:46" customFormat="1" ht="14.5" hidden="1" x14ac:dyDescent="0.35">
      <c r="AT798" s="61"/>
    </row>
    <row r="799" spans="46:46" customFormat="1" ht="14.5" hidden="1" x14ac:dyDescent="0.35">
      <c r="AT799" s="61"/>
    </row>
    <row r="800" spans="46:46" customFormat="1" ht="14.5" hidden="1" x14ac:dyDescent="0.35">
      <c r="AT800" s="61"/>
    </row>
    <row r="801" spans="1:65" customFormat="1" ht="14.5" hidden="1" x14ac:dyDescent="0.35">
      <c r="AT801" s="61"/>
    </row>
    <row r="802" spans="1:65" customFormat="1" ht="14.5" hidden="1" x14ac:dyDescent="0.35">
      <c r="AT802" s="61"/>
    </row>
    <row r="803" spans="1:65" customFormat="1" ht="14.5" hidden="1" x14ac:dyDescent="0.35">
      <c r="AT803" s="61"/>
    </row>
    <row r="804" spans="1:65" customFormat="1" ht="14.5" hidden="1" x14ac:dyDescent="0.35">
      <c r="AT804" s="61"/>
    </row>
    <row r="805" spans="1:65" s="34" customFormat="1" hidden="1" x14ac:dyDescent="0.35">
      <c r="A805" s="6"/>
      <c r="B805" s="6"/>
      <c r="C805"/>
      <c r="D805"/>
      <c r="E805" s="33"/>
      <c r="F805" s="33"/>
      <c r="G805" s="33"/>
      <c r="H805" s="33"/>
      <c r="I805" s="33"/>
      <c r="J805" s="33"/>
      <c r="K805" s="33"/>
      <c r="L805" s="33"/>
      <c r="M805" s="33"/>
      <c r="N805" s="33"/>
      <c r="O805" s="33"/>
      <c r="P805" s="33"/>
      <c r="Q805" s="33"/>
      <c r="R805" s="33"/>
      <c r="S805" s="33"/>
      <c r="T805" s="33"/>
      <c r="U805" s="33"/>
      <c r="V805" s="33"/>
      <c r="W805" s="33"/>
      <c r="X805" s="33"/>
      <c r="Y805" s="33"/>
      <c r="Z805" s="33"/>
      <c r="AA805" s="33"/>
      <c r="AB805" s="33"/>
      <c r="AC805" s="33"/>
      <c r="AD805" s="33"/>
      <c r="AE805" s="33"/>
      <c r="AF805" s="33"/>
      <c r="AG805" s="33"/>
      <c r="AH805" s="33"/>
      <c r="AI805" s="33"/>
      <c r="AJ805" s="33"/>
      <c r="AK805" s="33"/>
      <c r="AL805" s="33"/>
      <c r="AM805" s="33"/>
      <c r="AN805" s="33"/>
      <c r="AO805" s="33"/>
      <c r="AP805" s="33"/>
      <c r="AQ805" s="33"/>
      <c r="AR805" s="33"/>
      <c r="AS805" s="33"/>
      <c r="AT805" s="60"/>
      <c r="AU805" s="33"/>
      <c r="AV805" s="33"/>
      <c r="AW805" s="33"/>
      <c r="AX805" s="33"/>
      <c r="AY805" s="33"/>
      <c r="AZ805" s="33"/>
      <c r="BE805" s="33"/>
      <c r="BF805" s="33"/>
      <c r="BG805" s="6"/>
      <c r="BH805" s="6"/>
      <c r="BI805" s="6"/>
      <c r="BJ805" s="6"/>
      <c r="BK805" s="6"/>
      <c r="BL805" s="6"/>
      <c r="BM805" s="6"/>
    </row>
    <row r="806" spans="1:65" s="34" customFormat="1" hidden="1" x14ac:dyDescent="0.35">
      <c r="A806" s="6"/>
      <c r="B806" s="6"/>
      <c r="C806"/>
      <c r="D806"/>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c r="AL806" s="33"/>
      <c r="AM806" s="33"/>
      <c r="AN806" s="33"/>
      <c r="AO806" s="33"/>
      <c r="AP806" s="33"/>
      <c r="AQ806" s="33"/>
      <c r="AR806" s="33"/>
      <c r="AS806" s="33"/>
      <c r="AT806" s="60"/>
      <c r="AU806" s="33"/>
      <c r="AV806" s="33"/>
      <c r="AW806" s="33"/>
      <c r="AX806" s="33"/>
      <c r="AY806" s="33"/>
      <c r="AZ806" s="33"/>
      <c r="BE806" s="33"/>
      <c r="BF806" s="33"/>
      <c r="BG806" s="6"/>
      <c r="BH806" s="6"/>
      <c r="BI806" s="6"/>
      <c r="BJ806" s="6"/>
      <c r="BK806" s="6"/>
      <c r="BL806" s="6"/>
      <c r="BM806" s="6"/>
    </row>
    <row r="807" spans="1:65" x14ac:dyDescent="0.35"/>
    <row r="808" spans="1:65" x14ac:dyDescent="0.35"/>
    <row r="809" spans="1:65" x14ac:dyDescent="0.35"/>
    <row r="810" spans="1:65" x14ac:dyDescent="0.35"/>
    <row r="811" spans="1:65" x14ac:dyDescent="0.35"/>
    <row r="812" spans="1:65" x14ac:dyDescent="0.35"/>
    <row r="813" spans="1:65" x14ac:dyDescent="0.35"/>
    <row r="814" spans="1:65" x14ac:dyDescent="0.35"/>
    <row r="815" spans="1:65" x14ac:dyDescent="0.35"/>
    <row r="816" spans="1:65"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sheetData>
  <dataConsolidate/>
  <conditionalFormatting sqref="H1 I7">
    <cfRule type="cellIs" dxfId="17" priority="2" operator="equal">
      <formula>"ERROR"</formula>
    </cfRule>
  </conditionalFormatting>
  <conditionalFormatting sqref="I10:I11 I13 I15:I17 I19 I21:I24">
    <cfRule type="cellIs" dxfId="16" priority="1" operator="greaterThan">
      <formula>0</formula>
    </cfRule>
  </conditionalFormatting>
  <pageMargins left="0.23622047244094491" right="0.23622047244094491" top="0.74803149606299213" bottom="0.74803149606299213" header="0.31496062992125984" footer="0.31496062992125984"/>
  <pageSetup paperSize="8" fitToHeight="0" orientation="portrait" r:id="rId1"/>
  <headerFooter>
    <oddHeader>&amp;L&amp;"Aptos"&amp;10&amp;K000000 Classified as Internal&amp;1#_x000D_</oddHeader>
    <oddFooter>&amp;LDraft at &amp;D&amp;R"&amp;A" sheet&amp;R"&amp;A" sheet&amp;R"&amp;A" sheet&amp;R"&amp;A" sheet&amp;R"&amp;A" sheet&amp;R"&amp;A" sheet&amp;R"&amp;A" sheet&amp;R"&amp;A" sheet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7410" r:id="rId4" name="Drop Down 2">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1FF27-C6CB-4B5E-9A90-D6E7A4BF6D3F}">
  <sheetPr>
    <tabColor rgb="FFFF9900"/>
  </sheetPr>
  <dimension ref="A1:R288"/>
  <sheetViews>
    <sheetView zoomScaleNormal="100" workbookViewId="0">
      <pane xSplit="5" ySplit="3" topLeftCell="F4" activePane="bottomRight" state="frozen"/>
      <selection pane="topRight" activeCell="F1" sqref="F1"/>
      <selection pane="bottomLeft" activeCell="A4" sqref="A4"/>
      <selection pane="bottomRight" activeCell="F4" sqref="F4"/>
    </sheetView>
  </sheetViews>
  <sheetFormatPr defaultColWidth="0" defaultRowHeight="14.5" x14ac:dyDescent="0.35"/>
  <cols>
    <col min="1" max="1" width="7.54296875" customWidth="1"/>
    <col min="2" max="2" width="14.36328125" customWidth="1"/>
    <col min="3" max="3" width="14" customWidth="1"/>
    <col min="4" max="4" width="77.08984375" bestFit="1" customWidth="1"/>
    <col min="5" max="5" width="22.36328125" bestFit="1" customWidth="1"/>
    <col min="6" max="10" width="10.6328125" customWidth="1"/>
    <col min="11" max="12" width="7.54296875" customWidth="1"/>
    <col min="13" max="17" width="10.6328125" customWidth="1"/>
    <col min="18" max="18" width="7.54296875" customWidth="1"/>
    <col min="19" max="16384" width="9" hidden="1"/>
  </cols>
  <sheetData>
    <row r="1" spans="2:17" ht="15" thickBot="1" x14ac:dyDescent="0.4"/>
    <row r="2" spans="2:17" s="10" customFormat="1" ht="21.9" customHeight="1" thickBot="1" x14ac:dyDescent="0.4">
      <c r="F2" s="324"/>
      <c r="G2" s="325"/>
      <c r="H2" s="325" t="s">
        <v>894</v>
      </c>
      <c r="I2" s="325"/>
      <c r="J2" s="326"/>
      <c r="K2" s="229"/>
      <c r="L2" s="229"/>
      <c r="M2" s="319"/>
      <c r="N2" s="320"/>
      <c r="O2" s="319" t="s">
        <v>895</v>
      </c>
      <c r="P2" s="320"/>
      <c r="Q2" s="321"/>
    </row>
    <row r="3" spans="2:17" s="10" customFormat="1" ht="21.9" customHeight="1" thickBot="1" x14ac:dyDescent="0.4">
      <c r="B3" s="244" t="s">
        <v>595</v>
      </c>
      <c r="C3" s="245" t="s">
        <v>896</v>
      </c>
      <c r="D3" s="270" t="s">
        <v>897</v>
      </c>
      <c r="E3" s="246" t="s">
        <v>905</v>
      </c>
      <c r="F3" s="247">
        <v>46477</v>
      </c>
      <c r="G3" s="248">
        <v>46843</v>
      </c>
      <c r="H3" s="248">
        <v>47208</v>
      </c>
      <c r="I3" s="248">
        <v>47573</v>
      </c>
      <c r="J3" s="249">
        <v>47938</v>
      </c>
      <c r="K3" s="230"/>
      <c r="L3" s="230"/>
      <c r="M3" s="247">
        <v>46477</v>
      </c>
      <c r="N3" s="248">
        <v>46843</v>
      </c>
      <c r="O3" s="248">
        <v>47208</v>
      </c>
      <c r="P3" s="248">
        <v>47573</v>
      </c>
      <c r="Q3" s="249">
        <f>EOMONTH(P3,12)</f>
        <v>47938</v>
      </c>
    </row>
    <row r="4" spans="2:17" x14ac:dyDescent="0.35">
      <c r="B4" s="231">
        <v>45995</v>
      </c>
      <c r="C4" s="232" t="s">
        <v>898</v>
      </c>
      <c r="D4" s="233" t="s">
        <v>207</v>
      </c>
      <c r="E4" s="234" t="s">
        <v>899</v>
      </c>
      <c r="F4" s="250">
        <v>6.6703692674816763E-3</v>
      </c>
      <c r="G4" s="251">
        <v>4.5110490682726328E-3</v>
      </c>
      <c r="H4" s="251">
        <v>5.6389918175126716E-3</v>
      </c>
      <c r="I4" s="251">
        <v>7.1023581225204196E-3</v>
      </c>
      <c r="J4" s="252">
        <v>9.9912522413501941E-3</v>
      </c>
      <c r="K4" s="235"/>
      <c r="L4" s="235"/>
      <c r="M4" s="280">
        <v>6.7000000000000002E-3</v>
      </c>
      <c r="N4" s="281">
        <v>4.4999999999999997E-3</v>
      </c>
      <c r="O4" s="281">
        <v>5.5999999999999999E-3</v>
      </c>
      <c r="P4" s="281">
        <v>7.1000000000000004E-3</v>
      </c>
      <c r="Q4" s="282">
        <v>0.01</v>
      </c>
    </row>
    <row r="5" spans="2:17" x14ac:dyDescent="0.35">
      <c r="B5" s="231">
        <v>45995</v>
      </c>
      <c r="C5" s="232" t="s">
        <v>898</v>
      </c>
      <c r="D5" s="236" t="s">
        <v>203</v>
      </c>
      <c r="E5" s="234" t="s">
        <v>900</v>
      </c>
      <c r="F5" s="315">
        <v>3.0499999999999999E-2</v>
      </c>
      <c r="G5" s="316">
        <v>3.15E-2</v>
      </c>
      <c r="H5" s="316">
        <v>3.2399999999999998E-2</v>
      </c>
      <c r="I5" s="316">
        <v>3.3599999999999998E-2</v>
      </c>
      <c r="J5" s="317">
        <v>3.49E-2</v>
      </c>
      <c r="K5" s="265"/>
      <c r="L5" s="265"/>
      <c r="M5" s="315">
        <v>3.0499999999999999E-2</v>
      </c>
      <c r="N5" s="316">
        <v>3.1399999999999997E-2</v>
      </c>
      <c r="O5" s="316">
        <v>3.2199999999999999E-2</v>
      </c>
      <c r="P5" s="316">
        <v>3.3300000000000003E-2</v>
      </c>
      <c r="Q5" s="317">
        <v>3.4500000000000003E-2</v>
      </c>
    </row>
    <row r="6" spans="2:17" x14ac:dyDescent="0.35">
      <c r="B6" s="231">
        <v>45995</v>
      </c>
      <c r="C6" s="232" t="s">
        <v>898</v>
      </c>
      <c r="D6" s="236" t="s">
        <v>205</v>
      </c>
      <c r="E6" s="234" t="s">
        <v>901</v>
      </c>
      <c r="F6" s="315">
        <v>2.3E-2</v>
      </c>
      <c r="G6" s="316">
        <v>2.3E-2</v>
      </c>
      <c r="H6" s="318">
        <v>2.3E-2</v>
      </c>
      <c r="I6" s="316">
        <v>2.3E-2</v>
      </c>
      <c r="J6" s="317">
        <v>2.3E-2</v>
      </c>
      <c r="K6" s="265"/>
      <c r="L6" s="265"/>
      <c r="M6" s="315">
        <v>2.2800000000000001E-2</v>
      </c>
      <c r="N6" s="316">
        <v>2.2800000000000001E-2</v>
      </c>
      <c r="O6" s="318">
        <v>2.2800000000000001E-2</v>
      </c>
      <c r="P6" s="316">
        <v>2.2800000000000001E-2</v>
      </c>
      <c r="Q6" s="317">
        <v>2.2800000000000001E-2</v>
      </c>
    </row>
    <row r="7" spans="2:17" x14ac:dyDescent="0.35">
      <c r="B7" s="231">
        <v>45995</v>
      </c>
      <c r="C7" s="232" t="s">
        <v>898</v>
      </c>
      <c r="D7" s="236" t="s">
        <v>644</v>
      </c>
      <c r="E7" s="234" t="s">
        <v>902</v>
      </c>
      <c r="F7" s="266">
        <v>2.2657008991725736</v>
      </c>
      <c r="G7" s="267">
        <v>2.1044521908279767</v>
      </c>
      <c r="H7" s="267">
        <v>2.0492795324592805</v>
      </c>
      <c r="I7" s="267">
        <v>2.087339516944331</v>
      </c>
      <c r="J7" s="268">
        <v>2.087339516944331</v>
      </c>
      <c r="K7" s="269"/>
      <c r="L7" s="269"/>
      <c r="M7" s="266">
        <v>2.3689382169692408</v>
      </c>
      <c r="N7" s="267">
        <v>2.1054516816467084</v>
      </c>
      <c r="O7" s="267">
        <v>2.1285796243298183</v>
      </c>
      <c r="P7" s="267">
        <v>2.0983342920036119</v>
      </c>
      <c r="Q7" s="268">
        <v>2.1355060506057066</v>
      </c>
    </row>
    <row r="8" spans="2:17" x14ac:dyDescent="0.35">
      <c r="B8" s="231">
        <v>45995</v>
      </c>
      <c r="C8" s="232" t="s">
        <v>898</v>
      </c>
      <c r="D8" s="236" t="s">
        <v>378</v>
      </c>
      <c r="E8" s="234" t="s">
        <v>903</v>
      </c>
      <c r="F8" s="261">
        <v>2.0799999999999999E-2</v>
      </c>
      <c r="G8" s="262">
        <v>2.0799999999999999E-2</v>
      </c>
      <c r="H8" s="264">
        <v>2.0799999999999999E-2</v>
      </c>
      <c r="I8" s="262">
        <v>2.0799999999999999E-2</v>
      </c>
      <c r="J8" s="263">
        <v>2.0899999999999998E-2</v>
      </c>
      <c r="K8" s="265"/>
      <c r="L8" s="265"/>
      <c r="M8" s="261">
        <v>2.1299999999999999E-2</v>
      </c>
      <c r="N8" s="262">
        <v>2.1299999999999999E-2</v>
      </c>
      <c r="O8" s="264">
        <v>2.1299999999999999E-2</v>
      </c>
      <c r="P8" s="262">
        <v>2.1299999999999999E-2</v>
      </c>
      <c r="Q8" s="263">
        <v>2.1299999999999999E-2</v>
      </c>
    </row>
    <row r="9" spans="2:17" x14ac:dyDescent="0.35">
      <c r="B9" s="231">
        <v>45995</v>
      </c>
      <c r="C9" s="232" t="s">
        <v>898</v>
      </c>
      <c r="D9" s="236" t="s">
        <v>212</v>
      </c>
      <c r="E9" s="234" t="s">
        <v>904</v>
      </c>
      <c r="F9" s="253">
        <v>0.18</v>
      </c>
      <c r="G9" s="254">
        <v>0.18</v>
      </c>
      <c r="H9" s="254">
        <v>0.18</v>
      </c>
      <c r="I9" s="254">
        <v>0.18</v>
      </c>
      <c r="J9" s="255">
        <v>0.18</v>
      </c>
      <c r="K9" s="235"/>
      <c r="L9" s="235"/>
      <c r="M9" s="253">
        <v>0.14000000000000001</v>
      </c>
      <c r="N9" s="254">
        <v>0.14000000000000001</v>
      </c>
      <c r="O9" s="254">
        <v>0.14000000000000001</v>
      </c>
      <c r="P9" s="254">
        <v>0.14000000000000001</v>
      </c>
      <c r="Q9" s="255">
        <v>0.14000000000000001</v>
      </c>
    </row>
    <row r="10" spans="2:17" x14ac:dyDescent="0.35">
      <c r="B10" s="231">
        <v>46001</v>
      </c>
      <c r="C10" s="232" t="s">
        <v>585</v>
      </c>
      <c r="D10" s="236" t="s">
        <v>28</v>
      </c>
      <c r="E10" s="234" t="s">
        <v>924</v>
      </c>
      <c r="F10" s="273">
        <v>7.0823306216919484</v>
      </c>
      <c r="G10" s="272">
        <v>5.8729481731600535</v>
      </c>
      <c r="H10" s="272">
        <v>5.0864794771431034</v>
      </c>
      <c r="I10" s="272">
        <v>5.2773509604036652</v>
      </c>
      <c r="J10" s="274">
        <v>5.3828979796117382</v>
      </c>
      <c r="K10" s="235"/>
      <c r="L10" s="235"/>
      <c r="M10" s="273">
        <v>6.8068120392612395</v>
      </c>
      <c r="N10" s="272">
        <v>6.9103790368733611</v>
      </c>
      <c r="O10" s="272">
        <v>6.5693607452415606</v>
      </c>
      <c r="P10" s="272">
        <v>6.9217630311686245</v>
      </c>
      <c r="Q10" s="274">
        <v>5.6783761328340097</v>
      </c>
    </row>
    <row r="11" spans="2:17" x14ac:dyDescent="0.35">
      <c r="B11" s="231">
        <v>46001</v>
      </c>
      <c r="C11" s="232" t="s">
        <v>585</v>
      </c>
      <c r="D11" s="236" t="s">
        <v>33</v>
      </c>
      <c r="E11" s="234" t="s">
        <v>926</v>
      </c>
      <c r="F11" s="273">
        <v>66.658680000000004</v>
      </c>
      <c r="G11" s="272">
        <v>67.853279999999998</v>
      </c>
      <c r="H11" s="272">
        <v>69.047880000000006</v>
      </c>
      <c r="I11" s="272">
        <v>70.428837600000008</v>
      </c>
      <c r="J11" s="274">
        <v>71.83741435200001</v>
      </c>
      <c r="K11" s="235"/>
      <c r="L11" s="235"/>
      <c r="M11" s="273">
        <v>52.950885</v>
      </c>
      <c r="N11" s="272">
        <v>61.786949999999997</v>
      </c>
      <c r="O11" s="272">
        <v>62.977449999999997</v>
      </c>
      <c r="P11" s="272">
        <v>64.30433327389224</v>
      </c>
      <c r="Q11" s="274">
        <v>65.675084047318293</v>
      </c>
    </row>
    <row r="12" spans="2:17" x14ac:dyDescent="0.35">
      <c r="B12" s="231">
        <v>46001</v>
      </c>
      <c r="C12" s="232" t="s">
        <v>585</v>
      </c>
      <c r="D12" s="236" t="s">
        <v>35</v>
      </c>
      <c r="E12" s="234" t="s">
        <v>927</v>
      </c>
      <c r="F12" s="273">
        <v>16.8</v>
      </c>
      <c r="G12" s="272">
        <v>0</v>
      </c>
      <c r="H12" s="272">
        <v>0</v>
      </c>
      <c r="I12" s="272">
        <v>0</v>
      </c>
      <c r="J12" s="274">
        <v>0</v>
      </c>
      <c r="K12" s="235"/>
      <c r="L12" s="235"/>
      <c r="M12" s="273">
        <v>17.399999999999999</v>
      </c>
      <c r="N12" s="272">
        <v>0</v>
      </c>
      <c r="O12" s="272">
        <v>0</v>
      </c>
      <c r="P12" s="272">
        <v>0</v>
      </c>
      <c r="Q12" s="274">
        <v>0</v>
      </c>
    </row>
    <row r="13" spans="2:17" s="4" customFormat="1" x14ac:dyDescent="0.35">
      <c r="B13" s="289">
        <v>46001</v>
      </c>
      <c r="C13" s="290" t="s">
        <v>585</v>
      </c>
      <c r="D13" s="291" t="s">
        <v>517</v>
      </c>
      <c r="E13" s="292" t="s">
        <v>922</v>
      </c>
      <c r="F13" s="271">
        <v>7.9343603424848377</v>
      </c>
      <c r="G13" s="293"/>
      <c r="H13" s="293"/>
      <c r="I13" s="293"/>
      <c r="J13" s="294"/>
      <c r="K13" s="295"/>
      <c r="L13" s="295"/>
      <c r="M13" s="271">
        <v>8.7294236581453717</v>
      </c>
      <c r="N13" s="293"/>
      <c r="O13" s="293"/>
      <c r="P13" s="293"/>
      <c r="Q13" s="294"/>
    </row>
    <row r="14" spans="2:17" s="4" customFormat="1" x14ac:dyDescent="0.35">
      <c r="B14" s="289">
        <v>46001</v>
      </c>
      <c r="C14" s="290" t="s">
        <v>585</v>
      </c>
      <c r="D14" s="291" t="s">
        <v>518</v>
      </c>
      <c r="E14" s="292" t="s">
        <v>923</v>
      </c>
      <c r="F14" s="271">
        <v>-1.3059038002115588</v>
      </c>
      <c r="G14" s="293"/>
      <c r="H14" s="293"/>
      <c r="I14" s="293"/>
      <c r="J14" s="294"/>
      <c r="K14" s="295"/>
      <c r="L14" s="295"/>
      <c r="M14" s="271">
        <v>-1.3033740854732763</v>
      </c>
      <c r="N14" s="293"/>
      <c r="O14" s="293"/>
      <c r="P14" s="293"/>
      <c r="Q14" s="294"/>
    </row>
    <row r="15" spans="2:17" x14ac:dyDescent="0.35">
      <c r="B15" s="231">
        <v>46001</v>
      </c>
      <c r="C15" s="232" t="s">
        <v>585</v>
      </c>
      <c r="D15" s="236" t="s">
        <v>88</v>
      </c>
      <c r="E15" s="234" t="s">
        <v>937</v>
      </c>
      <c r="F15" s="286"/>
      <c r="G15" s="287"/>
      <c r="H15" s="287"/>
      <c r="I15" s="287"/>
      <c r="J15" s="288"/>
      <c r="K15" s="235"/>
      <c r="L15" s="235"/>
      <c r="M15" s="286">
        <v>2220.7605056348848</v>
      </c>
      <c r="N15" s="287">
        <v>2299.1672027270929</v>
      </c>
      <c r="O15" s="287">
        <v>2358.4529552637678</v>
      </c>
      <c r="P15" s="287">
        <v>2384.1609320038715</v>
      </c>
      <c r="Q15" s="288">
        <v>2438.1355421138801</v>
      </c>
    </row>
    <row r="16" spans="2:17" x14ac:dyDescent="0.35">
      <c r="B16" s="231">
        <v>46001</v>
      </c>
      <c r="C16" s="232" t="s">
        <v>585</v>
      </c>
      <c r="D16" s="236" t="s">
        <v>90</v>
      </c>
      <c r="E16" s="234" t="s">
        <v>938</v>
      </c>
      <c r="F16" s="286"/>
      <c r="G16" s="287"/>
      <c r="H16" s="287"/>
      <c r="I16" s="287"/>
      <c r="J16" s="288"/>
      <c r="K16" s="235"/>
      <c r="L16" s="235"/>
      <c r="M16" s="286">
        <v>85.815403260377181</v>
      </c>
      <c r="N16" s="287">
        <v>95.224604569130989</v>
      </c>
      <c r="O16" s="287">
        <v>101.94330685635964</v>
      </c>
      <c r="P16" s="287">
        <v>109.87073741827504</v>
      </c>
      <c r="Q16" s="288">
        <v>117.26783826403684</v>
      </c>
    </row>
    <row r="17" spans="2:17" s="4" customFormat="1" x14ac:dyDescent="0.35">
      <c r="B17" s="289">
        <v>46001</v>
      </c>
      <c r="C17" s="290" t="s">
        <v>585</v>
      </c>
      <c r="D17" s="291" t="s">
        <v>405</v>
      </c>
      <c r="E17" s="292" t="s">
        <v>939</v>
      </c>
      <c r="F17" s="271">
        <v>-27.14190684023022</v>
      </c>
      <c r="G17" s="293"/>
      <c r="H17" s="293"/>
      <c r="I17" s="293"/>
      <c r="J17" s="294"/>
      <c r="K17" s="295"/>
      <c r="L17" s="295"/>
      <c r="M17" s="271">
        <v>-27.117554234996248</v>
      </c>
      <c r="N17" s="293"/>
      <c r="O17" s="293"/>
      <c r="P17" s="293"/>
      <c r="Q17" s="294"/>
    </row>
    <row r="18" spans="2:17" s="4" customFormat="1" x14ac:dyDescent="0.35">
      <c r="B18" s="289">
        <v>46001</v>
      </c>
      <c r="C18" s="290" t="s">
        <v>585</v>
      </c>
      <c r="D18" s="291" t="s">
        <v>406</v>
      </c>
      <c r="E18" s="292" t="s">
        <v>940</v>
      </c>
      <c r="F18" s="278">
        <v>-7.2980668549735892</v>
      </c>
      <c r="G18" s="296"/>
      <c r="H18" s="296"/>
      <c r="I18" s="296"/>
      <c r="J18" s="297"/>
      <c r="K18" s="295"/>
      <c r="L18" s="295"/>
      <c r="M18" s="278">
        <v>-7.2915187910465065</v>
      </c>
      <c r="N18" s="296"/>
      <c r="O18" s="296"/>
      <c r="P18" s="296"/>
      <c r="Q18" s="297"/>
    </row>
    <row r="19" spans="2:17" x14ac:dyDescent="0.35">
      <c r="B19" s="231">
        <v>46001</v>
      </c>
      <c r="C19" s="232" t="s">
        <v>585</v>
      </c>
      <c r="D19" s="236" t="s">
        <v>108</v>
      </c>
      <c r="E19" s="234" t="s">
        <v>931</v>
      </c>
      <c r="F19" s="284">
        <v>0.12595069157428757</v>
      </c>
      <c r="G19" s="283">
        <v>9.9283308160601519E-2</v>
      </c>
      <c r="H19" s="283">
        <v>9.9827282031999434E-2</v>
      </c>
      <c r="I19" s="283">
        <v>9.9103772870888646E-2</v>
      </c>
      <c r="J19" s="285">
        <v>0.10275035948431671</v>
      </c>
      <c r="K19" s="235"/>
      <c r="L19" s="235"/>
      <c r="M19" s="284">
        <v>0.11959727434746628</v>
      </c>
      <c r="N19" s="283">
        <v>9.691930655241135E-2</v>
      </c>
      <c r="O19" s="283">
        <v>9.6789665739223707E-2</v>
      </c>
      <c r="P19" s="283">
        <v>9.8729105052181715E-2</v>
      </c>
      <c r="Q19" s="285">
        <v>0.10376546203860557</v>
      </c>
    </row>
    <row r="20" spans="2:17" x14ac:dyDescent="0.35">
      <c r="B20" s="231">
        <v>46001</v>
      </c>
      <c r="C20" s="232" t="s">
        <v>585</v>
      </c>
      <c r="D20" s="236" t="s">
        <v>111</v>
      </c>
      <c r="E20" s="234" t="s">
        <v>932</v>
      </c>
      <c r="F20" s="284">
        <v>1.0143271233146903E-2</v>
      </c>
      <c r="G20" s="283">
        <v>7.6295500840592801E-3</v>
      </c>
      <c r="H20" s="283">
        <v>1.0362119061103355E-2</v>
      </c>
      <c r="I20" s="283">
        <v>7.893824950258279E-3</v>
      </c>
      <c r="J20" s="285">
        <v>9.4230239177097407E-3</v>
      </c>
      <c r="K20" s="235"/>
      <c r="L20" s="235"/>
      <c r="M20" s="284">
        <v>3.0797364128535832E-2</v>
      </c>
      <c r="N20" s="283">
        <v>2.7545746374852756E-2</v>
      </c>
      <c r="O20" s="283">
        <v>2.8574827478735319E-2</v>
      </c>
      <c r="P20" s="283">
        <v>2.4897088654011076E-2</v>
      </c>
      <c r="Q20" s="285">
        <v>2.6704980306152218E-2</v>
      </c>
    </row>
    <row r="21" spans="2:17" x14ac:dyDescent="0.35">
      <c r="B21" s="231">
        <v>46001</v>
      </c>
      <c r="C21" s="232" t="s">
        <v>585</v>
      </c>
      <c r="D21" s="236" t="s">
        <v>113</v>
      </c>
      <c r="E21" s="234" t="s">
        <v>933</v>
      </c>
      <c r="F21" s="284">
        <v>0</v>
      </c>
      <c r="G21" s="283">
        <v>0</v>
      </c>
      <c r="H21" s="283">
        <v>0</v>
      </c>
      <c r="I21" s="283">
        <v>0</v>
      </c>
      <c r="J21" s="285">
        <v>0</v>
      </c>
      <c r="K21" s="235"/>
      <c r="L21" s="235"/>
      <c r="M21" s="284">
        <v>0</v>
      </c>
      <c r="N21" s="283">
        <v>0</v>
      </c>
      <c r="O21" s="283">
        <v>0</v>
      </c>
      <c r="P21" s="283">
        <v>0</v>
      </c>
      <c r="Q21" s="285">
        <v>0</v>
      </c>
    </row>
    <row r="22" spans="2:17" x14ac:dyDescent="0.35">
      <c r="B22" s="231">
        <v>46001</v>
      </c>
      <c r="C22" s="232" t="s">
        <v>585</v>
      </c>
      <c r="D22" s="236" t="s">
        <v>115</v>
      </c>
      <c r="E22" s="234" t="s">
        <v>934</v>
      </c>
      <c r="F22" s="284">
        <v>0.40510151005805445</v>
      </c>
      <c r="G22" s="283">
        <v>0.44440264501323784</v>
      </c>
      <c r="H22" s="283">
        <v>0.46666366606173276</v>
      </c>
      <c r="I22" s="283">
        <v>0.48500900429472665</v>
      </c>
      <c r="J22" s="285">
        <v>0.49829391688415658</v>
      </c>
      <c r="K22" s="235"/>
      <c r="L22" s="235"/>
      <c r="M22" s="284">
        <v>0.41136368783518462</v>
      </c>
      <c r="N22" s="283">
        <v>0.4483715881989333</v>
      </c>
      <c r="O22" s="283">
        <v>0.47066967994296011</v>
      </c>
      <c r="P22" s="283">
        <v>0.48479507139294908</v>
      </c>
      <c r="Q22" s="285">
        <v>0.49590621552959546</v>
      </c>
    </row>
    <row r="23" spans="2:17" x14ac:dyDescent="0.35">
      <c r="B23" s="231">
        <v>46001</v>
      </c>
      <c r="C23" s="232" t="s">
        <v>585</v>
      </c>
      <c r="D23" s="236" t="s">
        <v>119</v>
      </c>
      <c r="E23" s="234" t="s">
        <v>935</v>
      </c>
      <c r="F23" s="284">
        <v>2.7138897605056434E-2</v>
      </c>
      <c r="G23" s="283">
        <v>2.6890098481645988E-2</v>
      </c>
      <c r="H23" s="283">
        <v>2.7242739091161604E-2</v>
      </c>
      <c r="I23" s="283">
        <v>2.2922244006314939E-2</v>
      </c>
      <c r="J23" s="285">
        <v>2.3819939685291263E-2</v>
      </c>
      <c r="K23" s="235"/>
      <c r="L23" s="235"/>
      <c r="M23" s="284">
        <v>2.6518860539709421E-2</v>
      </c>
      <c r="N23" s="283">
        <v>2.6979889760164258E-2</v>
      </c>
      <c r="O23" s="283">
        <v>2.699223357380405E-2</v>
      </c>
      <c r="P23" s="283">
        <v>2.341013006922622E-2</v>
      </c>
      <c r="Q23" s="285">
        <v>2.4672840789050587E-2</v>
      </c>
    </row>
    <row r="24" spans="2:17" x14ac:dyDescent="0.35">
      <c r="B24" s="231">
        <v>46001</v>
      </c>
      <c r="C24" s="232" t="s">
        <v>585</v>
      </c>
      <c r="D24" s="236" t="s">
        <v>117</v>
      </c>
      <c r="E24" s="234" t="s">
        <v>936</v>
      </c>
      <c r="F24" s="284">
        <v>0.4316734284114439</v>
      </c>
      <c r="G24" s="283">
        <v>0.42179842441454968</v>
      </c>
      <c r="H24" s="283">
        <v>0.39590830859707354</v>
      </c>
      <c r="I24" s="283">
        <v>0.38507591842063454</v>
      </c>
      <c r="J24" s="285">
        <v>0.36571772563847865</v>
      </c>
      <c r="K24" s="235"/>
      <c r="L24" s="235"/>
      <c r="M24" s="284">
        <v>0.41172987301361552</v>
      </c>
      <c r="N24" s="283">
        <v>0.40018719436029099</v>
      </c>
      <c r="O24" s="283">
        <v>0.3769773939415112</v>
      </c>
      <c r="P24" s="283">
        <v>0.36817313181314554</v>
      </c>
      <c r="Q24" s="285">
        <v>0.34895529398305103</v>
      </c>
    </row>
    <row r="25" spans="2:17" x14ac:dyDescent="0.35">
      <c r="B25" s="231">
        <v>46002</v>
      </c>
      <c r="C25" s="232" t="s">
        <v>581</v>
      </c>
      <c r="D25" s="236" t="s">
        <v>517</v>
      </c>
      <c r="E25" s="234" t="s">
        <v>922</v>
      </c>
      <c r="F25" s="279">
        <v>4.1205995321272759</v>
      </c>
      <c r="G25" s="238"/>
      <c r="H25" s="257"/>
      <c r="I25" s="238"/>
      <c r="J25" s="258"/>
      <c r="K25" s="235"/>
      <c r="L25" s="235"/>
      <c r="M25" s="279">
        <v>5.2368106011799815</v>
      </c>
      <c r="N25" s="238"/>
      <c r="O25" s="257"/>
      <c r="P25" s="238"/>
      <c r="Q25" s="258"/>
    </row>
    <row r="26" spans="2:17" x14ac:dyDescent="0.35">
      <c r="B26" s="231">
        <v>46002</v>
      </c>
      <c r="C26" s="232" t="s">
        <v>581</v>
      </c>
      <c r="D26" s="236" t="s">
        <v>518</v>
      </c>
      <c r="E26" s="234" t="s">
        <v>923</v>
      </c>
      <c r="F26" s="271">
        <v>13.573280362487194</v>
      </c>
      <c r="G26" s="238"/>
      <c r="H26" s="238"/>
      <c r="I26" s="238"/>
      <c r="J26" s="258"/>
      <c r="K26" s="235"/>
      <c r="L26" s="235"/>
      <c r="M26" s="271">
        <v>13.555242665865219</v>
      </c>
      <c r="N26" s="238"/>
      <c r="O26" s="238"/>
      <c r="P26" s="238"/>
      <c r="Q26" s="258"/>
    </row>
    <row r="27" spans="2:17" x14ac:dyDescent="0.35">
      <c r="B27" s="231">
        <v>46002</v>
      </c>
      <c r="C27" s="232" t="s">
        <v>581</v>
      </c>
      <c r="D27" s="236" t="s">
        <v>99</v>
      </c>
      <c r="E27" s="239" t="s">
        <v>941</v>
      </c>
      <c r="F27" s="271"/>
      <c r="G27" s="238"/>
      <c r="H27" s="238"/>
      <c r="I27" s="238"/>
      <c r="J27" s="258"/>
      <c r="K27" s="235"/>
      <c r="L27" s="235"/>
      <c r="M27" s="271">
        <v>75.518080151574395</v>
      </c>
      <c r="N27" s="238"/>
      <c r="O27" s="238"/>
      <c r="P27" s="238"/>
      <c r="Q27" s="258"/>
    </row>
    <row r="28" spans="2:17" x14ac:dyDescent="0.35">
      <c r="B28" s="231">
        <v>46002</v>
      </c>
      <c r="C28" s="232" t="s">
        <v>581</v>
      </c>
      <c r="D28" s="236" t="s">
        <v>101</v>
      </c>
      <c r="E28" s="239" t="s">
        <v>942</v>
      </c>
      <c r="F28" s="271"/>
      <c r="G28" s="238"/>
      <c r="H28" s="238"/>
      <c r="I28" s="238"/>
      <c r="J28" s="258"/>
      <c r="K28" s="235"/>
      <c r="L28" s="235"/>
      <c r="M28" s="271">
        <v>480.22013571957785</v>
      </c>
      <c r="N28" s="238"/>
      <c r="O28" s="238"/>
      <c r="P28" s="238"/>
      <c r="Q28" s="258"/>
    </row>
    <row r="29" spans="2:17" x14ac:dyDescent="0.35">
      <c r="B29" s="231">
        <v>46002</v>
      </c>
      <c r="C29" s="232" t="s">
        <v>581</v>
      </c>
      <c r="D29" s="236" t="s">
        <v>407</v>
      </c>
      <c r="E29" s="239" t="s">
        <v>943</v>
      </c>
      <c r="F29" s="271"/>
      <c r="G29" s="238"/>
      <c r="H29" s="238"/>
      <c r="I29" s="238"/>
      <c r="J29" s="258"/>
      <c r="K29" s="235"/>
      <c r="L29" s="235"/>
      <c r="M29" s="271">
        <v>2.741692591280493</v>
      </c>
      <c r="N29" s="238"/>
      <c r="O29" s="238"/>
      <c r="P29" s="238"/>
      <c r="Q29" s="258"/>
    </row>
    <row r="30" spans="2:17" ht="15" thickBot="1" x14ac:dyDescent="0.4">
      <c r="B30" s="231">
        <v>46002</v>
      </c>
      <c r="C30" s="232" t="s">
        <v>581</v>
      </c>
      <c r="D30" s="236" t="s">
        <v>408</v>
      </c>
      <c r="E30" s="239" t="s">
        <v>944</v>
      </c>
      <c r="F30" s="271"/>
      <c r="G30" s="238"/>
      <c r="H30" s="238"/>
      <c r="I30" s="238"/>
      <c r="J30" s="258"/>
      <c r="K30" s="235"/>
      <c r="L30" s="235"/>
      <c r="M30" s="271">
        <v>1558.333611971439</v>
      </c>
      <c r="N30" s="238"/>
      <c r="O30" s="238"/>
      <c r="P30" s="238"/>
      <c r="Q30" s="258"/>
    </row>
    <row r="31" spans="2:17" x14ac:dyDescent="0.35">
      <c r="B31" s="231">
        <v>46002</v>
      </c>
      <c r="C31" s="232" t="s">
        <v>581</v>
      </c>
      <c r="D31" s="236" t="s">
        <v>809</v>
      </c>
      <c r="E31" s="239" t="s">
        <v>945</v>
      </c>
      <c r="F31" s="271"/>
      <c r="G31" s="238"/>
      <c r="H31" s="238"/>
      <c r="I31" s="238"/>
      <c r="J31" s="258"/>
      <c r="K31" s="235"/>
      <c r="L31" s="309">
        <v>3.0264516709475502</v>
      </c>
      <c r="M31" s="271"/>
      <c r="N31" s="238"/>
      <c r="O31" s="238"/>
      <c r="P31" s="238"/>
      <c r="Q31" s="258"/>
    </row>
    <row r="32" spans="2:17" ht="15" thickBot="1" x14ac:dyDescent="0.4">
      <c r="B32" s="231">
        <v>46002</v>
      </c>
      <c r="C32" s="232" t="s">
        <v>581</v>
      </c>
      <c r="D32" s="236" t="s">
        <v>811</v>
      </c>
      <c r="E32" s="239" t="s">
        <v>946</v>
      </c>
      <c r="F32" s="271"/>
      <c r="G32" s="238"/>
      <c r="H32" s="238"/>
      <c r="I32" s="238"/>
      <c r="J32" s="258"/>
      <c r="K32" s="235"/>
      <c r="L32" s="310">
        <v>1726.5380800723708</v>
      </c>
      <c r="M32" s="271"/>
      <c r="N32" s="238"/>
      <c r="O32" s="238"/>
      <c r="P32" s="238"/>
      <c r="Q32" s="258"/>
    </row>
    <row r="33" spans="2:17" x14ac:dyDescent="0.35">
      <c r="B33" s="231">
        <v>46002</v>
      </c>
      <c r="C33" s="232" t="s">
        <v>581</v>
      </c>
      <c r="D33" s="236" t="s">
        <v>106</v>
      </c>
      <c r="E33" s="239" t="s">
        <v>947</v>
      </c>
      <c r="F33" s="271"/>
      <c r="G33" s="238"/>
      <c r="H33" s="238"/>
      <c r="I33" s="238"/>
      <c r="J33" s="258"/>
      <c r="K33" s="235"/>
      <c r="L33" s="235"/>
      <c r="M33" s="271">
        <v>0</v>
      </c>
      <c r="N33" s="238"/>
      <c r="O33" s="238"/>
      <c r="P33" s="238"/>
      <c r="Q33" s="258"/>
    </row>
    <row r="34" spans="2:17" x14ac:dyDescent="0.35">
      <c r="B34" s="231">
        <v>46002</v>
      </c>
      <c r="C34" s="238" t="s">
        <v>582</v>
      </c>
      <c r="D34" s="236" t="s">
        <v>517</v>
      </c>
      <c r="E34" s="239" t="s">
        <v>922</v>
      </c>
      <c r="F34" s="271">
        <v>-0.23486974337384353</v>
      </c>
      <c r="G34" s="238"/>
      <c r="H34" s="238"/>
      <c r="I34" s="238"/>
      <c r="J34" s="258"/>
      <c r="K34" s="235"/>
      <c r="L34" s="235"/>
      <c r="M34" s="271">
        <v>0.62348611997896308</v>
      </c>
      <c r="N34" s="238"/>
      <c r="O34" s="238"/>
      <c r="P34" s="238"/>
      <c r="Q34" s="258"/>
    </row>
    <row r="35" spans="2:17" x14ac:dyDescent="0.35">
      <c r="B35" s="231">
        <v>46002</v>
      </c>
      <c r="C35" s="238" t="s">
        <v>582</v>
      </c>
      <c r="D35" s="236" t="s">
        <v>518</v>
      </c>
      <c r="E35" s="239" t="s">
        <v>923</v>
      </c>
      <c r="F35" s="271">
        <v>10.076126096858607</v>
      </c>
      <c r="G35" s="238"/>
      <c r="H35" s="238"/>
      <c r="I35" s="238"/>
      <c r="J35" s="258"/>
      <c r="K35" s="235"/>
      <c r="L35" s="235"/>
      <c r="M35" s="271">
        <v>10.052564447763782</v>
      </c>
      <c r="N35" s="238"/>
      <c r="O35" s="238"/>
      <c r="P35" s="238"/>
      <c r="Q35" s="258"/>
    </row>
    <row r="36" spans="2:17" x14ac:dyDescent="0.35">
      <c r="B36" s="231">
        <v>46002</v>
      </c>
      <c r="C36" s="238" t="s">
        <v>582</v>
      </c>
      <c r="D36" s="236" t="s">
        <v>99</v>
      </c>
      <c r="E36" s="239" t="s">
        <v>941</v>
      </c>
      <c r="F36" s="271"/>
      <c r="G36" s="238"/>
      <c r="H36" s="238"/>
      <c r="I36" s="238"/>
      <c r="J36" s="258"/>
      <c r="K36" s="235"/>
      <c r="L36" s="235"/>
      <c r="M36" s="271">
        <v>44.205838911544497</v>
      </c>
      <c r="N36" s="238"/>
      <c r="O36" s="238"/>
      <c r="P36" s="238"/>
      <c r="Q36" s="258"/>
    </row>
    <row r="37" spans="2:17" x14ac:dyDescent="0.35">
      <c r="B37" s="231">
        <v>46002</v>
      </c>
      <c r="C37" s="238" t="s">
        <v>582</v>
      </c>
      <c r="D37" s="236" t="s">
        <v>101</v>
      </c>
      <c r="E37" s="239" t="s">
        <v>942</v>
      </c>
      <c r="F37" s="271"/>
      <c r="G37" s="238"/>
      <c r="H37" s="238"/>
      <c r="I37" s="238"/>
      <c r="J37" s="258"/>
      <c r="K37" s="235"/>
      <c r="L37" s="235"/>
      <c r="M37" s="271">
        <v>246.96360345331234</v>
      </c>
      <c r="N37" s="238"/>
      <c r="O37" s="238"/>
      <c r="P37" s="238"/>
      <c r="Q37" s="258"/>
    </row>
    <row r="38" spans="2:17" x14ac:dyDescent="0.35">
      <c r="B38" s="231">
        <v>46002</v>
      </c>
      <c r="C38" s="238" t="s">
        <v>582</v>
      </c>
      <c r="D38" s="236" t="s">
        <v>407</v>
      </c>
      <c r="E38" s="239" t="s">
        <v>943</v>
      </c>
      <c r="F38" s="271"/>
      <c r="G38" s="238"/>
      <c r="H38" s="238"/>
      <c r="I38" s="238"/>
      <c r="J38" s="258"/>
      <c r="K38" s="235"/>
      <c r="L38" s="235"/>
      <c r="M38" s="271">
        <v>2.4329157546663223</v>
      </c>
      <c r="N38" s="238"/>
      <c r="O38" s="238"/>
      <c r="P38" s="238"/>
      <c r="Q38" s="258"/>
    </row>
    <row r="39" spans="2:17" x14ac:dyDescent="0.35">
      <c r="B39" s="231">
        <v>46002</v>
      </c>
      <c r="C39" s="238" t="s">
        <v>582</v>
      </c>
      <c r="D39" s="236" t="s">
        <v>408</v>
      </c>
      <c r="E39" s="239" t="s">
        <v>944</v>
      </c>
      <c r="F39" s="271"/>
      <c r="G39" s="238"/>
      <c r="H39" s="238"/>
      <c r="I39" s="238"/>
      <c r="J39" s="258"/>
      <c r="K39" s="235"/>
      <c r="L39" s="235"/>
      <c r="M39" s="271">
        <v>1586.9532616622064</v>
      </c>
      <c r="N39" s="238"/>
      <c r="O39" s="238"/>
      <c r="P39" s="238"/>
      <c r="Q39" s="258"/>
    </row>
    <row r="40" spans="2:17" ht="15" thickBot="1" x14ac:dyDescent="0.4">
      <c r="B40" s="231">
        <v>46002</v>
      </c>
      <c r="C40" s="238" t="s">
        <v>582</v>
      </c>
      <c r="D40" s="236" t="s">
        <v>809</v>
      </c>
      <c r="E40" s="239" t="s">
        <v>945</v>
      </c>
      <c r="F40" s="271"/>
      <c r="G40" s="238"/>
      <c r="H40" s="238"/>
      <c r="I40" s="238"/>
      <c r="J40" s="258"/>
      <c r="K40" s="235"/>
      <c r="L40" s="235"/>
      <c r="M40" s="271">
        <v>2.685343591055275</v>
      </c>
      <c r="N40" s="238"/>
      <c r="O40" s="238"/>
      <c r="P40" s="238"/>
      <c r="Q40" s="258"/>
    </row>
    <row r="41" spans="2:17" x14ac:dyDescent="0.35">
      <c r="B41" s="231">
        <v>46002</v>
      </c>
      <c r="C41" s="238" t="s">
        <v>582</v>
      </c>
      <c r="D41" s="236" t="s">
        <v>811</v>
      </c>
      <c r="E41" s="239" t="s">
        <v>946</v>
      </c>
      <c r="F41" s="271"/>
      <c r="G41" s="238"/>
      <c r="H41" s="238"/>
      <c r="I41" s="238"/>
      <c r="J41" s="258"/>
      <c r="K41" s="235"/>
      <c r="L41" s="309">
        <v>1766.3420416022805</v>
      </c>
      <c r="M41" s="271"/>
      <c r="N41" s="238"/>
      <c r="O41" s="238"/>
      <c r="P41" s="238"/>
      <c r="Q41" s="258"/>
    </row>
    <row r="42" spans="2:17" ht="15" thickBot="1" x14ac:dyDescent="0.4">
      <c r="B42" s="231">
        <v>46002</v>
      </c>
      <c r="C42" s="238" t="s">
        <v>582</v>
      </c>
      <c r="D42" s="236" t="s">
        <v>106</v>
      </c>
      <c r="E42" s="239" t="s">
        <v>947</v>
      </c>
      <c r="F42" s="271"/>
      <c r="G42" s="238"/>
      <c r="H42" s="238"/>
      <c r="I42" s="238"/>
      <c r="J42" s="258"/>
      <c r="K42" s="235"/>
      <c r="L42" s="310">
        <v>0</v>
      </c>
      <c r="M42" s="271"/>
      <c r="N42" s="238"/>
      <c r="O42" s="238"/>
      <c r="P42" s="238"/>
      <c r="Q42" s="258"/>
    </row>
    <row r="43" spans="2:17" x14ac:dyDescent="0.35">
      <c r="B43" s="231">
        <v>46002</v>
      </c>
      <c r="C43" s="238" t="s">
        <v>583</v>
      </c>
      <c r="D43" s="236" t="s">
        <v>517</v>
      </c>
      <c r="E43" s="239" t="s">
        <v>922</v>
      </c>
      <c r="F43" s="271">
        <v>4.638285363425239</v>
      </c>
      <c r="G43" s="238"/>
      <c r="H43" s="238"/>
      <c r="I43" s="238"/>
      <c r="J43" s="258"/>
      <c r="K43" s="235"/>
      <c r="L43" s="235"/>
      <c r="M43" s="271">
        <v>5.4417733329726712</v>
      </c>
      <c r="N43" s="238"/>
      <c r="O43" s="238"/>
      <c r="P43" s="238"/>
      <c r="Q43" s="258"/>
    </row>
    <row r="44" spans="2:17" x14ac:dyDescent="0.35">
      <c r="B44" s="231">
        <v>46002</v>
      </c>
      <c r="C44" s="238" t="s">
        <v>583</v>
      </c>
      <c r="D44" s="236" t="s">
        <v>518</v>
      </c>
      <c r="E44" s="239" t="s">
        <v>923</v>
      </c>
      <c r="F44" s="271">
        <v>9.2473023833164802</v>
      </c>
      <c r="G44" s="238"/>
      <c r="H44" s="238"/>
      <c r="I44" s="238"/>
      <c r="J44" s="258"/>
      <c r="K44" s="235"/>
      <c r="L44" s="235"/>
      <c r="M44" s="271">
        <v>9.2346437668320522</v>
      </c>
      <c r="N44" s="238"/>
      <c r="O44" s="238"/>
      <c r="P44" s="238"/>
      <c r="Q44" s="258"/>
    </row>
    <row r="45" spans="2:17" x14ac:dyDescent="0.35">
      <c r="B45" s="231">
        <v>46002</v>
      </c>
      <c r="C45" s="238" t="s">
        <v>583</v>
      </c>
      <c r="D45" s="236" t="s">
        <v>99</v>
      </c>
      <c r="E45" s="239" t="s">
        <v>941</v>
      </c>
      <c r="F45" s="271"/>
      <c r="G45" s="238"/>
      <c r="H45" s="238"/>
      <c r="I45" s="238"/>
      <c r="J45" s="258"/>
      <c r="K45" s="235"/>
      <c r="L45" s="235"/>
      <c r="M45" s="271">
        <v>50.385488062791332</v>
      </c>
      <c r="N45" s="238"/>
      <c r="O45" s="238"/>
      <c r="P45" s="238"/>
      <c r="Q45" s="258"/>
    </row>
    <row r="46" spans="2:17" x14ac:dyDescent="0.35">
      <c r="B46" s="231">
        <v>46002</v>
      </c>
      <c r="C46" s="238" t="s">
        <v>583</v>
      </c>
      <c r="D46" s="236" t="s">
        <v>101</v>
      </c>
      <c r="E46" s="239" t="s">
        <v>942</v>
      </c>
      <c r="F46" s="271"/>
      <c r="G46" s="238"/>
      <c r="H46" s="238"/>
      <c r="I46" s="238"/>
      <c r="J46" s="258"/>
      <c r="K46" s="235"/>
      <c r="L46" s="235"/>
      <c r="M46" s="271">
        <v>251.10917997410391</v>
      </c>
      <c r="N46" s="238"/>
      <c r="O46" s="238"/>
      <c r="P46" s="238"/>
      <c r="Q46" s="258"/>
    </row>
    <row r="47" spans="2:17" x14ac:dyDescent="0.35">
      <c r="B47" s="231">
        <v>46002</v>
      </c>
      <c r="C47" s="238" t="s">
        <v>583</v>
      </c>
      <c r="D47" s="236" t="s">
        <v>407</v>
      </c>
      <c r="E47" s="239" t="s">
        <v>943</v>
      </c>
      <c r="F47" s="271"/>
      <c r="G47" s="238"/>
      <c r="H47" s="238"/>
      <c r="I47" s="238"/>
      <c r="J47" s="258"/>
      <c r="K47" s="235"/>
      <c r="L47" s="235"/>
      <c r="M47" s="271">
        <v>1.8313956602977366</v>
      </c>
      <c r="N47" s="238"/>
      <c r="O47" s="238"/>
      <c r="P47" s="238"/>
      <c r="Q47" s="258"/>
    </row>
    <row r="48" spans="2:17" x14ac:dyDescent="0.35">
      <c r="B48" s="231">
        <v>46002</v>
      </c>
      <c r="C48" s="238" t="s">
        <v>583</v>
      </c>
      <c r="D48" s="236" t="s">
        <v>408</v>
      </c>
      <c r="E48" s="239" t="s">
        <v>944</v>
      </c>
      <c r="F48" s="271"/>
      <c r="G48" s="238"/>
      <c r="H48" s="238"/>
      <c r="I48" s="238"/>
      <c r="J48" s="258"/>
      <c r="K48" s="235"/>
      <c r="L48" s="235"/>
      <c r="M48" s="271">
        <v>1106.4195629370859</v>
      </c>
      <c r="N48" s="238"/>
      <c r="O48" s="238"/>
      <c r="P48" s="238"/>
      <c r="Q48" s="258"/>
    </row>
    <row r="49" spans="2:17" ht="15" thickBot="1" x14ac:dyDescent="0.4">
      <c r="B49" s="231">
        <v>46002</v>
      </c>
      <c r="C49" s="238" t="s">
        <v>583</v>
      </c>
      <c r="D49" s="236" t="s">
        <v>809</v>
      </c>
      <c r="E49" s="239" t="s">
        <v>945</v>
      </c>
      <c r="F49" s="271"/>
      <c r="G49" s="238"/>
      <c r="H49" s="238"/>
      <c r="I49" s="238"/>
      <c r="J49" s="258"/>
      <c r="K49" s="235"/>
      <c r="L49" s="235"/>
      <c r="M49" s="271">
        <v>2.0290963191897888</v>
      </c>
      <c r="N49" s="238"/>
      <c r="O49" s="238"/>
      <c r="P49" s="238"/>
      <c r="Q49" s="258"/>
    </row>
    <row r="50" spans="2:17" x14ac:dyDescent="0.35">
      <c r="B50" s="231">
        <v>46002</v>
      </c>
      <c r="C50" s="238" t="s">
        <v>583</v>
      </c>
      <c r="D50" s="236" t="s">
        <v>811</v>
      </c>
      <c r="E50" s="239" t="s">
        <v>946</v>
      </c>
      <c r="F50" s="271"/>
      <c r="G50" s="238"/>
      <c r="H50" s="238"/>
      <c r="I50" s="238"/>
      <c r="J50" s="258"/>
      <c r="K50" s="235"/>
      <c r="L50" s="309">
        <v>1233.5198812905794</v>
      </c>
      <c r="M50" s="271"/>
      <c r="N50" s="238"/>
      <c r="O50" s="238"/>
      <c r="P50" s="238"/>
      <c r="Q50" s="258"/>
    </row>
    <row r="51" spans="2:17" ht="15" thickBot="1" x14ac:dyDescent="0.4">
      <c r="B51" s="231">
        <v>46002</v>
      </c>
      <c r="C51" s="238" t="s">
        <v>583</v>
      </c>
      <c r="D51" s="236" t="s">
        <v>106</v>
      </c>
      <c r="E51" s="239" t="s">
        <v>947</v>
      </c>
      <c r="F51" s="271"/>
      <c r="G51" s="238"/>
      <c r="H51" s="238"/>
      <c r="I51" s="238"/>
      <c r="J51" s="258"/>
      <c r="K51" s="235"/>
      <c r="L51" s="310">
        <v>0</v>
      </c>
      <c r="M51" s="271"/>
      <c r="N51" s="238"/>
      <c r="O51" s="238"/>
      <c r="P51" s="238"/>
      <c r="Q51" s="258"/>
    </row>
    <row r="52" spans="2:17" x14ac:dyDescent="0.35">
      <c r="B52" s="231">
        <v>46002</v>
      </c>
      <c r="C52" s="238" t="s">
        <v>584</v>
      </c>
      <c r="D52" s="236" t="s">
        <v>517</v>
      </c>
      <c r="E52" s="239" t="s">
        <v>922</v>
      </c>
      <c r="F52" s="271">
        <v>0.5021886216002901</v>
      </c>
      <c r="G52" s="238"/>
      <c r="H52" s="238"/>
      <c r="I52" s="238"/>
      <c r="J52" s="258"/>
      <c r="K52" s="235"/>
      <c r="L52" s="235"/>
      <c r="M52" s="271">
        <v>1.2491235200276538</v>
      </c>
      <c r="N52" s="238"/>
      <c r="O52" s="238"/>
      <c r="P52" s="238"/>
      <c r="Q52" s="258"/>
    </row>
    <row r="53" spans="2:17" x14ac:dyDescent="0.35">
      <c r="B53" s="231">
        <v>46002</v>
      </c>
      <c r="C53" s="238" t="s">
        <v>584</v>
      </c>
      <c r="D53" s="236" t="s">
        <v>518</v>
      </c>
      <c r="E53" s="239" t="s">
        <v>923</v>
      </c>
      <c r="F53" s="271">
        <v>6.9234027702511449</v>
      </c>
      <c r="G53" s="238"/>
      <c r="H53" s="238"/>
      <c r="I53" s="238"/>
      <c r="J53" s="258"/>
      <c r="K53" s="235"/>
      <c r="L53" s="235"/>
      <c r="M53" s="271">
        <v>6.9134850501283136</v>
      </c>
      <c r="N53" s="238"/>
      <c r="O53" s="238"/>
      <c r="P53" s="238"/>
      <c r="Q53" s="258"/>
    </row>
    <row r="54" spans="2:17" x14ac:dyDescent="0.35">
      <c r="B54" s="231">
        <v>46002</v>
      </c>
      <c r="C54" s="238" t="s">
        <v>584</v>
      </c>
      <c r="D54" s="236" t="s">
        <v>99</v>
      </c>
      <c r="E54" s="239" t="s">
        <v>941</v>
      </c>
      <c r="F54" s="271"/>
      <c r="G54" s="238"/>
      <c r="H54" s="238"/>
      <c r="I54" s="238"/>
      <c r="J54" s="258"/>
      <c r="K54" s="235"/>
      <c r="L54" s="235"/>
      <c r="M54" s="271">
        <v>35.184277583275097</v>
      </c>
      <c r="N54" s="238"/>
      <c r="O54" s="238"/>
      <c r="P54" s="238"/>
      <c r="Q54" s="258"/>
    </row>
    <row r="55" spans="2:17" x14ac:dyDescent="0.35">
      <c r="B55" s="231">
        <v>46002</v>
      </c>
      <c r="C55" s="238" t="s">
        <v>584</v>
      </c>
      <c r="D55" s="236" t="s">
        <v>101</v>
      </c>
      <c r="E55" s="239" t="s">
        <v>942</v>
      </c>
      <c r="F55" s="271"/>
      <c r="G55" s="238"/>
      <c r="H55" s="238"/>
      <c r="I55" s="238"/>
      <c r="J55" s="258"/>
      <c r="K55" s="235"/>
      <c r="L55" s="235"/>
      <c r="M55" s="271">
        <v>158.51106511290493</v>
      </c>
      <c r="N55" s="238"/>
      <c r="O55" s="238"/>
      <c r="P55" s="238"/>
      <c r="Q55" s="258"/>
    </row>
    <row r="56" spans="2:17" x14ac:dyDescent="0.35">
      <c r="B56" s="231">
        <v>46002</v>
      </c>
      <c r="C56" s="238" t="s">
        <v>584</v>
      </c>
      <c r="D56" s="236" t="s">
        <v>407</v>
      </c>
      <c r="E56" s="239" t="s">
        <v>943</v>
      </c>
      <c r="F56" s="271"/>
      <c r="G56" s="238"/>
      <c r="H56" s="238"/>
      <c r="I56" s="238"/>
      <c r="J56" s="258"/>
      <c r="K56" s="235"/>
      <c r="L56" s="235"/>
      <c r="M56" s="271">
        <v>1.3763803938445049</v>
      </c>
      <c r="N56" s="238"/>
      <c r="O56" s="238"/>
      <c r="P56" s="238"/>
      <c r="Q56" s="258"/>
    </row>
    <row r="57" spans="2:17" x14ac:dyDescent="0.35">
      <c r="B57" s="231">
        <v>46002</v>
      </c>
      <c r="C57" s="238" t="s">
        <v>584</v>
      </c>
      <c r="D57" s="236" t="s">
        <v>408</v>
      </c>
      <c r="E57" s="239" t="s">
        <v>944</v>
      </c>
      <c r="F57" s="271"/>
      <c r="G57" s="238"/>
      <c r="H57" s="238"/>
      <c r="I57" s="238"/>
      <c r="J57" s="258"/>
      <c r="K57" s="235"/>
      <c r="L57" s="235"/>
      <c r="M57" s="271">
        <v>855.80788456679079</v>
      </c>
      <c r="N57" s="238"/>
      <c r="O57" s="238"/>
      <c r="P57" s="238"/>
      <c r="Q57" s="258"/>
    </row>
    <row r="58" spans="2:17" ht="15" thickBot="1" x14ac:dyDescent="0.4">
      <c r="B58" s="231">
        <v>46002</v>
      </c>
      <c r="C58" s="238" t="s">
        <v>584</v>
      </c>
      <c r="D58" s="236" t="s">
        <v>809</v>
      </c>
      <c r="E58" s="239" t="s">
        <v>945</v>
      </c>
      <c r="F58" s="271"/>
      <c r="G58" s="238"/>
      <c r="H58" s="238"/>
      <c r="I58" s="238"/>
      <c r="J58" s="258"/>
      <c r="K58" s="235"/>
      <c r="L58" s="235"/>
      <c r="M58" s="271">
        <v>1.5215438923328914</v>
      </c>
      <c r="N58" s="238"/>
      <c r="O58" s="238"/>
      <c r="P58" s="238"/>
      <c r="Q58" s="258"/>
    </row>
    <row r="59" spans="2:17" x14ac:dyDescent="0.35">
      <c r="B59" s="231">
        <v>46002</v>
      </c>
      <c r="C59" s="238" t="s">
        <v>584</v>
      </c>
      <c r="D59" s="236" t="s">
        <v>811</v>
      </c>
      <c r="E59" s="239" t="s">
        <v>946</v>
      </c>
      <c r="F59" s="271"/>
      <c r="G59" s="238"/>
      <c r="H59" s="238"/>
      <c r="I59" s="238"/>
      <c r="J59" s="258"/>
      <c r="K59" s="235"/>
      <c r="L59" s="309">
        <v>956.71576404081668</v>
      </c>
      <c r="M59" s="271"/>
      <c r="N59" s="238"/>
      <c r="O59" s="238"/>
      <c r="P59" s="238"/>
      <c r="Q59" s="258"/>
    </row>
    <row r="60" spans="2:17" ht="15" thickBot="1" x14ac:dyDescent="0.4">
      <c r="B60" s="231">
        <v>46002</v>
      </c>
      <c r="C60" s="238" t="s">
        <v>584</v>
      </c>
      <c r="D60" s="236" t="s">
        <v>106</v>
      </c>
      <c r="E60" s="239" t="s">
        <v>947</v>
      </c>
      <c r="F60" s="271"/>
      <c r="G60" s="238"/>
      <c r="H60" s="238"/>
      <c r="I60" s="238"/>
      <c r="J60" s="258"/>
      <c r="K60" s="235"/>
      <c r="L60" s="310">
        <v>0</v>
      </c>
      <c r="M60" s="271"/>
      <c r="N60" s="238"/>
      <c r="O60" s="238"/>
      <c r="P60" s="238"/>
      <c r="Q60" s="258"/>
    </row>
    <row r="61" spans="2:17" x14ac:dyDescent="0.35">
      <c r="B61" s="231">
        <v>46002</v>
      </c>
      <c r="C61" s="238" t="s">
        <v>585</v>
      </c>
      <c r="D61" s="236" t="s">
        <v>517</v>
      </c>
      <c r="E61" s="239" t="s">
        <v>922</v>
      </c>
      <c r="F61" s="271">
        <v>7.9343603424848377</v>
      </c>
      <c r="G61" s="238"/>
      <c r="H61" s="238"/>
      <c r="I61" s="238"/>
      <c r="J61" s="258"/>
      <c r="K61" s="235"/>
      <c r="L61" s="235"/>
      <c r="M61" s="271">
        <v>8.6999999999999993</v>
      </c>
      <c r="N61" s="238"/>
      <c r="O61" s="238"/>
      <c r="P61" s="238"/>
      <c r="Q61" s="258"/>
    </row>
    <row r="62" spans="2:17" x14ac:dyDescent="0.35">
      <c r="B62" s="231">
        <v>46002</v>
      </c>
      <c r="C62" s="238" t="s">
        <v>585</v>
      </c>
      <c r="D62" s="236" t="s">
        <v>518</v>
      </c>
      <c r="E62" s="239" t="s">
        <v>923</v>
      </c>
      <c r="F62" s="271">
        <v>-1.3059038002115588</v>
      </c>
      <c r="G62" s="238"/>
      <c r="H62" s="238"/>
      <c r="I62" s="238"/>
      <c r="J62" s="258"/>
      <c r="K62" s="235"/>
      <c r="L62" s="235"/>
      <c r="M62" s="271">
        <v>-1.3</v>
      </c>
      <c r="N62" s="238"/>
      <c r="O62" s="238"/>
      <c r="P62" s="238"/>
      <c r="Q62" s="258"/>
    </row>
    <row r="63" spans="2:17" x14ac:dyDescent="0.35">
      <c r="B63" s="231">
        <v>46002</v>
      </c>
      <c r="C63" s="238" t="s">
        <v>585</v>
      </c>
      <c r="D63" s="236" t="s">
        <v>99</v>
      </c>
      <c r="E63" s="239" t="s">
        <v>941</v>
      </c>
      <c r="F63" s="271"/>
      <c r="G63" s="238"/>
      <c r="H63" s="238"/>
      <c r="I63" s="238"/>
      <c r="J63" s="258"/>
      <c r="K63" s="235"/>
      <c r="L63" s="235"/>
      <c r="M63" s="271">
        <v>105.33997070354015</v>
      </c>
      <c r="N63" s="238"/>
      <c r="O63" s="238"/>
      <c r="P63" s="238"/>
      <c r="Q63" s="258"/>
    </row>
    <row r="64" spans="2:17" x14ac:dyDescent="0.35">
      <c r="B64" s="231">
        <v>46002</v>
      </c>
      <c r="C64" s="238" t="s">
        <v>585</v>
      </c>
      <c r="D64" s="236" t="s">
        <v>101</v>
      </c>
      <c r="E64" s="239" t="s">
        <v>942</v>
      </c>
      <c r="F64" s="271"/>
      <c r="G64" s="238"/>
      <c r="H64" s="238"/>
      <c r="I64" s="238"/>
      <c r="J64" s="258"/>
      <c r="K64" s="235"/>
      <c r="L64" s="235"/>
      <c r="M64" s="271">
        <v>240.37466838680905</v>
      </c>
      <c r="N64" s="238"/>
      <c r="O64" s="238"/>
      <c r="P64" s="238"/>
      <c r="Q64" s="258"/>
    </row>
    <row r="65" spans="2:17" x14ac:dyDescent="0.35">
      <c r="B65" s="231">
        <v>46002</v>
      </c>
      <c r="C65" s="238" t="s">
        <v>585</v>
      </c>
      <c r="D65" s="236" t="s">
        <v>407</v>
      </c>
      <c r="E65" s="239" t="s">
        <v>943</v>
      </c>
      <c r="F65" s="271"/>
      <c r="G65" s="238"/>
      <c r="H65" s="238"/>
      <c r="I65" s="238"/>
      <c r="J65" s="258"/>
      <c r="K65" s="235"/>
      <c r="L65" s="235"/>
      <c r="M65" s="271">
        <v>0</v>
      </c>
      <c r="N65" s="238"/>
      <c r="O65" s="238"/>
      <c r="P65" s="238"/>
      <c r="Q65" s="258"/>
    </row>
    <row r="66" spans="2:17" x14ac:dyDescent="0.35">
      <c r="B66" s="231">
        <v>46002</v>
      </c>
      <c r="C66" s="238" t="s">
        <v>585</v>
      </c>
      <c r="D66" s="236" t="s">
        <v>408</v>
      </c>
      <c r="E66" s="239" t="s">
        <v>944</v>
      </c>
      <c r="F66" s="271"/>
      <c r="G66" s="238"/>
      <c r="H66" s="238"/>
      <c r="I66" s="238"/>
      <c r="J66" s="258"/>
      <c r="K66" s="235"/>
      <c r="L66" s="235"/>
      <c r="M66" s="271">
        <v>1067.4620932839227</v>
      </c>
      <c r="N66" s="238"/>
      <c r="O66" s="238"/>
      <c r="P66" s="238"/>
      <c r="Q66" s="258"/>
    </row>
    <row r="67" spans="2:17" ht="15" thickBot="1" x14ac:dyDescent="0.4">
      <c r="B67" s="231">
        <v>46002</v>
      </c>
      <c r="C67" s="238" t="s">
        <v>585</v>
      </c>
      <c r="D67" s="236" t="s">
        <v>809</v>
      </c>
      <c r="E67" s="239" t="s">
        <v>945</v>
      </c>
      <c r="F67" s="271"/>
      <c r="G67" s="238"/>
      <c r="H67" s="238"/>
      <c r="I67" s="238"/>
      <c r="J67" s="258"/>
      <c r="K67" s="235"/>
      <c r="L67" s="235"/>
      <c r="M67" s="271">
        <v>0</v>
      </c>
      <c r="N67" s="238"/>
      <c r="O67" s="238"/>
      <c r="P67" s="238"/>
      <c r="Q67" s="258"/>
    </row>
    <row r="68" spans="2:17" x14ac:dyDescent="0.35">
      <c r="B68" s="231">
        <v>46002</v>
      </c>
      <c r="C68" s="238" t="s">
        <v>585</v>
      </c>
      <c r="D68" s="236" t="s">
        <v>811</v>
      </c>
      <c r="E68" s="239" t="s">
        <v>946</v>
      </c>
      <c r="F68" s="271"/>
      <c r="G68" s="238"/>
      <c r="H68" s="238"/>
      <c r="I68" s="238"/>
      <c r="J68" s="258"/>
      <c r="K68" s="235"/>
      <c r="L68" s="309">
        <v>1186.8817945106725</v>
      </c>
      <c r="M68" s="271"/>
      <c r="N68" s="238"/>
      <c r="O68" s="238"/>
      <c r="P68" s="238"/>
      <c r="Q68" s="258"/>
    </row>
    <row r="69" spans="2:17" ht="15" thickBot="1" x14ac:dyDescent="0.4">
      <c r="B69" s="231">
        <v>46002</v>
      </c>
      <c r="C69" s="238" t="s">
        <v>585</v>
      </c>
      <c r="D69" s="236" t="s">
        <v>106</v>
      </c>
      <c r="E69" s="239" t="s">
        <v>947</v>
      </c>
      <c r="F69" s="271"/>
      <c r="G69" s="238"/>
      <c r="H69" s="238"/>
      <c r="I69" s="238"/>
      <c r="J69" s="258"/>
      <c r="K69" s="235"/>
      <c r="L69" s="310">
        <v>0</v>
      </c>
      <c r="M69" s="271"/>
      <c r="N69" s="238"/>
      <c r="O69" s="238"/>
      <c r="P69" s="238"/>
      <c r="Q69" s="258"/>
    </row>
    <row r="70" spans="2:17" x14ac:dyDescent="0.35">
      <c r="B70" s="231">
        <v>46002</v>
      </c>
      <c r="C70" s="238" t="s">
        <v>586</v>
      </c>
      <c r="D70" s="236" t="s">
        <v>517</v>
      </c>
      <c r="E70" s="239" t="s">
        <v>922</v>
      </c>
      <c r="F70" s="271">
        <v>1.9727392860504636E-2</v>
      </c>
      <c r="G70" s="238"/>
      <c r="H70" s="238"/>
      <c r="I70" s="238"/>
      <c r="J70" s="258"/>
      <c r="K70" s="235"/>
      <c r="L70" s="235"/>
      <c r="M70" s="271">
        <v>1.7652336760564444</v>
      </c>
      <c r="N70" s="238"/>
      <c r="O70" s="238"/>
      <c r="P70" s="238"/>
      <c r="Q70" s="258"/>
    </row>
    <row r="71" spans="2:17" x14ac:dyDescent="0.35">
      <c r="B71" s="231">
        <v>46002</v>
      </c>
      <c r="C71" s="238" t="s">
        <v>586</v>
      </c>
      <c r="D71" s="236" t="s">
        <v>518</v>
      </c>
      <c r="E71" s="239" t="s">
        <v>923</v>
      </c>
      <c r="F71" s="271">
        <v>1.178924767746341</v>
      </c>
      <c r="G71" s="238"/>
      <c r="H71" s="238"/>
      <c r="I71" s="238"/>
      <c r="J71" s="258"/>
      <c r="K71" s="235"/>
      <c r="L71" s="235"/>
      <c r="M71" s="271">
        <v>1.1775514439758099</v>
      </c>
      <c r="N71" s="238"/>
      <c r="O71" s="238"/>
      <c r="P71" s="238"/>
      <c r="Q71" s="258"/>
    </row>
    <row r="72" spans="2:17" x14ac:dyDescent="0.35">
      <c r="B72" s="231">
        <v>46002</v>
      </c>
      <c r="C72" s="238" t="s">
        <v>586</v>
      </c>
      <c r="D72" s="236" t="s">
        <v>99</v>
      </c>
      <c r="E72" s="239" t="s">
        <v>941</v>
      </c>
      <c r="F72" s="271"/>
      <c r="G72" s="238"/>
      <c r="H72" s="238"/>
      <c r="I72" s="238"/>
      <c r="J72" s="258"/>
      <c r="K72" s="235"/>
      <c r="L72" s="235"/>
      <c r="M72" s="271">
        <v>48.018793862574022</v>
      </c>
      <c r="N72" s="238"/>
      <c r="O72" s="238"/>
      <c r="P72" s="238"/>
      <c r="Q72" s="258"/>
    </row>
    <row r="73" spans="2:17" x14ac:dyDescent="0.35">
      <c r="B73" s="231">
        <v>46002</v>
      </c>
      <c r="C73" s="238" t="s">
        <v>586</v>
      </c>
      <c r="D73" s="236" t="s">
        <v>101</v>
      </c>
      <c r="E73" s="239" t="s">
        <v>942</v>
      </c>
      <c r="F73" s="271"/>
      <c r="G73" s="238"/>
      <c r="H73" s="238"/>
      <c r="I73" s="238"/>
      <c r="J73" s="258"/>
      <c r="K73" s="235"/>
      <c r="L73" s="235"/>
      <c r="M73" s="271">
        <v>381.20025331433436</v>
      </c>
      <c r="N73" s="238"/>
      <c r="O73" s="238"/>
      <c r="P73" s="238"/>
      <c r="Q73" s="258"/>
    </row>
    <row r="74" spans="2:17" x14ac:dyDescent="0.35">
      <c r="B74" s="231">
        <v>46002</v>
      </c>
      <c r="C74" s="238" t="s">
        <v>586</v>
      </c>
      <c r="D74" s="236" t="s">
        <v>407</v>
      </c>
      <c r="E74" s="239" t="s">
        <v>943</v>
      </c>
      <c r="F74" s="271"/>
      <c r="G74" s="238"/>
      <c r="H74" s="238"/>
      <c r="I74" s="238"/>
      <c r="J74" s="258"/>
      <c r="K74" s="235"/>
      <c r="L74" s="235"/>
      <c r="M74" s="271">
        <v>9.264760373136296</v>
      </c>
      <c r="N74" s="238"/>
      <c r="O74" s="238"/>
      <c r="P74" s="238"/>
      <c r="Q74" s="258"/>
    </row>
    <row r="75" spans="2:17" x14ac:dyDescent="0.35">
      <c r="B75" s="231">
        <v>46002</v>
      </c>
      <c r="C75" s="238" t="s">
        <v>586</v>
      </c>
      <c r="D75" s="236" t="s">
        <v>408</v>
      </c>
      <c r="E75" s="239" t="s">
        <v>944</v>
      </c>
      <c r="F75" s="271"/>
      <c r="G75" s="238"/>
      <c r="H75" s="238"/>
      <c r="I75" s="238"/>
      <c r="J75" s="258"/>
      <c r="K75" s="235"/>
      <c r="L75" s="235"/>
      <c r="M75" s="271">
        <v>668.21849933633644</v>
      </c>
      <c r="N75" s="238"/>
      <c r="O75" s="238"/>
      <c r="P75" s="238"/>
      <c r="Q75" s="258"/>
    </row>
    <row r="76" spans="2:17" ht="15" thickBot="1" x14ac:dyDescent="0.4">
      <c r="B76" s="231">
        <v>46002</v>
      </c>
      <c r="C76" s="238" t="s">
        <v>586</v>
      </c>
      <c r="D76" s="236" t="s">
        <v>809</v>
      </c>
      <c r="E76" s="239" t="s">
        <v>945</v>
      </c>
      <c r="F76" s="271"/>
      <c r="G76" s="238"/>
      <c r="H76" s="238"/>
      <c r="I76" s="238"/>
      <c r="J76" s="258"/>
      <c r="K76" s="235"/>
      <c r="L76" s="235"/>
      <c r="M76" s="271">
        <v>9.5605462024957468</v>
      </c>
      <c r="N76" s="238"/>
      <c r="O76" s="238"/>
      <c r="P76" s="238"/>
      <c r="Q76" s="258"/>
    </row>
    <row r="77" spans="2:17" x14ac:dyDescent="0.35">
      <c r="B77" s="231">
        <v>46002</v>
      </c>
      <c r="C77" s="238" t="s">
        <v>586</v>
      </c>
      <c r="D77" s="236" t="s">
        <v>811</v>
      </c>
      <c r="E77" s="239" t="s">
        <v>946</v>
      </c>
      <c r="F77" s="271"/>
      <c r="G77" s="238"/>
      <c r="H77" s="238"/>
      <c r="I77" s="238"/>
      <c r="J77" s="258"/>
      <c r="K77" s="235"/>
      <c r="L77" s="309">
        <v>744.32698607057603</v>
      </c>
      <c r="M77" s="271"/>
      <c r="N77" s="238"/>
      <c r="O77" s="238"/>
      <c r="P77" s="238"/>
      <c r="Q77" s="258"/>
    </row>
    <row r="78" spans="2:17" ht="15" thickBot="1" x14ac:dyDescent="0.4">
      <c r="B78" s="231">
        <v>46002</v>
      </c>
      <c r="C78" s="238" t="s">
        <v>586</v>
      </c>
      <c r="D78" s="236" t="s">
        <v>106</v>
      </c>
      <c r="E78" s="239" t="s">
        <v>947</v>
      </c>
      <c r="F78" s="271"/>
      <c r="G78" s="238"/>
      <c r="H78" s="238"/>
      <c r="I78" s="238"/>
      <c r="J78" s="258"/>
      <c r="K78" s="235"/>
      <c r="L78" s="310">
        <v>0</v>
      </c>
      <c r="M78" s="271"/>
      <c r="N78" s="238"/>
      <c r="O78" s="238"/>
      <c r="P78" s="238"/>
      <c r="Q78" s="258"/>
    </row>
    <row r="79" spans="2:17" x14ac:dyDescent="0.35">
      <c r="B79" s="231">
        <v>46002</v>
      </c>
      <c r="C79" s="238" t="s">
        <v>587</v>
      </c>
      <c r="D79" s="236" t="s">
        <v>517</v>
      </c>
      <c r="E79" s="239" t="s">
        <v>922</v>
      </c>
      <c r="F79" s="271">
        <v>4.4862837839623335</v>
      </c>
      <c r="G79" s="238"/>
      <c r="H79" s="238"/>
      <c r="I79" s="238"/>
      <c r="J79" s="258"/>
      <c r="K79" s="235"/>
      <c r="L79" s="235"/>
      <c r="M79" s="271">
        <v>5.7</v>
      </c>
      <c r="N79" s="238"/>
      <c r="O79" s="238"/>
      <c r="P79" s="238"/>
      <c r="Q79" s="258"/>
    </row>
    <row r="80" spans="2:17" x14ac:dyDescent="0.35">
      <c r="B80" s="231">
        <v>46002</v>
      </c>
      <c r="C80" s="238" t="s">
        <v>587</v>
      </c>
      <c r="D80" s="236" t="s">
        <v>518</v>
      </c>
      <c r="E80" s="239" t="s">
        <v>923</v>
      </c>
      <c r="F80" s="271">
        <v>5.9931463385144985</v>
      </c>
      <c r="G80" s="238"/>
      <c r="H80" s="238"/>
      <c r="I80" s="238"/>
      <c r="J80" s="258"/>
      <c r="K80" s="235"/>
      <c r="L80" s="235"/>
      <c r="M80" s="271">
        <v>6</v>
      </c>
      <c r="N80" s="238"/>
      <c r="O80" s="238"/>
      <c r="P80" s="238"/>
      <c r="Q80" s="258"/>
    </row>
    <row r="81" spans="2:17" x14ac:dyDescent="0.35">
      <c r="B81" s="231">
        <v>46002</v>
      </c>
      <c r="C81" s="238" t="s">
        <v>587</v>
      </c>
      <c r="D81" s="236" t="s">
        <v>99</v>
      </c>
      <c r="E81" s="239" t="s">
        <v>941</v>
      </c>
      <c r="F81" s="271"/>
      <c r="G81" s="238"/>
      <c r="H81" s="238"/>
      <c r="I81" s="238"/>
      <c r="J81" s="258"/>
      <c r="K81" s="235"/>
      <c r="L81" s="235"/>
      <c r="M81" s="271">
        <v>83.174055434674315</v>
      </c>
      <c r="N81" s="238"/>
      <c r="O81" s="238"/>
      <c r="P81" s="238"/>
      <c r="Q81" s="258"/>
    </row>
    <row r="82" spans="2:17" x14ac:dyDescent="0.35">
      <c r="B82" s="231">
        <v>46002</v>
      </c>
      <c r="C82" s="238" t="s">
        <v>587</v>
      </c>
      <c r="D82" s="236" t="s">
        <v>101</v>
      </c>
      <c r="E82" s="239" t="s">
        <v>942</v>
      </c>
      <c r="F82" s="271"/>
      <c r="G82" s="238"/>
      <c r="H82" s="238"/>
      <c r="I82" s="238"/>
      <c r="J82" s="258"/>
      <c r="K82" s="235"/>
      <c r="L82" s="235"/>
      <c r="M82" s="271">
        <v>479.72712465763658</v>
      </c>
      <c r="N82" s="238"/>
      <c r="O82" s="238"/>
      <c r="P82" s="238"/>
      <c r="Q82" s="258"/>
    </row>
    <row r="83" spans="2:17" x14ac:dyDescent="0.35">
      <c r="B83" s="231">
        <v>46002</v>
      </c>
      <c r="C83" s="238" t="s">
        <v>587</v>
      </c>
      <c r="D83" s="236" t="s">
        <v>407</v>
      </c>
      <c r="E83" s="239" t="s">
        <v>943</v>
      </c>
      <c r="F83" s="271"/>
      <c r="G83" s="238"/>
      <c r="H83" s="238"/>
      <c r="I83" s="238"/>
      <c r="J83" s="258"/>
      <c r="K83" s="235"/>
      <c r="L83" s="235"/>
      <c r="M83" s="271">
        <v>17.945172445338617</v>
      </c>
      <c r="N83" s="238"/>
      <c r="O83" s="238"/>
      <c r="P83" s="238"/>
      <c r="Q83" s="258"/>
    </row>
    <row r="84" spans="2:17" x14ac:dyDescent="0.35">
      <c r="B84" s="231">
        <v>46002</v>
      </c>
      <c r="C84" s="238" t="s">
        <v>587</v>
      </c>
      <c r="D84" s="236" t="s">
        <v>408</v>
      </c>
      <c r="E84" s="239" t="s">
        <v>944</v>
      </c>
      <c r="F84" s="271"/>
      <c r="G84" s="238"/>
      <c r="H84" s="238"/>
      <c r="I84" s="238"/>
      <c r="J84" s="258"/>
      <c r="K84" s="235"/>
      <c r="L84" s="235"/>
      <c r="M84" s="271">
        <v>2121.2209547800662</v>
      </c>
      <c r="N84" s="238"/>
      <c r="O84" s="238"/>
      <c r="P84" s="238"/>
      <c r="Q84" s="258"/>
    </row>
    <row r="85" spans="2:17" ht="15" thickBot="1" x14ac:dyDescent="0.4">
      <c r="B85" s="231">
        <v>46002</v>
      </c>
      <c r="C85" s="238" t="s">
        <v>587</v>
      </c>
      <c r="D85" s="236" t="s">
        <v>809</v>
      </c>
      <c r="E85" s="239" t="s">
        <v>945</v>
      </c>
      <c r="F85" s="271"/>
      <c r="G85" s="238"/>
      <c r="H85" s="238"/>
      <c r="I85" s="238"/>
      <c r="J85" s="258"/>
      <c r="K85" s="235"/>
      <c r="L85" s="235"/>
      <c r="M85" s="271">
        <v>19.135778572465483</v>
      </c>
      <c r="N85" s="238"/>
      <c r="O85" s="238"/>
      <c r="P85" s="238"/>
      <c r="Q85" s="258"/>
    </row>
    <row r="86" spans="2:17" x14ac:dyDescent="0.35">
      <c r="B86" s="231">
        <v>46002</v>
      </c>
      <c r="C86" s="238" t="s">
        <v>587</v>
      </c>
      <c r="D86" s="236" t="s">
        <v>811</v>
      </c>
      <c r="E86" s="239" t="s">
        <v>946</v>
      </c>
      <c r="F86" s="271"/>
      <c r="G86" s="238"/>
      <c r="H86" s="238"/>
      <c r="I86" s="238"/>
      <c r="J86" s="258"/>
      <c r="K86" s="235"/>
      <c r="L86" s="309">
        <v>2348.5166258068102</v>
      </c>
      <c r="M86" s="271"/>
      <c r="N86" s="238"/>
      <c r="O86" s="238"/>
      <c r="P86" s="238"/>
      <c r="Q86" s="258"/>
    </row>
    <row r="87" spans="2:17" ht="15" thickBot="1" x14ac:dyDescent="0.4">
      <c r="B87" s="231">
        <v>46002</v>
      </c>
      <c r="C87" s="238" t="s">
        <v>587</v>
      </c>
      <c r="D87" s="236" t="s">
        <v>106</v>
      </c>
      <c r="E87" s="239" t="s">
        <v>947</v>
      </c>
      <c r="F87" s="271"/>
      <c r="G87" s="238"/>
      <c r="H87" s="238"/>
      <c r="I87" s="238"/>
      <c r="J87" s="258"/>
      <c r="K87" s="235"/>
      <c r="L87" s="310">
        <v>0</v>
      </c>
      <c r="M87" s="271"/>
      <c r="N87" s="238"/>
      <c r="O87" s="238"/>
      <c r="P87" s="238"/>
      <c r="Q87" s="258"/>
    </row>
    <row r="88" spans="2:17" x14ac:dyDescent="0.35">
      <c r="B88" s="231">
        <v>46002</v>
      </c>
      <c r="C88" s="238" t="s">
        <v>588</v>
      </c>
      <c r="D88" s="236" t="s">
        <v>517</v>
      </c>
      <c r="E88" s="239" t="s">
        <v>922</v>
      </c>
      <c r="F88" s="271">
        <v>-21.892568771202203</v>
      </c>
      <c r="G88" s="238"/>
      <c r="H88" s="238"/>
      <c r="I88" s="238"/>
      <c r="J88" s="258"/>
      <c r="K88" s="235"/>
      <c r="L88" s="235"/>
      <c r="M88" s="271">
        <v>-21.1</v>
      </c>
      <c r="N88" s="238"/>
      <c r="O88" s="238"/>
      <c r="P88" s="238"/>
      <c r="Q88" s="258"/>
    </row>
    <row r="89" spans="2:17" x14ac:dyDescent="0.35">
      <c r="B89" s="231">
        <v>46002</v>
      </c>
      <c r="C89" s="238" t="s">
        <v>588</v>
      </c>
      <c r="D89" s="236" t="s">
        <v>518</v>
      </c>
      <c r="E89" s="239" t="s">
        <v>923</v>
      </c>
      <c r="F89" s="271">
        <v>-0.3042830492860702</v>
      </c>
      <c r="G89" s="238"/>
      <c r="H89" s="238"/>
      <c r="I89" s="238"/>
      <c r="J89" s="258"/>
      <c r="K89" s="235"/>
      <c r="L89" s="235"/>
      <c r="M89" s="278">
        <v>-0.3</v>
      </c>
      <c r="N89" s="299"/>
      <c r="O89" s="299"/>
      <c r="P89" s="299"/>
      <c r="Q89" s="300"/>
    </row>
    <row r="90" spans="2:17" x14ac:dyDescent="0.35">
      <c r="B90" s="231">
        <v>46002</v>
      </c>
      <c r="C90" s="238" t="s">
        <v>588</v>
      </c>
      <c r="D90" s="236" t="s">
        <v>99</v>
      </c>
      <c r="E90" s="239" t="s">
        <v>941</v>
      </c>
      <c r="F90" s="298"/>
      <c r="G90" s="238"/>
      <c r="H90" s="238"/>
      <c r="I90" s="238"/>
      <c r="J90" s="258"/>
      <c r="K90" s="235"/>
      <c r="L90" s="235"/>
      <c r="M90" s="298">
        <v>182.64510649030709</v>
      </c>
      <c r="N90" s="299"/>
      <c r="O90" s="299"/>
      <c r="P90" s="299"/>
      <c r="Q90" s="300"/>
    </row>
    <row r="91" spans="2:17" x14ac:dyDescent="0.35">
      <c r="B91" s="231">
        <v>46002</v>
      </c>
      <c r="C91" s="238" t="s">
        <v>588</v>
      </c>
      <c r="D91" s="236" t="s">
        <v>101</v>
      </c>
      <c r="E91" s="239" t="s">
        <v>942</v>
      </c>
      <c r="F91" s="298"/>
      <c r="G91" s="238"/>
      <c r="H91" s="238"/>
      <c r="I91" s="238"/>
      <c r="J91" s="258"/>
      <c r="K91" s="235"/>
      <c r="L91" s="235"/>
      <c r="M91" s="298">
        <v>296.4228358070128</v>
      </c>
      <c r="N91" s="299"/>
      <c r="O91" s="299"/>
      <c r="P91" s="299"/>
      <c r="Q91" s="300"/>
    </row>
    <row r="92" spans="2:17" x14ac:dyDescent="0.35">
      <c r="B92" s="231">
        <v>46002</v>
      </c>
      <c r="C92" s="238" t="s">
        <v>588</v>
      </c>
      <c r="D92" s="236" t="s">
        <v>407</v>
      </c>
      <c r="E92" s="239" t="s">
        <v>943</v>
      </c>
      <c r="F92" s="298"/>
      <c r="G92" s="238"/>
      <c r="H92" s="238"/>
      <c r="I92" s="238"/>
      <c r="J92" s="258"/>
      <c r="K92" s="235"/>
      <c r="L92" s="235"/>
      <c r="M92" s="298">
        <v>0</v>
      </c>
      <c r="N92" s="299"/>
      <c r="O92" s="299"/>
      <c r="P92" s="299"/>
      <c r="Q92" s="300"/>
    </row>
    <row r="93" spans="2:17" x14ac:dyDescent="0.35">
      <c r="B93" s="231">
        <v>46002</v>
      </c>
      <c r="C93" s="238" t="s">
        <v>588</v>
      </c>
      <c r="D93" s="236" t="s">
        <v>408</v>
      </c>
      <c r="E93" s="239" t="s">
        <v>944</v>
      </c>
      <c r="F93" s="298"/>
      <c r="G93" s="238"/>
      <c r="H93" s="238"/>
      <c r="I93" s="238"/>
      <c r="J93" s="258"/>
      <c r="K93" s="235"/>
      <c r="L93" s="235"/>
      <c r="M93" s="298">
        <v>1000.5412349589667</v>
      </c>
      <c r="N93" s="299"/>
      <c r="O93" s="299"/>
      <c r="P93" s="299"/>
      <c r="Q93" s="300"/>
    </row>
    <row r="94" spans="2:17" ht="15" thickBot="1" x14ac:dyDescent="0.4">
      <c r="B94" s="231">
        <v>46002</v>
      </c>
      <c r="C94" s="238" t="s">
        <v>588</v>
      </c>
      <c r="D94" s="236" t="s">
        <v>809</v>
      </c>
      <c r="E94" s="239" t="s">
        <v>945</v>
      </c>
      <c r="F94" s="298"/>
      <c r="G94" s="238"/>
      <c r="H94" s="238"/>
      <c r="I94" s="238"/>
      <c r="J94" s="258"/>
      <c r="K94" s="235"/>
      <c r="L94" s="235"/>
      <c r="M94" s="298">
        <v>0</v>
      </c>
      <c r="N94" s="299"/>
      <c r="O94" s="299"/>
      <c r="P94" s="299"/>
      <c r="Q94" s="300"/>
    </row>
    <row r="95" spans="2:17" x14ac:dyDescent="0.35">
      <c r="B95" s="231">
        <v>46002</v>
      </c>
      <c r="C95" s="238" t="s">
        <v>588</v>
      </c>
      <c r="D95" s="236" t="s">
        <v>811</v>
      </c>
      <c r="E95" s="239" t="s">
        <v>946</v>
      </c>
      <c r="F95" s="298"/>
      <c r="G95" s="238"/>
      <c r="H95" s="238"/>
      <c r="I95" s="238"/>
      <c r="J95" s="258"/>
      <c r="K95" s="235"/>
      <c r="L95" s="307">
        <v>1102.3808826291811</v>
      </c>
      <c r="M95" s="298"/>
      <c r="N95" s="299"/>
      <c r="O95" s="299"/>
      <c r="P95" s="299"/>
      <c r="Q95" s="300"/>
    </row>
    <row r="96" spans="2:17" ht="15" thickBot="1" x14ac:dyDescent="0.4">
      <c r="B96" s="231">
        <v>46002</v>
      </c>
      <c r="C96" s="238" t="s">
        <v>588</v>
      </c>
      <c r="D96" s="236" t="s">
        <v>106</v>
      </c>
      <c r="E96" s="239" t="s">
        <v>947</v>
      </c>
      <c r="F96" s="298"/>
      <c r="G96" s="238"/>
      <c r="H96" s="238"/>
      <c r="I96" s="238"/>
      <c r="J96" s="258"/>
      <c r="K96" s="235"/>
      <c r="L96" s="308">
        <v>0</v>
      </c>
      <c r="M96" s="298"/>
      <c r="N96" s="299"/>
      <c r="O96" s="299"/>
      <c r="P96" s="299"/>
      <c r="Q96" s="300"/>
    </row>
    <row r="97" spans="2:17" x14ac:dyDescent="0.35">
      <c r="B97" s="231">
        <v>46002</v>
      </c>
      <c r="C97" s="232" t="s">
        <v>581</v>
      </c>
      <c r="D97" s="236" t="s">
        <v>28</v>
      </c>
      <c r="E97" s="239" t="s">
        <v>924</v>
      </c>
      <c r="F97" s="273">
        <v>9.9400322792663118</v>
      </c>
      <c r="G97" s="272">
        <v>9.7004329758031798</v>
      </c>
      <c r="H97" s="272">
        <v>9.4175083298899676</v>
      </c>
      <c r="I97" s="272">
        <v>9.2265956382343983</v>
      </c>
      <c r="J97" s="274">
        <v>9.0649902828921345</v>
      </c>
      <c r="K97" s="235"/>
      <c r="L97" s="235"/>
      <c r="M97" s="273">
        <v>7.8805372447961712</v>
      </c>
      <c r="N97" s="272">
        <v>7.7055141542827359</v>
      </c>
      <c r="O97" s="272">
        <v>7.489818693212916</v>
      </c>
      <c r="P97" s="272">
        <v>7.3456758863077134</v>
      </c>
      <c r="Q97" s="274">
        <v>7.2263308753693014</v>
      </c>
    </row>
    <row r="98" spans="2:17" x14ac:dyDescent="0.35">
      <c r="B98" s="231">
        <v>46002</v>
      </c>
      <c r="C98" s="232" t="s">
        <v>581</v>
      </c>
      <c r="D98" s="236" t="s">
        <v>31</v>
      </c>
      <c r="E98" s="239" t="s">
        <v>925</v>
      </c>
      <c r="F98" s="273">
        <v>5.6768669156396658</v>
      </c>
      <c r="G98" s="272">
        <v>5.9003598305951339</v>
      </c>
      <c r="H98" s="272">
        <v>6.1362792058796902</v>
      </c>
      <c r="I98" s="272">
        <v>6.3817305756080076</v>
      </c>
      <c r="J98" s="274">
        <v>6.636999798632333</v>
      </c>
      <c r="K98" s="235"/>
      <c r="L98" s="235"/>
      <c r="M98" s="273">
        <v>7.0238760755132299</v>
      </c>
      <c r="N98" s="272">
        <v>7.3048311185337598</v>
      </c>
      <c r="O98" s="272">
        <v>7.5970243632751107</v>
      </c>
      <c r="P98" s="272">
        <v>7.9009053378061154</v>
      </c>
      <c r="Q98" s="274">
        <v>8.2169415513183601</v>
      </c>
    </row>
    <row r="99" spans="2:17" x14ac:dyDescent="0.35">
      <c r="B99" s="231">
        <v>46002</v>
      </c>
      <c r="C99" s="232" t="s">
        <v>581</v>
      </c>
      <c r="D99" s="236" t="s">
        <v>33</v>
      </c>
      <c r="E99" s="239" t="s">
        <v>926</v>
      </c>
      <c r="F99" s="273">
        <v>95.385000000000005</v>
      </c>
      <c r="G99" s="272">
        <v>100.598</v>
      </c>
      <c r="H99" s="272">
        <v>102.37</v>
      </c>
      <c r="I99" s="272">
        <v>104.417</v>
      </c>
      <c r="J99" s="274">
        <v>106.505</v>
      </c>
      <c r="K99" s="235"/>
      <c r="L99" s="235"/>
      <c r="M99" s="273">
        <v>81.747489644345563</v>
      </c>
      <c r="N99" s="272">
        <v>91.82614688443077</v>
      </c>
      <c r="O99" s="272">
        <v>93.595436805132707</v>
      </c>
      <c r="P99" s="272">
        <v>95.567415975603495</v>
      </c>
      <c r="Q99" s="274">
        <v>97.604589874987951</v>
      </c>
    </row>
    <row r="100" spans="2:17" x14ac:dyDescent="0.35">
      <c r="B100" s="231">
        <v>46002</v>
      </c>
      <c r="C100" s="232" t="s">
        <v>581</v>
      </c>
      <c r="D100" s="236" t="s">
        <v>35</v>
      </c>
      <c r="E100" s="239" t="s">
        <v>927</v>
      </c>
      <c r="F100" s="273">
        <v>0</v>
      </c>
      <c r="G100" s="272">
        <v>0</v>
      </c>
      <c r="H100" s="272">
        <v>0</v>
      </c>
      <c r="I100" s="272">
        <v>0</v>
      </c>
      <c r="J100" s="274">
        <v>0</v>
      </c>
      <c r="K100" s="235"/>
      <c r="L100" s="235"/>
      <c r="M100" s="273">
        <v>-4.1071030545102865</v>
      </c>
      <c r="N100" s="272"/>
      <c r="O100" s="272"/>
      <c r="P100" s="272"/>
      <c r="Q100" s="274"/>
    </row>
    <row r="101" spans="2:17" x14ac:dyDescent="0.35">
      <c r="B101" s="231">
        <v>46002</v>
      </c>
      <c r="C101" s="232" t="s">
        <v>581</v>
      </c>
      <c r="D101" s="236" t="s">
        <v>41</v>
      </c>
      <c r="E101" s="239" t="s">
        <v>928</v>
      </c>
      <c r="F101" s="273">
        <v>90.893033857841772</v>
      </c>
      <c r="G101" s="272">
        <v>91.580758508193824</v>
      </c>
      <c r="H101" s="272">
        <v>93.410927245835254</v>
      </c>
      <c r="I101" s="272">
        <v>95.279148799041607</v>
      </c>
      <c r="J101" s="274">
        <v>97.184731775022513</v>
      </c>
      <c r="K101" s="235"/>
      <c r="L101" s="235"/>
      <c r="M101" s="273">
        <v>93.917278250874006</v>
      </c>
      <c r="N101" s="272">
        <v>99.782257708218737</v>
      </c>
      <c r="O101" s="272">
        <v>99.482257775420877</v>
      </c>
      <c r="P101" s="272">
        <v>102.74266901427686</v>
      </c>
      <c r="Q101" s="274">
        <v>104.93279502670782</v>
      </c>
    </row>
    <row r="102" spans="2:17" x14ac:dyDescent="0.35">
      <c r="B102" s="231">
        <v>46002</v>
      </c>
      <c r="C102" s="232" t="s">
        <v>581</v>
      </c>
      <c r="D102" s="236" t="s">
        <v>43</v>
      </c>
      <c r="E102" s="239" t="s">
        <v>929</v>
      </c>
      <c r="F102" s="273">
        <v>6.9235987926415818</v>
      </c>
      <c r="G102" s="272">
        <v>7.6781475738835665</v>
      </c>
      <c r="H102" s="272">
        <v>7.624477973193108</v>
      </c>
      <c r="I102" s="272">
        <v>4.8703570901403532</v>
      </c>
      <c r="J102" s="274">
        <v>5.0858363799274979</v>
      </c>
      <c r="K102" s="235"/>
      <c r="L102" s="235"/>
      <c r="M102" s="273">
        <v>6.9235987926415818</v>
      </c>
      <c r="N102" s="272">
        <v>7.6781475738835665</v>
      </c>
      <c r="O102" s="272">
        <v>7.624477973193108</v>
      </c>
      <c r="P102" s="272">
        <v>4.8703570901403532</v>
      </c>
      <c r="Q102" s="274">
        <v>5.0858363799274979</v>
      </c>
    </row>
    <row r="103" spans="2:17" x14ac:dyDescent="0.35">
      <c r="B103" s="231">
        <v>46002</v>
      </c>
      <c r="C103" s="232" t="s">
        <v>581</v>
      </c>
      <c r="D103" s="236" t="s">
        <v>45</v>
      </c>
      <c r="E103" s="239" t="s">
        <v>930</v>
      </c>
      <c r="F103" s="273">
        <v>-7.12081814881752</v>
      </c>
      <c r="G103" s="272">
        <v>0</v>
      </c>
      <c r="H103" s="272">
        <v>0</v>
      </c>
      <c r="I103" s="272">
        <v>0</v>
      </c>
      <c r="J103" s="274">
        <v>0</v>
      </c>
      <c r="K103" s="235"/>
      <c r="L103" s="235"/>
      <c r="M103" s="273">
        <v>-7.12081814881752</v>
      </c>
      <c r="N103" s="272">
        <v>0</v>
      </c>
      <c r="O103" s="272">
        <v>0</v>
      </c>
      <c r="P103" s="272">
        <v>0</v>
      </c>
      <c r="Q103" s="274">
        <v>0</v>
      </c>
    </row>
    <row r="104" spans="2:17" x14ac:dyDescent="0.35">
      <c r="B104" s="231">
        <v>46002</v>
      </c>
      <c r="C104" s="232" t="s">
        <v>581</v>
      </c>
      <c r="D104" s="236" t="s">
        <v>108</v>
      </c>
      <c r="E104" s="239" t="s">
        <v>931</v>
      </c>
      <c r="F104" s="275">
        <v>6.7991618665783418E-2</v>
      </c>
      <c r="G104" s="276">
        <v>4.7159346170703748E-2</v>
      </c>
      <c r="H104" s="276">
        <v>3.3115491925382518E-2</v>
      </c>
      <c r="I104" s="276">
        <v>4.1336140795066499E-2</v>
      </c>
      <c r="J104" s="277">
        <v>1.6379257717453657E-2</v>
      </c>
      <c r="K104" s="235"/>
      <c r="L104" s="235"/>
      <c r="M104" s="275">
        <v>6.0049652869121457E-2</v>
      </c>
      <c r="N104" s="276">
        <v>4.3355835028513694E-2</v>
      </c>
      <c r="O104" s="276">
        <v>2.8665548466085052E-2</v>
      </c>
      <c r="P104" s="276">
        <v>3.8286507558452018E-2</v>
      </c>
      <c r="Q104" s="277">
        <v>1.5246649150807116E-2</v>
      </c>
    </row>
    <row r="105" spans="2:17" x14ac:dyDescent="0.35">
      <c r="B105" s="231">
        <v>46002</v>
      </c>
      <c r="C105" s="232" t="s">
        <v>581</v>
      </c>
      <c r="D105" s="236" t="s">
        <v>111</v>
      </c>
      <c r="E105" s="239" t="s">
        <v>932</v>
      </c>
      <c r="F105" s="275">
        <v>0.16081573024636736</v>
      </c>
      <c r="G105" s="276">
        <v>0.14048052683449291</v>
      </c>
      <c r="H105" s="276">
        <v>0.14070201188681666</v>
      </c>
      <c r="I105" s="276">
        <v>0.13793758144826615</v>
      </c>
      <c r="J105" s="277">
        <v>0.12429814833471819</v>
      </c>
      <c r="K105" s="235"/>
      <c r="L105" s="235"/>
      <c r="M105" s="275">
        <v>0.17670391673967853</v>
      </c>
      <c r="N105" s="276">
        <v>0.15734046097887147</v>
      </c>
      <c r="O105" s="276">
        <v>0.14448046865943695</v>
      </c>
      <c r="P105" s="276">
        <v>0.13929003478926119</v>
      </c>
      <c r="Q105" s="277">
        <v>0.12850603773228939</v>
      </c>
    </row>
    <row r="106" spans="2:17" x14ac:dyDescent="0.35">
      <c r="B106" s="231">
        <v>46002</v>
      </c>
      <c r="C106" s="232" t="s">
        <v>581</v>
      </c>
      <c r="D106" s="236" t="s">
        <v>113</v>
      </c>
      <c r="E106" s="239" t="s">
        <v>933</v>
      </c>
      <c r="F106" s="275">
        <v>6.7145680148968415E-4</v>
      </c>
      <c r="G106" s="276">
        <v>3.6931668876526359E-4</v>
      </c>
      <c r="H106" s="276">
        <v>5.7543932954674077E-4</v>
      </c>
      <c r="I106" s="276">
        <v>5.7350218127057118E-4</v>
      </c>
      <c r="J106" s="277">
        <v>1.9756963938465994E-4</v>
      </c>
      <c r="K106" s="235"/>
      <c r="L106" s="235"/>
      <c r="M106" s="275">
        <v>8.2858663816269421E-4</v>
      </c>
      <c r="N106" s="276">
        <v>4.7290309140331303E-4</v>
      </c>
      <c r="O106" s="276">
        <v>6.805413866301901E-4</v>
      </c>
      <c r="P106" s="276">
        <v>6.7631646366701889E-4</v>
      </c>
      <c r="Q106" s="277">
        <v>2.3794821082916216E-4</v>
      </c>
    </row>
    <row r="107" spans="2:17" x14ac:dyDescent="0.35">
      <c r="B107" s="231">
        <v>46002</v>
      </c>
      <c r="C107" s="232" t="s">
        <v>581</v>
      </c>
      <c r="D107" s="236" t="s">
        <v>115</v>
      </c>
      <c r="E107" s="239" t="s">
        <v>934</v>
      </c>
      <c r="F107" s="275">
        <v>0.38901493481510235</v>
      </c>
      <c r="G107" s="276">
        <v>0.41019740675647481</v>
      </c>
      <c r="H107" s="276">
        <v>0.42981416372215253</v>
      </c>
      <c r="I107" s="276">
        <v>0.42605445110699025</v>
      </c>
      <c r="J107" s="277">
        <v>0.44823021126418389</v>
      </c>
      <c r="K107" s="235"/>
      <c r="L107" s="235"/>
      <c r="M107" s="275">
        <v>0.36772776445061045</v>
      </c>
      <c r="N107" s="276">
        <v>0.38749417460355495</v>
      </c>
      <c r="O107" s="276">
        <v>0.40649422270314961</v>
      </c>
      <c r="P107" s="276">
        <v>0.40340965355457875</v>
      </c>
      <c r="Q107" s="277">
        <v>0.4217737624730053</v>
      </c>
    </row>
    <row r="108" spans="2:17" x14ac:dyDescent="0.35">
      <c r="B108" s="231">
        <v>46002</v>
      </c>
      <c r="C108" s="232" t="s">
        <v>581</v>
      </c>
      <c r="D108" s="236" t="s">
        <v>119</v>
      </c>
      <c r="E108" s="239" t="s">
        <v>935</v>
      </c>
      <c r="F108" s="275">
        <v>2.3363852396766616E-3</v>
      </c>
      <c r="G108" s="276">
        <v>1.2850656341302665E-3</v>
      </c>
      <c r="H108" s="276">
        <v>2.0022851103744382E-3</v>
      </c>
      <c r="I108" s="276">
        <v>1.9955446549505501E-3</v>
      </c>
      <c r="J108" s="277">
        <v>6.8745865443981522E-4</v>
      </c>
      <c r="K108" s="235"/>
      <c r="L108" s="235"/>
      <c r="M108" s="275">
        <v>4.1429331908134723E-3</v>
      </c>
      <c r="N108" s="276">
        <v>2.3645154570165654E-3</v>
      </c>
      <c r="O108" s="276">
        <v>3.4027069331509512E-3</v>
      </c>
      <c r="P108" s="276">
        <v>3.3815823183350941E-3</v>
      </c>
      <c r="Q108" s="277">
        <v>1.1897410541458107E-3</v>
      </c>
    </row>
    <row r="109" spans="2:17" x14ac:dyDescent="0.35">
      <c r="B109" s="231">
        <v>46002</v>
      </c>
      <c r="C109" s="232" t="s">
        <v>581</v>
      </c>
      <c r="D109" s="236" t="s">
        <v>117</v>
      </c>
      <c r="E109" s="239" t="s">
        <v>936</v>
      </c>
      <c r="F109" s="275">
        <v>0.37916987423158055</v>
      </c>
      <c r="G109" s="276">
        <v>0.400508337915433</v>
      </c>
      <c r="H109" s="276">
        <v>0.39379060802572707</v>
      </c>
      <c r="I109" s="276">
        <v>0.39210277981345604</v>
      </c>
      <c r="J109" s="277">
        <v>0.41020735438981987</v>
      </c>
      <c r="K109" s="235"/>
      <c r="L109" s="235"/>
      <c r="M109" s="275">
        <v>0.39054714611161329</v>
      </c>
      <c r="N109" s="276">
        <v>0.40897211084063995</v>
      </c>
      <c r="O109" s="276">
        <v>0.41627651185154724</v>
      </c>
      <c r="P109" s="276">
        <v>0.41495590531570603</v>
      </c>
      <c r="Q109" s="277">
        <v>0.43304586137892337</v>
      </c>
    </row>
    <row r="110" spans="2:17" x14ac:dyDescent="0.35">
      <c r="B110" s="231">
        <v>46002</v>
      </c>
      <c r="C110" s="232" t="s">
        <v>582</v>
      </c>
      <c r="D110" s="236" t="s">
        <v>28</v>
      </c>
      <c r="E110" s="239" t="s">
        <v>924</v>
      </c>
      <c r="F110" s="273">
        <v>4.9945172887938662</v>
      </c>
      <c r="G110" s="272">
        <v>4.9401774836797898</v>
      </c>
      <c r="H110" s="272">
        <v>4.8755950453905132</v>
      </c>
      <c r="I110" s="272">
        <v>4.8076490141298596</v>
      </c>
      <c r="J110" s="274">
        <v>4.7432931719342273</v>
      </c>
      <c r="K110" s="235"/>
      <c r="L110" s="235"/>
      <c r="M110" s="273">
        <v>3.9596933297910408</v>
      </c>
      <c r="N110" s="272">
        <v>3.8421469039036533</v>
      </c>
      <c r="O110" s="272">
        <v>3.7176251217963112</v>
      </c>
      <c r="P110" s="272">
        <v>3.59393762901056</v>
      </c>
      <c r="Q110" s="274">
        <v>3.4763026393535568</v>
      </c>
    </row>
    <row r="111" spans="2:17" x14ac:dyDescent="0.35">
      <c r="B111" s="231">
        <v>46002</v>
      </c>
      <c r="C111" s="232" t="s">
        <v>582</v>
      </c>
      <c r="D111" s="236" t="s">
        <v>31</v>
      </c>
      <c r="E111" s="239" t="s">
        <v>925</v>
      </c>
      <c r="F111" s="273">
        <v>3.1989802049883793</v>
      </c>
      <c r="G111" s="272">
        <v>3.3249210490353001</v>
      </c>
      <c r="H111" s="272">
        <v>3.4578643472883082</v>
      </c>
      <c r="I111" s="272">
        <v>3.5961790347235518</v>
      </c>
      <c r="J111" s="274">
        <v>3.7400261961124959</v>
      </c>
      <c r="K111" s="235"/>
      <c r="L111" s="235"/>
      <c r="M111" s="273">
        <v>3.9431689935288334</v>
      </c>
      <c r="N111" s="272">
        <v>4.1008957532699872</v>
      </c>
      <c r="O111" s="272">
        <v>4.264931583400787</v>
      </c>
      <c r="P111" s="272">
        <v>4.435528846736819</v>
      </c>
      <c r="Q111" s="274">
        <v>4.6129500006062916</v>
      </c>
    </row>
    <row r="112" spans="2:17" x14ac:dyDescent="0.35">
      <c r="B112" s="231">
        <v>46002</v>
      </c>
      <c r="C112" s="232" t="s">
        <v>582</v>
      </c>
      <c r="D112" s="236" t="s">
        <v>33</v>
      </c>
      <c r="E112" s="239" t="s">
        <v>926</v>
      </c>
      <c r="F112" s="273">
        <v>71.734999999999999</v>
      </c>
      <c r="G112" s="272">
        <v>75.655000000000001</v>
      </c>
      <c r="H112" s="272">
        <v>76.986999999999995</v>
      </c>
      <c r="I112" s="272">
        <v>78.527000000000001</v>
      </c>
      <c r="J112" s="274">
        <v>80.097999999999999</v>
      </c>
      <c r="K112" s="235"/>
      <c r="L112" s="235"/>
      <c r="M112" s="273">
        <v>61.478335872733027</v>
      </c>
      <c r="N112" s="272">
        <v>69.058006852818821</v>
      </c>
      <c r="O112" s="272">
        <v>70.388604287362526</v>
      </c>
      <c r="P112" s="272">
        <v>71.871634510109232</v>
      </c>
      <c r="Q112" s="274">
        <v>73.403694537425125</v>
      </c>
    </row>
    <row r="113" spans="2:17" x14ac:dyDescent="0.35">
      <c r="B113" s="231">
        <v>46002</v>
      </c>
      <c r="C113" s="232" t="s">
        <v>582</v>
      </c>
      <c r="D113" s="236" t="s">
        <v>35</v>
      </c>
      <c r="E113" s="239" t="s">
        <v>927</v>
      </c>
      <c r="F113" s="273">
        <v>0</v>
      </c>
      <c r="G113" s="272">
        <v>0</v>
      </c>
      <c r="H113" s="272">
        <v>0</v>
      </c>
      <c r="I113" s="272">
        <v>0</v>
      </c>
      <c r="J113" s="274">
        <v>0</v>
      </c>
      <c r="K113" s="235"/>
      <c r="L113" s="235"/>
      <c r="M113" s="273">
        <v>-2.6952863795223756</v>
      </c>
      <c r="N113" s="272"/>
      <c r="O113" s="272"/>
      <c r="P113" s="272"/>
      <c r="Q113" s="274"/>
    </row>
    <row r="114" spans="2:17" x14ac:dyDescent="0.35">
      <c r="B114" s="231">
        <v>46002</v>
      </c>
      <c r="C114" s="232" t="s">
        <v>582</v>
      </c>
      <c r="D114" s="236" t="s">
        <v>41</v>
      </c>
      <c r="E114" s="239" t="s">
        <v>928</v>
      </c>
      <c r="F114" s="273">
        <v>46.975129777054683</v>
      </c>
      <c r="G114" s="272">
        <v>47.366939978051825</v>
      </c>
      <c r="H114" s="272">
        <v>48.313530661047885</v>
      </c>
      <c r="I114" s="272">
        <v>49.279802830201305</v>
      </c>
      <c r="J114" s="274">
        <v>50.265398886805372</v>
      </c>
      <c r="K114" s="235"/>
      <c r="L114" s="235"/>
      <c r="M114" s="273">
        <v>48.588262537424995</v>
      </c>
      <c r="N114" s="272">
        <v>53.012025781690461</v>
      </c>
      <c r="O114" s="272">
        <v>53.806915474462208</v>
      </c>
      <c r="P114" s="272">
        <v>55.080599414341535</v>
      </c>
      <c r="Q114" s="274">
        <v>56.254731395873726</v>
      </c>
    </row>
    <row r="115" spans="2:17" x14ac:dyDescent="0.35">
      <c r="B115" s="231">
        <v>46002</v>
      </c>
      <c r="C115" s="232" t="s">
        <v>582</v>
      </c>
      <c r="D115" s="236" t="s">
        <v>43</v>
      </c>
      <c r="E115" s="239" t="s">
        <v>929</v>
      </c>
      <c r="F115" s="273">
        <v>4.620527596502134</v>
      </c>
      <c r="G115" s="272">
        <v>5.1240826942268898</v>
      </c>
      <c r="H115" s="272">
        <v>5.0882657905456625</v>
      </c>
      <c r="I115" s="272">
        <v>3.2502777838210726</v>
      </c>
      <c r="J115" s="274">
        <v>3.3940798778988421</v>
      </c>
      <c r="K115" s="235"/>
      <c r="L115" s="235"/>
      <c r="M115" s="273">
        <v>4.620527596502134</v>
      </c>
      <c r="N115" s="272">
        <v>5.1240826942268898</v>
      </c>
      <c r="O115" s="272">
        <v>5.0882657905456625</v>
      </c>
      <c r="P115" s="272">
        <v>3.2502777838210726</v>
      </c>
      <c r="Q115" s="274">
        <v>3.3940798778988421</v>
      </c>
    </row>
    <row r="116" spans="2:17" x14ac:dyDescent="0.35">
      <c r="B116" s="231">
        <v>46002</v>
      </c>
      <c r="C116" s="232" t="s">
        <v>582</v>
      </c>
      <c r="D116" s="236" t="s">
        <v>45</v>
      </c>
      <c r="E116" s="239" t="s">
        <v>930</v>
      </c>
      <c r="F116" s="273">
        <v>-3.9997781209875098</v>
      </c>
      <c r="G116" s="272">
        <v>0</v>
      </c>
      <c r="H116" s="272">
        <v>0</v>
      </c>
      <c r="I116" s="272">
        <v>0</v>
      </c>
      <c r="J116" s="274">
        <v>0</v>
      </c>
      <c r="K116" s="235"/>
      <c r="L116" s="235"/>
      <c r="M116" s="273">
        <v>-3.9997781209875098</v>
      </c>
      <c r="N116" s="272">
        <v>0</v>
      </c>
      <c r="O116" s="272">
        <v>0</v>
      </c>
      <c r="P116" s="272">
        <v>0</v>
      </c>
      <c r="Q116" s="274">
        <v>0</v>
      </c>
    </row>
    <row r="117" spans="2:17" x14ac:dyDescent="0.35">
      <c r="B117" s="231">
        <v>46002</v>
      </c>
      <c r="C117" s="232" t="s">
        <v>582</v>
      </c>
      <c r="D117" s="236" t="s">
        <v>108</v>
      </c>
      <c r="E117" s="239" t="s">
        <v>931</v>
      </c>
      <c r="F117" s="275">
        <v>6.7180962758263879E-2</v>
      </c>
      <c r="G117" s="276">
        <v>2.9485386848566112E-2</v>
      </c>
      <c r="H117" s="276">
        <v>2.1447370954869462E-2</v>
      </c>
      <c r="I117" s="276">
        <v>2.9175294819598685E-2</v>
      </c>
      <c r="J117" s="277">
        <v>1.2765230854416425E-2</v>
      </c>
      <c r="K117" s="235"/>
      <c r="L117" s="235"/>
      <c r="M117" s="275">
        <v>3.8670182848258551E-2</v>
      </c>
      <c r="N117" s="276">
        <v>2.6039973573207708E-2</v>
      </c>
      <c r="O117" s="276">
        <v>1.8744919204308166E-2</v>
      </c>
      <c r="P117" s="276">
        <v>2.8293066480500798E-2</v>
      </c>
      <c r="Q117" s="277">
        <v>1.2653479807847401E-2</v>
      </c>
    </row>
    <row r="118" spans="2:17" x14ac:dyDescent="0.35">
      <c r="B118" s="231">
        <v>46002</v>
      </c>
      <c r="C118" s="232" t="s">
        <v>582</v>
      </c>
      <c r="D118" s="236" t="s">
        <v>111</v>
      </c>
      <c r="E118" s="239" t="s">
        <v>932</v>
      </c>
      <c r="F118" s="275">
        <v>0.10684536045122489</v>
      </c>
      <c r="G118" s="276">
        <v>7.6196301265226099E-2</v>
      </c>
      <c r="H118" s="276">
        <v>7.2547386776943626E-2</v>
      </c>
      <c r="I118" s="276">
        <v>7.206296840337241E-2</v>
      </c>
      <c r="J118" s="277">
        <v>7.1672327357728188E-2</v>
      </c>
      <c r="K118" s="235"/>
      <c r="L118" s="235"/>
      <c r="M118" s="275">
        <v>9.1364932472276866E-2</v>
      </c>
      <c r="N118" s="276">
        <v>8.5951638024467106E-2</v>
      </c>
      <c r="O118" s="276">
        <v>7.8802593825560471E-2</v>
      </c>
      <c r="P118" s="276">
        <v>8.1563627348456721E-2</v>
      </c>
      <c r="Q118" s="277">
        <v>8.1548613234113443E-2</v>
      </c>
    </row>
    <row r="119" spans="2:17" x14ac:dyDescent="0.35">
      <c r="B119" s="231">
        <v>46002</v>
      </c>
      <c r="C119" s="232" t="s">
        <v>582</v>
      </c>
      <c r="D119" s="236" t="s">
        <v>113</v>
      </c>
      <c r="E119" s="239" t="s">
        <v>933</v>
      </c>
      <c r="F119" s="275">
        <v>9.2343993212660764E-6</v>
      </c>
      <c r="G119" s="276">
        <v>2.6684049297268288E-5</v>
      </c>
      <c r="H119" s="276">
        <v>2.1923126728292167E-4</v>
      </c>
      <c r="I119" s="276">
        <v>2.1389792877706109E-4</v>
      </c>
      <c r="J119" s="277">
        <v>2.4970031148845489E-5</v>
      </c>
      <c r="K119" s="235"/>
      <c r="L119" s="235"/>
      <c r="M119" s="275">
        <v>7.3989028156951753E-6</v>
      </c>
      <c r="N119" s="276">
        <v>3.0596904356049597E-5</v>
      </c>
      <c r="O119" s="276">
        <v>2.4598059601048752E-4</v>
      </c>
      <c r="P119" s="276">
        <v>2.5704939819817596E-4</v>
      </c>
      <c r="Q119" s="277">
        <v>3.0407275300231073E-5</v>
      </c>
    </row>
    <row r="120" spans="2:17" x14ac:dyDescent="0.35">
      <c r="B120" s="231">
        <v>46002</v>
      </c>
      <c r="C120" s="232" t="s">
        <v>582</v>
      </c>
      <c r="D120" s="236" t="s">
        <v>115</v>
      </c>
      <c r="E120" s="239" t="s">
        <v>934</v>
      </c>
      <c r="F120" s="275">
        <v>0.47231687374133008</v>
      </c>
      <c r="G120" s="276">
        <v>0.52107515565228657</v>
      </c>
      <c r="H120" s="276">
        <v>0.54248403328783845</v>
      </c>
      <c r="I120" s="276">
        <v>0.54457771666029786</v>
      </c>
      <c r="J120" s="277">
        <v>0.56786365606040157</v>
      </c>
      <c r="K120" s="235"/>
      <c r="L120" s="235"/>
      <c r="M120" s="275">
        <v>0.46076664299676834</v>
      </c>
      <c r="N120" s="276">
        <v>0.49012831381820759</v>
      </c>
      <c r="O120" s="276">
        <v>0.50734820084157972</v>
      </c>
      <c r="P120" s="276">
        <v>0.51080540203700475</v>
      </c>
      <c r="Q120" s="277">
        <v>0.54545195488473919</v>
      </c>
    </row>
    <row r="121" spans="2:17" x14ac:dyDescent="0.35">
      <c r="B121" s="231">
        <v>46002</v>
      </c>
      <c r="C121" s="232" t="s">
        <v>582</v>
      </c>
      <c r="D121" s="236" t="s">
        <v>119</v>
      </c>
      <c r="E121" s="239" t="s">
        <v>935</v>
      </c>
      <c r="F121" s="275">
        <v>3.2131797940865314E-5</v>
      </c>
      <c r="G121" s="276">
        <v>9.284918817506363E-5</v>
      </c>
      <c r="H121" s="276">
        <v>7.6283194364707991E-4</v>
      </c>
      <c r="I121" s="276">
        <v>7.4427418485210363E-4</v>
      </c>
      <c r="J121" s="277">
        <v>8.6885131077677188E-5</v>
      </c>
      <c r="K121" s="235"/>
      <c r="L121" s="235"/>
      <c r="M121" s="275">
        <v>3.6994514078475879E-5</v>
      </c>
      <c r="N121" s="276">
        <v>1.5298452178024799E-4</v>
      </c>
      <c r="O121" s="276">
        <v>1.2299029800524374E-3</v>
      </c>
      <c r="P121" s="276">
        <v>1.2852469909908799E-3</v>
      </c>
      <c r="Q121" s="277">
        <v>1.5203637650115537E-4</v>
      </c>
    </row>
    <row r="122" spans="2:17" x14ac:dyDescent="0.35">
      <c r="B122" s="231">
        <v>46002</v>
      </c>
      <c r="C122" s="232" t="s">
        <v>582</v>
      </c>
      <c r="D122" s="236" t="s">
        <v>117</v>
      </c>
      <c r="E122" s="239" t="s">
        <v>936</v>
      </c>
      <c r="F122" s="275">
        <v>0.35361543685191899</v>
      </c>
      <c r="G122" s="276">
        <v>0.3731236229964488</v>
      </c>
      <c r="H122" s="276">
        <v>0.36253914576941859</v>
      </c>
      <c r="I122" s="276">
        <v>0.35322584800310192</v>
      </c>
      <c r="J122" s="277">
        <v>0.34758693056522733</v>
      </c>
      <c r="K122" s="235"/>
      <c r="L122" s="235"/>
      <c r="M122" s="275">
        <v>0.40915384826580203</v>
      </c>
      <c r="N122" s="276">
        <v>0.39769649315798128</v>
      </c>
      <c r="O122" s="276">
        <v>0.39362840255248877</v>
      </c>
      <c r="P122" s="276">
        <v>0.37779560774484872</v>
      </c>
      <c r="Q122" s="277">
        <v>0.36016350842149852</v>
      </c>
    </row>
    <row r="123" spans="2:17" x14ac:dyDescent="0.35">
      <c r="B123" s="231">
        <v>46002</v>
      </c>
      <c r="C123" s="232" t="s">
        <v>583</v>
      </c>
      <c r="D123" s="236" t="s">
        <v>28</v>
      </c>
      <c r="E123" s="239" t="s">
        <v>924</v>
      </c>
      <c r="F123" s="273">
        <v>6.9413335567069412</v>
      </c>
      <c r="G123" s="272">
        <v>6.7665803932778825</v>
      </c>
      <c r="H123" s="272">
        <v>6.6522080149583775</v>
      </c>
      <c r="I123" s="272">
        <v>6.5695051275950593</v>
      </c>
      <c r="J123" s="274">
        <v>6.4751709537579929</v>
      </c>
      <c r="K123" s="235"/>
      <c r="L123" s="235"/>
      <c r="M123" s="273">
        <v>5.5031448676764372</v>
      </c>
      <c r="N123" s="272">
        <v>5.2626036197959642</v>
      </c>
      <c r="O123" s="272">
        <v>5.0722866443152776</v>
      </c>
      <c r="P123" s="272">
        <v>4.9110056937704654</v>
      </c>
      <c r="Q123" s="274">
        <v>4.7455750806217569</v>
      </c>
    </row>
    <row r="124" spans="2:17" x14ac:dyDescent="0.35">
      <c r="B124" s="231">
        <v>46002</v>
      </c>
      <c r="C124" s="232" t="s">
        <v>583</v>
      </c>
      <c r="D124" s="236" t="s">
        <v>31</v>
      </c>
      <c r="E124" s="239" t="s">
        <v>925</v>
      </c>
      <c r="F124" s="273">
        <v>3.794169979521357</v>
      </c>
      <c r="G124" s="272">
        <v>3.9435428855910102</v>
      </c>
      <c r="H124" s="272">
        <v>4.1012210951727877</v>
      </c>
      <c r="I124" s="272">
        <v>4.2652700736489102</v>
      </c>
      <c r="J124" s="274">
        <v>4.4358808765948705</v>
      </c>
      <c r="K124" s="235"/>
      <c r="L124" s="235"/>
      <c r="M124" s="273">
        <v>4.6887101565204707</v>
      </c>
      <c r="N124" s="272">
        <v>4.87625856278129</v>
      </c>
      <c r="O124" s="272">
        <v>5.0713089052925415</v>
      </c>
      <c r="P124" s="272">
        <v>5.2741612615042435</v>
      </c>
      <c r="Q124" s="274">
        <v>5.4851277119644131</v>
      </c>
    </row>
    <row r="125" spans="2:17" x14ac:dyDescent="0.35">
      <c r="B125" s="231">
        <v>46002</v>
      </c>
      <c r="C125" s="232" t="s">
        <v>583</v>
      </c>
      <c r="D125" s="236" t="s">
        <v>33</v>
      </c>
      <c r="E125" s="239" t="s">
        <v>926</v>
      </c>
      <c r="F125" s="273">
        <v>67.593999999999994</v>
      </c>
      <c r="G125" s="272">
        <v>71.287999999999997</v>
      </c>
      <c r="H125" s="272">
        <v>72.543000000000006</v>
      </c>
      <c r="I125" s="272">
        <v>73.994</v>
      </c>
      <c r="J125" s="274">
        <v>75.474000000000004</v>
      </c>
      <c r="K125" s="235"/>
      <c r="L125" s="235"/>
      <c r="M125" s="273">
        <v>57.929729809416699</v>
      </c>
      <c r="N125" s="272">
        <v>65.071892746774139</v>
      </c>
      <c r="O125" s="272">
        <v>66.325686441317004</v>
      </c>
      <c r="P125" s="272">
        <v>67.723114313807898</v>
      </c>
      <c r="Q125" s="274">
        <v>69.166741929525145</v>
      </c>
    </row>
    <row r="126" spans="2:17" x14ac:dyDescent="0.35">
      <c r="B126" s="231">
        <v>46002</v>
      </c>
      <c r="C126" s="232" t="s">
        <v>583</v>
      </c>
      <c r="D126" s="236" t="s">
        <v>35</v>
      </c>
      <c r="E126" s="239" t="s">
        <v>927</v>
      </c>
      <c r="F126" s="273">
        <v>0</v>
      </c>
      <c r="G126" s="272">
        <v>0</v>
      </c>
      <c r="H126" s="272">
        <v>0</v>
      </c>
      <c r="I126" s="272">
        <v>0</v>
      </c>
      <c r="J126" s="274">
        <v>0</v>
      </c>
      <c r="K126" s="235"/>
      <c r="L126" s="235"/>
      <c r="M126" s="273">
        <v>-2.3102454681620364</v>
      </c>
      <c r="N126" s="272"/>
      <c r="O126" s="272"/>
      <c r="P126" s="272"/>
      <c r="Q126" s="274"/>
    </row>
    <row r="127" spans="2:17" x14ac:dyDescent="0.35">
      <c r="B127" s="231">
        <v>46002</v>
      </c>
      <c r="C127" s="232" t="s">
        <v>583</v>
      </c>
      <c r="D127" s="236" t="s">
        <v>41</v>
      </c>
      <c r="E127" s="239" t="s">
        <v>928</v>
      </c>
      <c r="F127" s="273">
        <v>56.984769422872631</v>
      </c>
      <c r="G127" s="272">
        <v>57.150578346717296</v>
      </c>
      <c r="H127" s="272">
        <v>58.292687273658878</v>
      </c>
      <c r="I127" s="272">
        <v>59.458542896442268</v>
      </c>
      <c r="J127" s="274">
        <v>60.647713754371154</v>
      </c>
      <c r="K127" s="235"/>
      <c r="L127" s="235"/>
      <c r="M127" s="273">
        <v>61.558785776123997</v>
      </c>
      <c r="N127" s="272">
        <v>66.448596353968711</v>
      </c>
      <c r="O127" s="272">
        <v>66.178738910796525</v>
      </c>
      <c r="P127" s="272">
        <v>66.902594573786672</v>
      </c>
      <c r="Q127" s="274">
        <v>68.32873148536342</v>
      </c>
    </row>
    <row r="128" spans="2:17" x14ac:dyDescent="0.35">
      <c r="B128" s="231">
        <v>46002</v>
      </c>
      <c r="C128" s="232" t="s">
        <v>583</v>
      </c>
      <c r="D128" s="236" t="s">
        <v>43</v>
      </c>
      <c r="E128" s="239" t="s">
        <v>929</v>
      </c>
      <c r="F128" s="273">
        <v>3.8883207015396217</v>
      </c>
      <c r="G128" s="272">
        <v>4.3120783071280453</v>
      </c>
      <c r="H128" s="272">
        <v>4.2819372452817319</v>
      </c>
      <c r="I128" s="272">
        <v>2.7352119706314939</v>
      </c>
      <c r="J128" s="274">
        <v>2.8562259993650585</v>
      </c>
      <c r="K128" s="235"/>
      <c r="L128" s="235"/>
      <c r="M128" s="273">
        <v>3.8883207015396217</v>
      </c>
      <c r="N128" s="272">
        <v>4.3120783071280453</v>
      </c>
      <c r="O128" s="272">
        <v>4.2819372452817319</v>
      </c>
      <c r="P128" s="272">
        <v>2.7352119706314939</v>
      </c>
      <c r="Q128" s="274">
        <v>2.8562259993650585</v>
      </c>
    </row>
    <row r="129" spans="2:17" x14ac:dyDescent="0.35">
      <c r="B129" s="231">
        <v>46002</v>
      </c>
      <c r="C129" s="232" t="s">
        <v>583</v>
      </c>
      <c r="D129" s="236" t="s">
        <v>45</v>
      </c>
      <c r="E129" s="239" t="s">
        <v>930</v>
      </c>
      <c r="F129" s="273">
        <v>-4.7537167616966904</v>
      </c>
      <c r="G129" s="272">
        <v>0</v>
      </c>
      <c r="H129" s="272">
        <v>0</v>
      </c>
      <c r="I129" s="272">
        <v>0</v>
      </c>
      <c r="J129" s="274">
        <v>0</v>
      </c>
      <c r="K129" s="235"/>
      <c r="L129" s="235"/>
      <c r="M129" s="273">
        <v>-4.7537167616966904</v>
      </c>
      <c r="N129" s="272">
        <v>0</v>
      </c>
      <c r="O129" s="272">
        <v>0</v>
      </c>
      <c r="P129" s="272">
        <v>0</v>
      </c>
      <c r="Q129" s="274">
        <v>0</v>
      </c>
    </row>
    <row r="130" spans="2:17" x14ac:dyDescent="0.35">
      <c r="B130" s="231">
        <v>46002</v>
      </c>
      <c r="C130" s="232" t="s">
        <v>583</v>
      </c>
      <c r="D130" s="236" t="s">
        <v>108</v>
      </c>
      <c r="E130" s="239" t="s">
        <v>931</v>
      </c>
      <c r="F130" s="275">
        <v>5.8166645001717476E-2</v>
      </c>
      <c r="G130" s="276">
        <v>5.1467708270490464E-2</v>
      </c>
      <c r="H130" s="276">
        <v>3.9955999267829237E-2</v>
      </c>
      <c r="I130" s="276">
        <v>3.982280749199419E-2</v>
      </c>
      <c r="J130" s="277">
        <v>1.885958203362377E-2</v>
      </c>
      <c r="K130" s="235"/>
      <c r="L130" s="235"/>
      <c r="M130" s="275">
        <v>4.5333518904324445E-2</v>
      </c>
      <c r="N130" s="276">
        <v>3.8188556352310513E-2</v>
      </c>
      <c r="O130" s="276">
        <v>2.9974441783548907E-2</v>
      </c>
      <c r="P130" s="276">
        <v>3.325380656746546E-2</v>
      </c>
      <c r="Q130" s="277">
        <v>1.3540673703800998E-2</v>
      </c>
    </row>
    <row r="131" spans="2:17" x14ac:dyDescent="0.35">
      <c r="B131" s="231">
        <v>46002</v>
      </c>
      <c r="C131" s="232" t="s">
        <v>583</v>
      </c>
      <c r="D131" s="236" t="s">
        <v>111</v>
      </c>
      <c r="E131" s="239" t="s">
        <v>932</v>
      </c>
      <c r="F131" s="275">
        <v>0.12270693328362231</v>
      </c>
      <c r="G131" s="276">
        <v>0.12652340693508848</v>
      </c>
      <c r="H131" s="276">
        <v>0.13515024170649984</v>
      </c>
      <c r="I131" s="276">
        <v>0.11571501441016903</v>
      </c>
      <c r="J131" s="277">
        <v>0.11832933603920728</v>
      </c>
      <c r="K131" s="235"/>
      <c r="L131" s="235"/>
      <c r="M131" s="275">
        <v>0.12128443494806845</v>
      </c>
      <c r="N131" s="276">
        <v>0.12426235538728757</v>
      </c>
      <c r="O131" s="276">
        <v>0.12752188082507976</v>
      </c>
      <c r="P131" s="276">
        <v>0.11463320300028124</v>
      </c>
      <c r="Q131" s="277">
        <v>0.10429947560789525</v>
      </c>
    </row>
    <row r="132" spans="2:17" x14ac:dyDescent="0.35">
      <c r="B132" s="231">
        <v>46002</v>
      </c>
      <c r="C132" s="232" t="s">
        <v>583</v>
      </c>
      <c r="D132" s="236" t="s">
        <v>113</v>
      </c>
      <c r="E132" s="239" t="s">
        <v>933</v>
      </c>
      <c r="F132" s="275">
        <v>0</v>
      </c>
      <c r="G132" s="276">
        <v>0</v>
      </c>
      <c r="H132" s="276">
        <v>0</v>
      </c>
      <c r="I132" s="276">
        <v>0</v>
      </c>
      <c r="J132" s="277">
        <v>0</v>
      </c>
      <c r="K132" s="235"/>
      <c r="L132" s="235"/>
      <c r="M132" s="275">
        <v>4.4630920988885438E-4</v>
      </c>
      <c r="N132" s="276">
        <v>5.8431406479476076E-4</v>
      </c>
      <c r="O132" s="276">
        <v>9.8871421496623635E-4</v>
      </c>
      <c r="P132" s="276">
        <v>6.3980943145115451E-4</v>
      </c>
      <c r="Q132" s="277">
        <v>1.5663924013259263E-4</v>
      </c>
    </row>
    <row r="133" spans="2:17" x14ac:dyDescent="0.35">
      <c r="B133" s="231">
        <v>46002</v>
      </c>
      <c r="C133" s="232" t="s">
        <v>583</v>
      </c>
      <c r="D133" s="236" t="s">
        <v>115</v>
      </c>
      <c r="E133" s="239" t="s">
        <v>934</v>
      </c>
      <c r="F133" s="275">
        <v>0.42778503762187392</v>
      </c>
      <c r="G133" s="276">
        <v>0.43710114390595833</v>
      </c>
      <c r="H133" s="276">
        <v>0.44089116952137419</v>
      </c>
      <c r="I133" s="276">
        <v>0.44940188550144922</v>
      </c>
      <c r="J133" s="277">
        <v>0.4618781624807804</v>
      </c>
      <c r="K133" s="235"/>
      <c r="L133" s="235"/>
      <c r="M133" s="275">
        <v>0.42338647545485786</v>
      </c>
      <c r="N133" s="276">
        <v>0.42806073052357635</v>
      </c>
      <c r="O133" s="276">
        <v>0.43288914959588665</v>
      </c>
      <c r="P133" s="276">
        <v>0.43315622206732984</v>
      </c>
      <c r="Q133" s="277">
        <v>0.45574474397702314</v>
      </c>
    </row>
    <row r="134" spans="2:17" x14ac:dyDescent="0.35">
      <c r="B134" s="231">
        <v>46002</v>
      </c>
      <c r="C134" s="232" t="s">
        <v>583</v>
      </c>
      <c r="D134" s="236" t="s">
        <v>119</v>
      </c>
      <c r="E134" s="239" t="s">
        <v>935</v>
      </c>
      <c r="F134" s="275">
        <v>1.9764700787262635E-3</v>
      </c>
      <c r="G134" s="276">
        <v>2.6244451605996599E-3</v>
      </c>
      <c r="H134" s="276">
        <v>4.450315325045748E-3</v>
      </c>
      <c r="I134" s="276">
        <v>2.7393293726084137E-3</v>
      </c>
      <c r="J134" s="277">
        <v>7.859320497753525E-4</v>
      </c>
      <c r="K134" s="235"/>
      <c r="L134" s="235"/>
      <c r="M134" s="275">
        <v>2.2315460494442721E-3</v>
      </c>
      <c r="N134" s="276">
        <v>2.9215703239738045E-3</v>
      </c>
      <c r="O134" s="276">
        <v>4.9435710748311828E-3</v>
      </c>
      <c r="P134" s="276">
        <v>3.1990471572557718E-3</v>
      </c>
      <c r="Q134" s="277">
        <v>7.8319620066296324E-4</v>
      </c>
    </row>
    <row r="135" spans="2:17" x14ac:dyDescent="0.35">
      <c r="B135" s="231">
        <v>46002</v>
      </c>
      <c r="C135" s="232" t="s">
        <v>583</v>
      </c>
      <c r="D135" s="236" t="s">
        <v>117</v>
      </c>
      <c r="E135" s="239" t="s">
        <v>936</v>
      </c>
      <c r="F135" s="275">
        <v>0.38936491401405998</v>
      </c>
      <c r="G135" s="276">
        <v>0.38228329572786296</v>
      </c>
      <c r="H135" s="276">
        <v>0.37955227417925108</v>
      </c>
      <c r="I135" s="276">
        <v>0.3923209632237793</v>
      </c>
      <c r="J135" s="277">
        <v>0.40014698739661325</v>
      </c>
      <c r="K135" s="235"/>
      <c r="L135" s="235"/>
      <c r="M135" s="275">
        <v>0.40731771543341622</v>
      </c>
      <c r="N135" s="276">
        <v>0.40598247334805698</v>
      </c>
      <c r="O135" s="276">
        <v>0.40368224250568735</v>
      </c>
      <c r="P135" s="276">
        <v>0.41511791177621638</v>
      </c>
      <c r="Q135" s="277">
        <v>0.42547527127048507</v>
      </c>
    </row>
    <row r="136" spans="2:17" x14ac:dyDescent="0.35">
      <c r="B136" s="231">
        <v>46002</v>
      </c>
      <c r="C136" s="232" t="s">
        <v>584</v>
      </c>
      <c r="D136" s="236" t="s">
        <v>28</v>
      </c>
      <c r="E136" s="239" t="s">
        <v>924</v>
      </c>
      <c r="F136" s="273">
        <v>6.6190860072647348</v>
      </c>
      <c r="G136" s="272">
        <v>6.5539414509391491</v>
      </c>
      <c r="H136" s="272">
        <v>6.4524414606191147</v>
      </c>
      <c r="I136" s="272">
        <v>6.3666814477489053</v>
      </c>
      <c r="J136" s="274">
        <v>6.2973831190196474</v>
      </c>
      <c r="K136" s="235"/>
      <c r="L136" s="235"/>
      <c r="M136" s="273">
        <v>5.2476644281691538</v>
      </c>
      <c r="N136" s="272">
        <v>5.0972269594117856</v>
      </c>
      <c r="O136" s="272">
        <v>4.9199653063057935</v>
      </c>
      <c r="P136" s="272">
        <v>4.7593857121721648</v>
      </c>
      <c r="Q136" s="274">
        <v>4.6152765102523841</v>
      </c>
    </row>
    <row r="137" spans="2:17" x14ac:dyDescent="0.35">
      <c r="B137" s="231">
        <v>46002</v>
      </c>
      <c r="C137" s="232" t="s">
        <v>584</v>
      </c>
      <c r="D137" s="236" t="s">
        <v>31</v>
      </c>
      <c r="E137" s="239" t="s">
        <v>925</v>
      </c>
      <c r="F137" s="273">
        <v>2.7697821283255086</v>
      </c>
      <c r="G137" s="272">
        <v>2.8788258474843329</v>
      </c>
      <c r="H137" s="272">
        <v>2.9939325214823889</v>
      </c>
      <c r="I137" s="272">
        <v>3.1136899206515585</v>
      </c>
      <c r="J137" s="274">
        <v>3.2382375174776228</v>
      </c>
      <c r="K137" s="235"/>
      <c r="L137" s="235"/>
      <c r="M137" s="273">
        <v>3.4257487744374671</v>
      </c>
      <c r="N137" s="272">
        <v>3.5627787254149657</v>
      </c>
      <c r="O137" s="272">
        <v>3.7052898744315645</v>
      </c>
      <c r="P137" s="272">
        <v>3.8535014694088274</v>
      </c>
      <c r="Q137" s="274">
        <v>4.0076415281851805</v>
      </c>
    </row>
    <row r="138" spans="2:17" x14ac:dyDescent="0.35">
      <c r="B138" s="231">
        <v>46002</v>
      </c>
      <c r="C138" s="232" t="s">
        <v>584</v>
      </c>
      <c r="D138" s="236" t="s">
        <v>33</v>
      </c>
      <c r="E138" s="239" t="s">
        <v>926</v>
      </c>
      <c r="F138" s="273">
        <v>49.837000000000003</v>
      </c>
      <c r="G138" s="272">
        <v>52.561</v>
      </c>
      <c r="H138" s="272">
        <v>53.485999999999997</v>
      </c>
      <c r="I138" s="272">
        <v>54.555999999999997</v>
      </c>
      <c r="J138" s="274">
        <v>55.646999999999998</v>
      </c>
      <c r="K138" s="235"/>
      <c r="L138" s="235"/>
      <c r="M138" s="273">
        <v>42.711444673504694</v>
      </c>
      <c r="N138" s="272">
        <v>47.977343515976273</v>
      </c>
      <c r="O138" s="272">
        <v>48.901762466187762</v>
      </c>
      <c r="P138" s="272">
        <v>49.932082535994248</v>
      </c>
      <c r="Q138" s="274">
        <v>50.996465560750345</v>
      </c>
    </row>
    <row r="139" spans="2:17" x14ac:dyDescent="0.35">
      <c r="B139" s="231">
        <v>46002</v>
      </c>
      <c r="C139" s="232" t="s">
        <v>584</v>
      </c>
      <c r="D139" s="236" t="s">
        <v>35</v>
      </c>
      <c r="E139" s="239" t="s">
        <v>927</v>
      </c>
      <c r="F139" s="273">
        <v>0</v>
      </c>
      <c r="G139" s="272">
        <v>0</v>
      </c>
      <c r="H139" s="272">
        <v>0</v>
      </c>
      <c r="I139" s="272">
        <v>0</v>
      </c>
      <c r="J139" s="274">
        <v>0</v>
      </c>
      <c r="K139" s="235"/>
      <c r="L139" s="235"/>
      <c r="M139" s="273">
        <v>-3.0803272908827148</v>
      </c>
      <c r="N139" s="272"/>
      <c r="O139" s="272"/>
      <c r="P139" s="272"/>
      <c r="Q139" s="274"/>
    </row>
    <row r="140" spans="2:17" x14ac:dyDescent="0.35">
      <c r="B140" s="231">
        <v>46002</v>
      </c>
      <c r="C140" s="232" t="s">
        <v>584</v>
      </c>
      <c r="D140" s="236" t="s">
        <v>41</v>
      </c>
      <c r="E140" s="239" t="s">
        <v>928</v>
      </c>
      <c r="F140" s="273">
        <v>40.94039347071913</v>
      </c>
      <c r="G140" s="272">
        <v>41.106886938502939</v>
      </c>
      <c r="H140" s="272">
        <v>41.928375432397402</v>
      </c>
      <c r="I140" s="272">
        <v>42.766944291344529</v>
      </c>
      <c r="J140" s="274">
        <v>43.622283177171454</v>
      </c>
      <c r="K140" s="235"/>
      <c r="L140" s="235"/>
      <c r="M140" s="273">
        <v>42.283933758365706</v>
      </c>
      <c r="N140" s="272">
        <v>45.10848749450043</v>
      </c>
      <c r="O140" s="272">
        <v>45.859132632335466</v>
      </c>
      <c r="P140" s="272">
        <v>47.905767232705315</v>
      </c>
      <c r="Q140" s="274">
        <v>48.926956072438806</v>
      </c>
    </row>
    <row r="141" spans="2:17" x14ac:dyDescent="0.35">
      <c r="B141" s="231">
        <v>46002</v>
      </c>
      <c r="C141" s="232" t="s">
        <v>584</v>
      </c>
      <c r="D141" s="236" t="s">
        <v>43</v>
      </c>
      <c r="E141" s="239" t="s">
        <v>929</v>
      </c>
      <c r="F141" s="273">
        <v>3.3747689107702379</v>
      </c>
      <c r="G141" s="272">
        <v>3.7425585307149078</v>
      </c>
      <c r="H141" s="272">
        <v>3.7163983638294273</v>
      </c>
      <c r="I141" s="272">
        <v>2.3739575594160129</v>
      </c>
      <c r="J141" s="274">
        <v>2.4789886032225041</v>
      </c>
      <c r="K141" s="235"/>
      <c r="L141" s="235"/>
      <c r="M141" s="273">
        <v>3.3747689107702379</v>
      </c>
      <c r="N141" s="272">
        <v>3.7425585307149078</v>
      </c>
      <c r="O141" s="272">
        <v>3.7163983638294273</v>
      </c>
      <c r="P141" s="272">
        <v>2.3739575594160129</v>
      </c>
      <c r="Q141" s="274">
        <v>2.4789886032225041</v>
      </c>
    </row>
    <row r="142" spans="2:17" x14ac:dyDescent="0.35">
      <c r="B142" s="231">
        <v>46002</v>
      </c>
      <c r="C142" s="232" t="s">
        <v>584</v>
      </c>
      <c r="D142" s="236" t="s">
        <v>45</v>
      </c>
      <c r="E142" s="239" t="s">
        <v>930</v>
      </c>
      <c r="F142" s="273">
        <v>-3.4729479561104899</v>
      </c>
      <c r="G142" s="272">
        <v>0</v>
      </c>
      <c r="H142" s="272">
        <v>0</v>
      </c>
      <c r="I142" s="272">
        <v>0</v>
      </c>
      <c r="J142" s="274">
        <v>0</v>
      </c>
      <c r="K142" s="235"/>
      <c r="L142" s="235"/>
      <c r="M142" s="273">
        <v>-3.4729479561104899</v>
      </c>
      <c r="N142" s="272">
        <v>0</v>
      </c>
      <c r="O142" s="272">
        <v>0</v>
      </c>
      <c r="P142" s="272">
        <v>0</v>
      </c>
      <c r="Q142" s="274">
        <v>0</v>
      </c>
    </row>
    <row r="143" spans="2:17" x14ac:dyDescent="0.35">
      <c r="B143" s="231">
        <v>46002</v>
      </c>
      <c r="C143" s="232" t="s">
        <v>584</v>
      </c>
      <c r="D143" s="236" t="s">
        <v>108</v>
      </c>
      <c r="E143" s="239" t="s">
        <v>931</v>
      </c>
      <c r="F143" s="275">
        <v>7.7802540281326174E-2</v>
      </c>
      <c r="G143" s="276">
        <v>5.7386242244274618E-2</v>
      </c>
      <c r="H143" s="276">
        <v>5.2654090561075222E-2</v>
      </c>
      <c r="I143" s="276">
        <v>3.4175479489711239E-2</v>
      </c>
      <c r="J143" s="277">
        <v>1.6722439372887404E-2</v>
      </c>
      <c r="K143" s="235"/>
      <c r="L143" s="235"/>
      <c r="M143" s="275">
        <v>6.1663406151315166E-2</v>
      </c>
      <c r="N143" s="276">
        <v>4.6917095278079121E-2</v>
      </c>
      <c r="O143" s="276">
        <v>4.9977698261695791E-2</v>
      </c>
      <c r="P143" s="276">
        <v>3.2822200134543171E-2</v>
      </c>
      <c r="Q143" s="277">
        <v>1.3897693613897429E-2</v>
      </c>
    </row>
    <row r="144" spans="2:17" x14ac:dyDescent="0.35">
      <c r="B144" s="231">
        <v>46002</v>
      </c>
      <c r="C144" s="232" t="s">
        <v>584</v>
      </c>
      <c r="D144" s="236" t="s">
        <v>111</v>
      </c>
      <c r="E144" s="239" t="s">
        <v>932</v>
      </c>
      <c r="F144" s="275">
        <v>0.10932923216998136</v>
      </c>
      <c r="G144" s="276">
        <v>0.12398236336416253</v>
      </c>
      <c r="H144" s="276">
        <v>6.9484224255763699E-2</v>
      </c>
      <c r="I144" s="276">
        <v>8.7938898933958135E-2</v>
      </c>
      <c r="J144" s="277">
        <v>9.4989476172755341E-2</v>
      </c>
      <c r="K144" s="235"/>
      <c r="L144" s="235"/>
      <c r="M144" s="275">
        <v>0.12332903837011182</v>
      </c>
      <c r="N144" s="276">
        <v>0.13320091711010409</v>
      </c>
      <c r="O144" s="276">
        <v>8.5683130061160753E-2</v>
      </c>
      <c r="P144" s="276">
        <v>0.10189625959634736</v>
      </c>
      <c r="Q144" s="277">
        <v>9.7404693689836799E-2</v>
      </c>
    </row>
    <row r="145" spans="2:17" x14ac:dyDescent="0.35">
      <c r="B145" s="231">
        <v>46002</v>
      </c>
      <c r="C145" s="232" t="s">
        <v>584</v>
      </c>
      <c r="D145" s="236" t="s">
        <v>113</v>
      </c>
      <c r="E145" s="239" t="s">
        <v>933</v>
      </c>
      <c r="F145" s="275">
        <v>0</v>
      </c>
      <c r="G145" s="276">
        <v>0</v>
      </c>
      <c r="H145" s="276">
        <v>0</v>
      </c>
      <c r="I145" s="276">
        <v>0</v>
      </c>
      <c r="J145" s="277">
        <v>0</v>
      </c>
      <c r="K145" s="235"/>
      <c r="L145" s="235"/>
      <c r="M145" s="275">
        <v>1.1337317270283744E-3</v>
      </c>
      <c r="N145" s="276">
        <v>9.9496590691054688E-4</v>
      </c>
      <c r="O145" s="276">
        <v>2.7970871273630914E-4</v>
      </c>
      <c r="P145" s="276">
        <v>2.790636828704412E-4</v>
      </c>
      <c r="Q145" s="277">
        <v>1.038129417242899E-4</v>
      </c>
    </row>
    <row r="146" spans="2:17" x14ac:dyDescent="0.35">
      <c r="B146" s="231">
        <v>46002</v>
      </c>
      <c r="C146" s="232" t="s">
        <v>584</v>
      </c>
      <c r="D146" s="236" t="s">
        <v>115</v>
      </c>
      <c r="E146" s="239" t="s">
        <v>934</v>
      </c>
      <c r="F146" s="275">
        <v>0.4341118159860653</v>
      </c>
      <c r="G146" s="276">
        <v>0.43633331304815787</v>
      </c>
      <c r="H146" s="276">
        <v>0.47841647696307871</v>
      </c>
      <c r="I146" s="276">
        <v>0.4758812972632786</v>
      </c>
      <c r="J146" s="277">
        <v>0.48119073967748349</v>
      </c>
      <c r="K146" s="235"/>
      <c r="L146" s="235"/>
      <c r="M146" s="275">
        <v>0.41603089037775676</v>
      </c>
      <c r="N146" s="276">
        <v>0.41879525204560708</v>
      </c>
      <c r="O146" s="276">
        <v>0.44565146007145823</v>
      </c>
      <c r="P146" s="276">
        <v>0.43966835190252856</v>
      </c>
      <c r="Q146" s="277">
        <v>0.46215879523611092</v>
      </c>
    </row>
    <row r="147" spans="2:17" x14ac:dyDescent="0.35">
      <c r="B147" s="231">
        <v>46002</v>
      </c>
      <c r="C147" s="232" t="s">
        <v>584</v>
      </c>
      <c r="D147" s="236" t="s">
        <v>119</v>
      </c>
      <c r="E147" s="239" t="s">
        <v>935</v>
      </c>
      <c r="F147" s="275">
        <v>4.6618973299540692E-3</v>
      </c>
      <c r="G147" s="276">
        <v>4.0653778046199534E-3</v>
      </c>
      <c r="H147" s="276">
        <v>1.0558370666092344E-3</v>
      </c>
      <c r="I147" s="276">
        <v>1.0590112597421873E-3</v>
      </c>
      <c r="J147" s="277">
        <v>4.5244778170704737E-4</v>
      </c>
      <c r="K147" s="235"/>
      <c r="L147" s="235"/>
      <c r="M147" s="275">
        <v>5.6686586351418723E-3</v>
      </c>
      <c r="N147" s="276">
        <v>4.9748295345527346E-3</v>
      </c>
      <c r="O147" s="276">
        <v>1.398543563681546E-3</v>
      </c>
      <c r="P147" s="276">
        <v>1.3953184143522062E-3</v>
      </c>
      <c r="Q147" s="277">
        <v>5.1906470862144946E-4</v>
      </c>
    </row>
    <row r="148" spans="2:17" x14ac:dyDescent="0.35">
      <c r="B148" s="231">
        <v>46002</v>
      </c>
      <c r="C148" s="232" t="s">
        <v>584</v>
      </c>
      <c r="D148" s="236" t="s">
        <v>117</v>
      </c>
      <c r="E148" s="239" t="s">
        <v>936</v>
      </c>
      <c r="F148" s="275">
        <v>0.37409451423267298</v>
      </c>
      <c r="G148" s="276">
        <v>0.37823270353878502</v>
      </c>
      <c r="H148" s="276">
        <v>0.39838937115347328</v>
      </c>
      <c r="I148" s="276">
        <v>0.40094531305330983</v>
      </c>
      <c r="J148" s="277">
        <v>0.40664489699516676</v>
      </c>
      <c r="K148" s="235"/>
      <c r="L148" s="235"/>
      <c r="M148" s="275">
        <v>0.39217427473864586</v>
      </c>
      <c r="N148" s="276">
        <v>0.39511694012474652</v>
      </c>
      <c r="O148" s="276">
        <v>0.41700945932926736</v>
      </c>
      <c r="P148" s="276">
        <v>0.42393880626935826</v>
      </c>
      <c r="Q148" s="277">
        <v>0.42591593980980919</v>
      </c>
    </row>
    <row r="149" spans="2:17" x14ac:dyDescent="0.35">
      <c r="B149" s="231">
        <v>46003</v>
      </c>
      <c r="C149" s="232" t="s">
        <v>588</v>
      </c>
      <c r="D149" s="236" t="s">
        <v>28</v>
      </c>
      <c r="E149" s="239" t="s">
        <v>924</v>
      </c>
      <c r="F149" s="273">
        <v>7.8475950900000013</v>
      </c>
      <c r="G149" s="272">
        <v>6.8772438699999991</v>
      </c>
      <c r="H149" s="272">
        <v>6.5757237800000006</v>
      </c>
      <c r="I149" s="272">
        <v>6.7072384673705328</v>
      </c>
      <c r="J149" s="274">
        <v>6.8413832367179461</v>
      </c>
      <c r="K149" s="235"/>
      <c r="L149" s="235"/>
      <c r="M149" s="273">
        <v>6.8452386499999998</v>
      </c>
      <c r="N149" s="272">
        <v>6.3385233000000003</v>
      </c>
      <c r="O149" s="272">
        <v>5.8585302899999991</v>
      </c>
      <c r="P149" s="272">
        <v>5.7513512299999991</v>
      </c>
      <c r="Q149" s="274">
        <v>5.866378254599999</v>
      </c>
    </row>
    <row r="150" spans="2:17" x14ac:dyDescent="0.35">
      <c r="B150" s="231">
        <v>46003</v>
      </c>
      <c r="C150" s="232" t="s">
        <v>588</v>
      </c>
      <c r="D150" s="236" t="s">
        <v>33</v>
      </c>
      <c r="E150" s="239" t="s">
        <v>926</v>
      </c>
      <c r="F150" s="273">
        <v>62.807580000000002</v>
      </c>
      <c r="G150" s="272">
        <v>63.955480000000001</v>
      </c>
      <c r="H150" s="272">
        <v>65.149500000000003</v>
      </c>
      <c r="I150" s="272">
        <v>66.452489999999997</v>
      </c>
      <c r="J150" s="274">
        <v>67.78153979999999</v>
      </c>
      <c r="K150" s="235"/>
      <c r="L150" s="235"/>
      <c r="M150" s="273">
        <v>49.894434099999991</v>
      </c>
      <c r="N150" s="272">
        <v>57.166628200000005</v>
      </c>
      <c r="O150" s="272">
        <v>60.747439999999997</v>
      </c>
      <c r="P150" s="272">
        <v>61.962388799999999</v>
      </c>
      <c r="Q150" s="274">
        <v>63.201636575999999</v>
      </c>
    </row>
    <row r="151" spans="2:17" x14ac:dyDescent="0.35">
      <c r="B151" s="231">
        <v>46003</v>
      </c>
      <c r="C151" s="232" t="s">
        <v>588</v>
      </c>
      <c r="D151" s="236" t="s">
        <v>45</v>
      </c>
      <c r="E151" s="239" t="s">
        <v>930</v>
      </c>
      <c r="F151" s="273">
        <v>-4.5283603756062796</v>
      </c>
      <c r="G151" s="272">
        <v>0.37069181215188513</v>
      </c>
      <c r="H151" s="272">
        <v>0.37809979366406421</v>
      </c>
      <c r="I151" s="272">
        <v>0</v>
      </c>
      <c r="J151" s="274">
        <v>0</v>
      </c>
      <c r="K151" s="235"/>
      <c r="L151" s="235"/>
      <c r="M151" s="273">
        <v>0.36364395820029227</v>
      </c>
      <c r="N151" s="272">
        <v>0.37069181215188513</v>
      </c>
      <c r="O151" s="272">
        <v>0.37809979366406421</v>
      </c>
      <c r="P151" s="272">
        <v>0</v>
      </c>
      <c r="Q151" s="274">
        <v>0</v>
      </c>
    </row>
    <row r="152" spans="2:17" x14ac:dyDescent="0.35">
      <c r="B152" s="231">
        <v>46003</v>
      </c>
      <c r="C152" s="232" t="s">
        <v>588</v>
      </c>
      <c r="D152" s="236" t="s">
        <v>950</v>
      </c>
      <c r="E152" s="239" t="s">
        <v>952</v>
      </c>
      <c r="F152" s="273">
        <v>1.7823330981833752E-3</v>
      </c>
      <c r="G152" s="272">
        <v>0</v>
      </c>
      <c r="H152" s="272">
        <v>0</v>
      </c>
      <c r="I152" s="272">
        <v>0</v>
      </c>
      <c r="J152" s="274">
        <v>0</v>
      </c>
      <c r="K152" s="235"/>
      <c r="L152" s="235"/>
      <c r="M152" s="273">
        <v>-4.5283603799999996</v>
      </c>
      <c r="N152" s="272">
        <v>0</v>
      </c>
      <c r="O152" s="272">
        <v>0</v>
      </c>
      <c r="P152" s="272">
        <v>0</v>
      </c>
      <c r="Q152" s="274">
        <v>0</v>
      </c>
    </row>
    <row r="153" spans="2:17" x14ac:dyDescent="0.35">
      <c r="B153" s="231">
        <v>46003</v>
      </c>
      <c r="C153" s="232" t="s">
        <v>588</v>
      </c>
      <c r="D153" s="236" t="s">
        <v>108</v>
      </c>
      <c r="E153" s="239" t="s">
        <v>931</v>
      </c>
      <c r="F153" s="275">
        <v>0.16849110922273536</v>
      </c>
      <c r="G153" s="276">
        <v>0.16422385714990259</v>
      </c>
      <c r="H153" s="276">
        <v>0.16221367762675926</v>
      </c>
      <c r="I153" s="276">
        <v>0.15469830813590471</v>
      </c>
      <c r="J153" s="277">
        <v>0.13353739818565458</v>
      </c>
      <c r="K153" s="235"/>
      <c r="L153" s="235"/>
      <c r="M153" s="303">
        <v>0.15640424653729679</v>
      </c>
      <c r="N153" s="302">
        <v>0.10719943685920892</v>
      </c>
      <c r="O153" s="302">
        <v>9.8262514357715769E-2</v>
      </c>
      <c r="P153" s="302">
        <v>0.1081839864680746</v>
      </c>
      <c r="Q153" s="304">
        <v>0.12392835808333677</v>
      </c>
    </row>
    <row r="154" spans="2:17" x14ac:dyDescent="0.35">
      <c r="B154" s="231">
        <v>46003</v>
      </c>
      <c r="C154" s="232" t="s">
        <v>588</v>
      </c>
      <c r="D154" s="236" t="s">
        <v>111</v>
      </c>
      <c r="E154" s="239" t="s">
        <v>932</v>
      </c>
      <c r="F154" s="275">
        <v>1.0176684357125799E-2</v>
      </c>
      <c r="G154" s="276">
        <v>9.628462596137477E-3</v>
      </c>
      <c r="H154" s="276">
        <v>9.7544907963497095E-3</v>
      </c>
      <c r="I154" s="276">
        <v>9.8183439151301542E-3</v>
      </c>
      <c r="J154" s="277">
        <v>1.0451534765285271E-2</v>
      </c>
      <c r="K154" s="235"/>
      <c r="L154" s="235"/>
      <c r="M154" s="303">
        <v>3.3877021805825566E-2</v>
      </c>
      <c r="N154" s="302">
        <v>0.13285894646187882</v>
      </c>
      <c r="O154" s="302">
        <v>0.13294196551116277</v>
      </c>
      <c r="P154" s="302">
        <v>0.14443933128799832</v>
      </c>
      <c r="Q154" s="304">
        <v>0.10348602191033111</v>
      </c>
    </row>
    <row r="155" spans="2:17" x14ac:dyDescent="0.35">
      <c r="B155" s="231">
        <v>46003</v>
      </c>
      <c r="C155" s="232" t="s">
        <v>588</v>
      </c>
      <c r="D155" s="236" t="s">
        <v>113</v>
      </c>
      <c r="E155" s="239" t="s">
        <v>933</v>
      </c>
      <c r="F155" s="275">
        <v>0</v>
      </c>
      <c r="G155" s="276">
        <v>0</v>
      </c>
      <c r="H155" s="276">
        <v>0</v>
      </c>
      <c r="I155" s="276">
        <v>0</v>
      </c>
      <c r="J155" s="277">
        <v>0</v>
      </c>
      <c r="K155" s="235"/>
      <c r="L155" s="235"/>
      <c r="M155" s="303">
        <v>0</v>
      </c>
      <c r="N155" s="302">
        <v>0</v>
      </c>
      <c r="O155" s="302">
        <v>0</v>
      </c>
      <c r="P155" s="302">
        <v>0</v>
      </c>
      <c r="Q155" s="304">
        <v>0</v>
      </c>
    </row>
    <row r="156" spans="2:17" x14ac:dyDescent="0.35">
      <c r="B156" s="231">
        <v>46003</v>
      </c>
      <c r="C156" s="232" t="s">
        <v>588</v>
      </c>
      <c r="D156" s="236" t="s">
        <v>115</v>
      </c>
      <c r="E156" s="239" t="s">
        <v>934</v>
      </c>
      <c r="F156" s="275">
        <v>0.41715671112104213</v>
      </c>
      <c r="G156" s="276">
        <v>0.42533301063139428</v>
      </c>
      <c r="H156" s="276">
        <v>0.42123108689329708</v>
      </c>
      <c r="I156" s="276">
        <v>0.42973978242871619</v>
      </c>
      <c r="J156" s="277">
        <v>0.42852326172986355</v>
      </c>
      <c r="K156" s="235"/>
      <c r="L156" s="235"/>
      <c r="M156" s="303">
        <v>0.4216557806490997</v>
      </c>
      <c r="N156" s="302">
        <v>0.39264819646946919</v>
      </c>
      <c r="O156" s="302">
        <v>0.38781759546085964</v>
      </c>
      <c r="P156" s="302">
        <v>0.37551460680777349</v>
      </c>
      <c r="Q156" s="304">
        <v>0.38927011582646903</v>
      </c>
    </row>
    <row r="157" spans="2:17" x14ac:dyDescent="0.35">
      <c r="B157" s="231">
        <v>46003</v>
      </c>
      <c r="C157" s="232" t="s">
        <v>588</v>
      </c>
      <c r="D157" s="236" t="s">
        <v>119</v>
      </c>
      <c r="E157" s="239" t="s">
        <v>935</v>
      </c>
      <c r="F157" s="275">
        <v>0</v>
      </c>
      <c r="G157" s="276">
        <v>0</v>
      </c>
      <c r="H157" s="276">
        <v>0</v>
      </c>
      <c r="I157" s="276">
        <v>0</v>
      </c>
      <c r="J157" s="277">
        <v>0</v>
      </c>
      <c r="K157" s="235"/>
      <c r="L157" s="235"/>
      <c r="M157" s="303">
        <v>0</v>
      </c>
      <c r="N157" s="302">
        <v>0</v>
      </c>
      <c r="O157" s="302">
        <v>0</v>
      </c>
      <c r="P157" s="302">
        <v>0</v>
      </c>
      <c r="Q157" s="304">
        <v>0</v>
      </c>
    </row>
    <row r="158" spans="2:17" x14ac:dyDescent="0.35">
      <c r="B158" s="231">
        <v>46003</v>
      </c>
      <c r="C158" s="232" t="s">
        <v>588</v>
      </c>
      <c r="D158" s="236" t="s">
        <v>117</v>
      </c>
      <c r="E158" s="239" t="s">
        <v>936</v>
      </c>
      <c r="F158" s="275">
        <v>0.40417549529909669</v>
      </c>
      <c r="G158" s="276">
        <v>0.40081466962256557</v>
      </c>
      <c r="H158" s="276">
        <v>0.40680074468359395</v>
      </c>
      <c r="I158" s="276">
        <v>0.40574356552024898</v>
      </c>
      <c r="J158" s="277">
        <v>0.42748780531919661</v>
      </c>
      <c r="K158" s="235"/>
      <c r="L158" s="235"/>
      <c r="M158" s="303">
        <v>0.38806295100777793</v>
      </c>
      <c r="N158" s="302">
        <v>0.36729342020944311</v>
      </c>
      <c r="O158" s="302">
        <v>0.38097792467026187</v>
      </c>
      <c r="P158" s="302">
        <v>0.37186207543615363</v>
      </c>
      <c r="Q158" s="304">
        <v>0.38331550417986315</v>
      </c>
    </row>
    <row r="159" spans="2:17" x14ac:dyDescent="0.35">
      <c r="B159" s="231">
        <v>46003</v>
      </c>
      <c r="C159" s="232" t="s">
        <v>588</v>
      </c>
      <c r="D159" s="236" t="s">
        <v>951</v>
      </c>
      <c r="E159" s="239" t="s">
        <v>953</v>
      </c>
      <c r="F159" s="275">
        <v>3.7759815179715848E-2</v>
      </c>
      <c r="G159" s="276">
        <v>3.8585156770227641E-2</v>
      </c>
      <c r="H159" s="276">
        <v>3.9475131068975065E-2</v>
      </c>
      <c r="I159" s="276">
        <v>4.0402684219826776E-2</v>
      </c>
      <c r="J159" s="277">
        <v>4.141256476500587E-2</v>
      </c>
      <c r="K159" s="235"/>
      <c r="L159" s="235"/>
      <c r="M159" s="306">
        <v>2.3031148022638E-2</v>
      </c>
      <c r="N159" s="301">
        <v>3.1498152776126602E-2</v>
      </c>
      <c r="O159" s="301">
        <v>3.7547229398764655E-2</v>
      </c>
      <c r="P159" s="301">
        <v>4.210952726917578E-2</v>
      </c>
      <c r="Q159" s="305">
        <v>4.5835945896678991E-2</v>
      </c>
    </row>
    <row r="160" spans="2:17" x14ac:dyDescent="0.35">
      <c r="B160" s="231">
        <v>46003</v>
      </c>
      <c r="C160" s="232" t="s">
        <v>581</v>
      </c>
      <c r="D160" s="236" t="s">
        <v>558</v>
      </c>
      <c r="E160" s="239" t="s">
        <v>956</v>
      </c>
      <c r="F160" s="273">
        <v>4105.866938155943</v>
      </c>
      <c r="G160" s="272">
        <v>4146.9160743061357</v>
      </c>
      <c r="H160" s="272">
        <v>4184.3651520157591</v>
      </c>
      <c r="I160" s="272">
        <v>4219.8129955662716</v>
      </c>
      <c r="J160" s="274">
        <v>4267.2587174305627</v>
      </c>
      <c r="K160" s="235"/>
      <c r="L160" s="235"/>
      <c r="M160" s="273">
        <v>4105.9205705770701</v>
      </c>
      <c r="N160" s="272">
        <v>4147.0355778832964</v>
      </c>
      <c r="O160" s="272">
        <v>4184.5631784565558</v>
      </c>
      <c r="P160" s="272">
        <v>4220.5943244715199</v>
      </c>
      <c r="Q160" s="274">
        <v>4267.4892590364179</v>
      </c>
    </row>
    <row r="161" spans="2:17" x14ac:dyDescent="0.35">
      <c r="B161" s="231">
        <v>46003</v>
      </c>
      <c r="C161" s="232" t="s">
        <v>581</v>
      </c>
      <c r="D161" s="236" t="s">
        <v>610</v>
      </c>
      <c r="E161" s="239" t="s">
        <v>957</v>
      </c>
      <c r="F161" s="273">
        <v>252.15085100527125</v>
      </c>
      <c r="G161" s="272">
        <v>258.80246101808171</v>
      </c>
      <c r="H161" s="272">
        <v>260.47752912622798</v>
      </c>
      <c r="I161" s="272">
        <v>263.57419987703724</v>
      </c>
      <c r="J161" s="274">
        <v>280.55295184920163</v>
      </c>
      <c r="K161" s="235"/>
      <c r="L161" s="235"/>
      <c r="M161" s="273">
        <v>252.20448342639864</v>
      </c>
      <c r="N161" s="272">
        <v>258.87066401851143</v>
      </c>
      <c r="O161" s="272">
        <v>260.56129736334049</v>
      </c>
      <c r="P161" s="272">
        <v>264.1662720968485</v>
      </c>
      <c r="Q161" s="274">
        <v>280.03647792471691</v>
      </c>
    </row>
    <row r="162" spans="2:17" x14ac:dyDescent="0.35">
      <c r="B162" s="231">
        <v>46003</v>
      </c>
      <c r="C162" s="232" t="s">
        <v>582</v>
      </c>
      <c r="D162" s="236" t="s">
        <v>558</v>
      </c>
      <c r="E162" s="239" t="s">
        <v>956</v>
      </c>
      <c r="F162" s="273">
        <v>2919.2534814843402</v>
      </c>
      <c r="G162" s="272">
        <v>2966.2235467725691</v>
      </c>
      <c r="H162" s="272">
        <v>3021.2309323177888</v>
      </c>
      <c r="I162" s="272">
        <v>3067.8591556410188</v>
      </c>
      <c r="J162" s="274">
        <v>3098.1340486476784</v>
      </c>
      <c r="K162" s="235"/>
      <c r="L162" s="235"/>
      <c r="M162" s="273">
        <v>2919.2965773815545</v>
      </c>
      <c r="N162" s="272">
        <v>2966.3191969758</v>
      </c>
      <c r="O162" s="272">
        <v>3021.3897641641947</v>
      </c>
      <c r="P162" s="272">
        <v>3068.4844059918241</v>
      </c>
      <c r="Q162" s="274">
        <v>3098.3175871799317</v>
      </c>
    </row>
    <row r="163" spans="2:17" x14ac:dyDescent="0.35">
      <c r="B163" s="231">
        <v>46003</v>
      </c>
      <c r="C163" s="232" t="s">
        <v>582</v>
      </c>
      <c r="D163" s="236" t="s">
        <v>610</v>
      </c>
      <c r="E163" s="239" t="s">
        <v>957</v>
      </c>
      <c r="F163" s="273">
        <v>156.43831753363264</v>
      </c>
      <c r="G163" s="272">
        <v>201.3698455250543</v>
      </c>
      <c r="H163" s="272">
        <v>213.94778384152372</v>
      </c>
      <c r="I163" s="272">
        <v>210.46154632511482</v>
      </c>
      <c r="J163" s="274">
        <v>198.64285233530424</v>
      </c>
      <c r="K163" s="235"/>
      <c r="L163" s="235"/>
      <c r="M163" s="273">
        <v>156.48141343084666</v>
      </c>
      <c r="N163" s="272">
        <v>201.42427356573228</v>
      </c>
      <c r="O163" s="272">
        <v>214.01516401736353</v>
      </c>
      <c r="P163" s="272">
        <v>210.93499870901448</v>
      </c>
      <c r="Q163" s="274">
        <v>198.22859995486283</v>
      </c>
    </row>
    <row r="164" spans="2:17" x14ac:dyDescent="0.35">
      <c r="B164" s="231">
        <v>46003</v>
      </c>
      <c r="C164" s="232" t="s">
        <v>583</v>
      </c>
      <c r="D164" s="236" t="s">
        <v>558</v>
      </c>
      <c r="E164" s="239" t="s">
        <v>956</v>
      </c>
      <c r="F164" s="273">
        <v>2924.2464094945021</v>
      </c>
      <c r="G164" s="272">
        <v>2942.3621612507809</v>
      </c>
      <c r="H164" s="272">
        <v>2958.9424222253729</v>
      </c>
      <c r="I164" s="272">
        <v>2966.6099527612146</v>
      </c>
      <c r="J164" s="274">
        <v>2987.4984869669024</v>
      </c>
      <c r="K164" s="235"/>
      <c r="L164" s="235"/>
      <c r="M164" s="273">
        <v>2924.283963190534</v>
      </c>
      <c r="N164" s="272">
        <v>2942.4456434039002</v>
      </c>
      <c r="O164" s="272">
        <v>2959.0798611732589</v>
      </c>
      <c r="P164" s="272">
        <v>2967.1494251880381</v>
      </c>
      <c r="Q164" s="274">
        <v>2987.6584567755544</v>
      </c>
    </row>
    <row r="165" spans="2:17" x14ac:dyDescent="0.35">
      <c r="B165" s="231">
        <v>46003</v>
      </c>
      <c r="C165" s="232" t="s">
        <v>583</v>
      </c>
      <c r="D165" s="236" t="s">
        <v>610</v>
      </c>
      <c r="E165" s="239" t="s">
        <v>957</v>
      </c>
      <c r="F165" s="273">
        <v>208.75179598347461</v>
      </c>
      <c r="G165" s="272">
        <v>173.16341690635338</v>
      </c>
      <c r="H165" s="272">
        <v>174.90073596573512</v>
      </c>
      <c r="I165" s="272">
        <v>169.16904333014708</v>
      </c>
      <c r="J165" s="274">
        <v>185.15289455719633</v>
      </c>
      <c r="K165" s="235"/>
      <c r="L165" s="235"/>
      <c r="M165" s="273">
        <v>208.78934967950448</v>
      </c>
      <c r="N165" s="272">
        <v>173.21097813283345</v>
      </c>
      <c r="O165" s="272">
        <v>174.95835712554276</v>
      </c>
      <c r="P165" s="272">
        <v>169.57716420530232</v>
      </c>
      <c r="Q165" s="274">
        <v>184.79708581186097</v>
      </c>
    </row>
    <row r="166" spans="2:17" x14ac:dyDescent="0.35">
      <c r="B166" s="231">
        <v>46003</v>
      </c>
      <c r="C166" s="232" t="s">
        <v>584</v>
      </c>
      <c r="D166" s="236" t="s">
        <v>558</v>
      </c>
      <c r="E166" s="239" t="s">
        <v>956</v>
      </c>
      <c r="F166" s="273">
        <v>2197.4618585310886</v>
      </c>
      <c r="G166" s="272">
        <v>2207.7825574518852</v>
      </c>
      <c r="H166" s="272">
        <v>2216.6011390368762</v>
      </c>
      <c r="I166" s="272">
        <v>2224.3807493887366</v>
      </c>
      <c r="J166" s="274">
        <v>2235.4267368552055</v>
      </c>
      <c r="K166" s="235"/>
      <c r="L166" s="235"/>
      <c r="M166" s="273">
        <v>2197.4908438271286</v>
      </c>
      <c r="N166" s="272">
        <v>2207.8465005398593</v>
      </c>
      <c r="O166" s="272">
        <v>2216.7069789937514</v>
      </c>
      <c r="P166" s="272">
        <v>2224.801240258198</v>
      </c>
      <c r="Q166" s="274">
        <v>2235.5478591841679</v>
      </c>
    </row>
    <row r="167" spans="2:17" x14ac:dyDescent="0.35">
      <c r="B167" s="231">
        <v>46003</v>
      </c>
      <c r="C167" s="232" t="s">
        <v>584</v>
      </c>
      <c r="D167" s="236" t="s">
        <v>610</v>
      </c>
      <c r="E167" s="239" t="s">
        <v>957</v>
      </c>
      <c r="F167" s="273">
        <v>136.75542509722698</v>
      </c>
      <c r="G167" s="272">
        <v>126.9050048344772</v>
      </c>
      <c r="H167" s="272">
        <v>127.71292774701742</v>
      </c>
      <c r="I167" s="272">
        <v>128.89651031414613</v>
      </c>
      <c r="J167" s="274">
        <v>134.31350720753906</v>
      </c>
      <c r="K167" s="235"/>
      <c r="L167" s="235"/>
      <c r="M167" s="273">
        <v>136.78441039326648</v>
      </c>
      <c r="N167" s="272">
        <v>126.94122285667358</v>
      </c>
      <c r="O167" s="272">
        <v>127.75763153768159</v>
      </c>
      <c r="P167" s="272">
        <v>129.21584879319229</v>
      </c>
      <c r="Q167" s="274">
        <v>134.03260432475432</v>
      </c>
    </row>
    <row r="168" spans="2:17" x14ac:dyDescent="0.35">
      <c r="B168" s="231">
        <v>46003</v>
      </c>
      <c r="C168" s="232" t="s">
        <v>585</v>
      </c>
      <c r="D168" s="236" t="s">
        <v>558</v>
      </c>
      <c r="E168" s="239" t="s">
        <v>956</v>
      </c>
      <c r="F168" s="273">
        <v>2818.179052568325</v>
      </c>
      <c r="G168" s="272">
        <v>2853.9942572263603</v>
      </c>
      <c r="H168" s="272">
        <v>2888.1330333809187</v>
      </c>
      <c r="I168" s="272">
        <v>2919.1966747156703</v>
      </c>
      <c r="J168" s="274">
        <v>2954.2581469628535</v>
      </c>
      <c r="K168" s="235"/>
      <c r="L168" s="235"/>
      <c r="M168" s="273">
        <v>2818.2208317092673</v>
      </c>
      <c r="N168" s="272">
        <v>2854.0882016427677</v>
      </c>
      <c r="O168" s="272">
        <v>2888.2871324784687</v>
      </c>
      <c r="P168" s="272">
        <v>2919.8072463273156</v>
      </c>
      <c r="Q168" s="274">
        <v>2954.4328990762756</v>
      </c>
    </row>
    <row r="169" spans="2:17" x14ac:dyDescent="0.35">
      <c r="B169" s="231">
        <v>46003</v>
      </c>
      <c r="C169" s="232" t="s">
        <v>585</v>
      </c>
      <c r="D169" s="236" t="s">
        <v>610</v>
      </c>
      <c r="E169" s="239" t="s">
        <v>957</v>
      </c>
      <c r="F169" s="273">
        <v>186.18763832266416</v>
      </c>
      <c r="G169" s="272">
        <v>184.20370969499487</v>
      </c>
      <c r="H169" s="272">
        <v>186.47432762173884</v>
      </c>
      <c r="I169" s="272">
        <v>187.26698715196807</v>
      </c>
      <c r="J169" s="274">
        <v>194.98690743978642</v>
      </c>
      <c r="K169" s="235"/>
      <c r="L169" s="235"/>
      <c r="M169" s="273">
        <v>186.2294174636049</v>
      </c>
      <c r="N169" s="272">
        <v>184.25769145484861</v>
      </c>
      <c r="O169" s="272">
        <v>186.53860545398751</v>
      </c>
      <c r="P169" s="272">
        <v>187.73028498291825</v>
      </c>
      <c r="Q169" s="274">
        <v>194.57790201557762</v>
      </c>
    </row>
    <row r="170" spans="2:17" x14ac:dyDescent="0.35">
      <c r="B170" s="231">
        <v>46003</v>
      </c>
      <c r="C170" s="232" t="s">
        <v>586</v>
      </c>
      <c r="D170" s="236" t="s">
        <v>558</v>
      </c>
      <c r="E170" s="239" t="s">
        <v>956</v>
      </c>
      <c r="F170" s="273">
        <v>2192.7142505943229</v>
      </c>
      <c r="G170" s="272">
        <v>2214.6413199041344</v>
      </c>
      <c r="H170" s="272">
        <v>2251.121896437211</v>
      </c>
      <c r="I170" s="272">
        <v>2282.7110118649143</v>
      </c>
      <c r="J170" s="274">
        <v>2321.3964247753534</v>
      </c>
      <c r="K170" s="235"/>
      <c r="L170" s="235"/>
      <c r="M170" s="273">
        <v>2192.7447700106682</v>
      </c>
      <c r="N170" s="272">
        <v>2214.711822994399</v>
      </c>
      <c r="O170" s="272">
        <v>2251.2395822747467</v>
      </c>
      <c r="P170" s="272">
        <v>2283.1835886408285</v>
      </c>
      <c r="Q170" s="274">
        <v>2321.5363073040198</v>
      </c>
    </row>
    <row r="171" spans="2:17" x14ac:dyDescent="0.35">
      <c r="B171" s="231">
        <v>46003</v>
      </c>
      <c r="C171" s="232" t="s">
        <v>586</v>
      </c>
      <c r="D171" s="236" t="s">
        <v>610</v>
      </c>
      <c r="E171" s="239" t="s">
        <v>957</v>
      </c>
      <c r="F171" s="273">
        <v>127.77378895319519</v>
      </c>
      <c r="G171" s="272">
        <v>139.20952659082826</v>
      </c>
      <c r="H171" s="272">
        <v>156.5726029072313</v>
      </c>
      <c r="I171" s="272">
        <v>155.1111252985198</v>
      </c>
      <c r="J171" s="274">
        <v>165.42258589598572</v>
      </c>
      <c r="K171" s="235"/>
      <c r="L171" s="235"/>
      <c r="M171" s="273">
        <v>127.80430836953926</v>
      </c>
      <c r="N171" s="272">
        <v>139.25083719589287</v>
      </c>
      <c r="O171" s="272">
        <v>156.62287921155232</v>
      </c>
      <c r="P171" s="272">
        <v>155.47122631923617</v>
      </c>
      <c r="Q171" s="274">
        <v>165.11064032006806</v>
      </c>
    </row>
    <row r="172" spans="2:17" x14ac:dyDescent="0.35">
      <c r="B172" s="231">
        <v>46003</v>
      </c>
      <c r="C172" s="232" t="s">
        <v>587</v>
      </c>
      <c r="D172" s="236" t="s">
        <v>558</v>
      </c>
      <c r="E172" s="239" t="s">
        <v>956</v>
      </c>
      <c r="F172" s="273">
        <v>4850.1522139546514</v>
      </c>
      <c r="G172" s="272">
        <v>4864.6917307954291</v>
      </c>
      <c r="H172" s="272">
        <v>4892.1083546832269</v>
      </c>
      <c r="I172" s="272">
        <v>4998.1120036874208</v>
      </c>
      <c r="J172" s="274">
        <v>5085.681346978693</v>
      </c>
      <c r="K172" s="235"/>
      <c r="L172" s="235"/>
      <c r="M172" s="273">
        <v>4850.2148951211439</v>
      </c>
      <c r="N172" s="272">
        <v>4864.8337033664202</v>
      </c>
      <c r="O172" s="272">
        <v>4892.3457968681396</v>
      </c>
      <c r="P172" s="272">
        <v>4999.0712978729862</v>
      </c>
      <c r="Q172" s="274">
        <v>5085.9588459662027</v>
      </c>
    </row>
    <row r="173" spans="2:17" x14ac:dyDescent="0.35">
      <c r="B173" s="231">
        <v>46003</v>
      </c>
      <c r="C173" s="232" t="s">
        <v>587</v>
      </c>
      <c r="D173" s="236" t="s">
        <v>610</v>
      </c>
      <c r="E173" s="239" t="s">
        <v>957</v>
      </c>
      <c r="F173" s="273">
        <v>267.03189554884807</v>
      </c>
      <c r="G173" s="272">
        <v>272.16768035523609</v>
      </c>
      <c r="H173" s="272">
        <v>289.78962424391585</v>
      </c>
      <c r="I173" s="272">
        <v>373.62469373302037</v>
      </c>
      <c r="J173" s="274">
        <v>363.80344543895689</v>
      </c>
      <c r="K173" s="235"/>
      <c r="L173" s="235"/>
      <c r="M173" s="273">
        <v>267.09457671534074</v>
      </c>
      <c r="N173" s="272">
        <v>272.24969702784387</v>
      </c>
      <c r="O173" s="272">
        <v>289.89132450671849</v>
      </c>
      <c r="P173" s="272">
        <v>374.35705832843729</v>
      </c>
      <c r="Q173" s="274">
        <v>363.16376670879754</v>
      </c>
    </row>
    <row r="174" spans="2:17" x14ac:dyDescent="0.35">
      <c r="B174" s="231">
        <v>46003</v>
      </c>
      <c r="C174" s="232" t="s">
        <v>588</v>
      </c>
      <c r="D174" s="236" t="s">
        <v>558</v>
      </c>
      <c r="E174" s="239" t="s">
        <v>956</v>
      </c>
      <c r="F174" s="273">
        <v>2786.9655785329933</v>
      </c>
      <c r="G174" s="272">
        <v>2817.6263964850641</v>
      </c>
      <c r="H174" s="272">
        <v>2877.9840394400221</v>
      </c>
      <c r="I174" s="272">
        <v>2914.3331419073052</v>
      </c>
      <c r="J174" s="274">
        <v>2966.9142972289537</v>
      </c>
      <c r="K174" s="235"/>
      <c r="L174" s="235"/>
      <c r="M174" s="273">
        <v>2787.0047126155837</v>
      </c>
      <c r="N174" s="272">
        <v>2817.7121460359358</v>
      </c>
      <c r="O174" s="272">
        <v>2878.1240533499918</v>
      </c>
      <c r="P174" s="272">
        <v>2914.8975366290911</v>
      </c>
      <c r="Q174" s="274">
        <v>2967.0697551892017</v>
      </c>
    </row>
    <row r="175" spans="2:17" x14ac:dyDescent="0.35">
      <c r="B175" s="231">
        <v>46003</v>
      </c>
      <c r="C175" s="232" t="s">
        <v>588</v>
      </c>
      <c r="D175" s="236" t="s">
        <v>610</v>
      </c>
      <c r="E175" s="239" t="s">
        <v>957</v>
      </c>
      <c r="F175" s="273">
        <v>162.39853684260763</v>
      </c>
      <c r="G175" s="272">
        <v>179.2498049862414</v>
      </c>
      <c r="H175" s="272">
        <v>212.64338534187061</v>
      </c>
      <c r="I175" s="272">
        <v>193.61030678763061</v>
      </c>
      <c r="J175" s="274">
        <v>213.78484387467441</v>
      </c>
      <c r="K175" s="235"/>
      <c r="L175" s="235"/>
      <c r="M175" s="273">
        <v>162.43767092519877</v>
      </c>
      <c r="N175" s="272">
        <v>179.29812193637505</v>
      </c>
      <c r="O175" s="272">
        <v>212.70141410907479</v>
      </c>
      <c r="P175" s="272">
        <v>194.04089050367992</v>
      </c>
      <c r="Q175" s="274">
        <v>213.40069048830978</v>
      </c>
    </row>
    <row r="176" spans="2:17" x14ac:dyDescent="0.35">
      <c r="B176" s="231">
        <v>46003</v>
      </c>
      <c r="C176" s="232" t="s">
        <v>586</v>
      </c>
      <c r="D176" s="236" t="s">
        <v>28</v>
      </c>
      <c r="E176" s="239" t="s">
        <v>924</v>
      </c>
      <c r="F176" s="273">
        <v>4.0337802609497366</v>
      </c>
      <c r="G176" s="272">
        <v>3.7979823603130307</v>
      </c>
      <c r="H176" s="272">
        <v>3.5535862495777479</v>
      </c>
      <c r="I176" s="272">
        <v>3.3830053396074677</v>
      </c>
      <c r="J176" s="274">
        <v>3.4755256773563405</v>
      </c>
      <c r="K176" s="235"/>
      <c r="L176" s="235"/>
      <c r="M176" s="273">
        <v>3.229270562628169</v>
      </c>
      <c r="N176" s="272">
        <v>3.1227167895151688</v>
      </c>
      <c r="O176" s="272">
        <v>3.0008715144111839</v>
      </c>
      <c r="P176" s="272">
        <v>3.0016947270797867</v>
      </c>
      <c r="Q176" s="274">
        <v>3.0106945322464527</v>
      </c>
    </row>
    <row r="177" spans="2:17" x14ac:dyDescent="0.35">
      <c r="B177" s="231">
        <v>46003</v>
      </c>
      <c r="C177" s="232" t="s">
        <v>586</v>
      </c>
      <c r="D177" s="236" t="s">
        <v>33</v>
      </c>
      <c r="E177" s="239" t="s">
        <v>926</v>
      </c>
      <c r="F177" s="273">
        <v>55.653524054541855</v>
      </c>
      <c r="G177" s="272">
        <v>60.409587402900854</v>
      </c>
      <c r="H177" s="272">
        <v>61.526047559356549</v>
      </c>
      <c r="I177" s="272">
        <v>62.75656851054368</v>
      </c>
      <c r="J177" s="274">
        <v>64.011699880754549</v>
      </c>
      <c r="K177" s="235"/>
      <c r="L177" s="235"/>
      <c r="M177" s="273">
        <v>48.552515999999997</v>
      </c>
      <c r="N177" s="272">
        <v>49.466875999999999</v>
      </c>
      <c r="O177" s="272">
        <v>50.472672000000003</v>
      </c>
      <c r="P177" s="272">
        <v>51.536089846633168</v>
      </c>
      <c r="Q177" s="274">
        <v>52.63466487913896</v>
      </c>
    </row>
    <row r="178" spans="2:17" x14ac:dyDescent="0.35">
      <c r="B178" s="231">
        <v>46003</v>
      </c>
      <c r="C178" s="232" t="s">
        <v>586</v>
      </c>
      <c r="D178" s="236" t="s">
        <v>596</v>
      </c>
      <c r="E178" s="239" t="s">
        <v>952</v>
      </c>
      <c r="F178" s="273">
        <v>0.88937995999999997</v>
      </c>
      <c r="G178" s="272">
        <v>0.88170559000000004</v>
      </c>
      <c r="H178" s="272">
        <v>0.89915988999999996</v>
      </c>
      <c r="I178" s="272">
        <v>0.90930988000000001</v>
      </c>
      <c r="J178" s="274">
        <v>0.92749607759999997</v>
      </c>
      <c r="K178" s="235"/>
      <c r="L178" s="235"/>
      <c r="M178" s="273">
        <v>0</v>
      </c>
      <c r="N178" s="272">
        <v>0</v>
      </c>
      <c r="O178" s="272">
        <v>0</v>
      </c>
      <c r="P178" s="272">
        <v>0</v>
      </c>
      <c r="Q178" s="274">
        <v>0</v>
      </c>
    </row>
    <row r="179" spans="2:17" x14ac:dyDescent="0.35">
      <c r="B179" s="231">
        <v>46003</v>
      </c>
      <c r="C179" s="232" t="s">
        <v>586</v>
      </c>
      <c r="D179" s="236" t="s">
        <v>47</v>
      </c>
      <c r="E179" s="239" t="s">
        <v>958</v>
      </c>
      <c r="F179" s="273">
        <v>0</v>
      </c>
      <c r="G179" s="272">
        <v>0</v>
      </c>
      <c r="H179" s="272">
        <v>0</v>
      </c>
      <c r="I179" s="272">
        <v>0</v>
      </c>
      <c r="J179" s="274">
        <v>0</v>
      </c>
      <c r="K179" s="235"/>
      <c r="L179" s="235"/>
      <c r="M179" s="273">
        <v>0.88937995999999997</v>
      </c>
      <c r="N179" s="272">
        <v>0.88170559000000004</v>
      </c>
      <c r="O179" s="272">
        <v>0.89915988999999996</v>
      </c>
      <c r="P179" s="272">
        <v>0.90930988000000001</v>
      </c>
      <c r="Q179" s="274">
        <v>0.92749607759999997</v>
      </c>
    </row>
    <row r="180" spans="2:17" x14ac:dyDescent="0.35">
      <c r="B180" s="231">
        <v>46003</v>
      </c>
      <c r="C180" s="232" t="s">
        <v>586</v>
      </c>
      <c r="D180" s="236" t="s">
        <v>108</v>
      </c>
      <c r="E180" s="239" t="s">
        <v>931</v>
      </c>
      <c r="F180" s="311">
        <v>0.1125</v>
      </c>
      <c r="G180" s="312">
        <v>0.1168</v>
      </c>
      <c r="H180" s="312">
        <v>0.1062</v>
      </c>
      <c r="I180" s="312">
        <v>8.3299999999999999E-2</v>
      </c>
      <c r="J180" s="313">
        <v>8.14E-2</v>
      </c>
      <c r="K180" s="235"/>
      <c r="L180" s="235"/>
      <c r="M180" s="311">
        <v>8.1561323845346964E-2</v>
      </c>
      <c r="N180" s="312">
        <v>8.7089942158051284E-2</v>
      </c>
      <c r="O180" s="312">
        <v>7.5902892928816718E-2</v>
      </c>
      <c r="P180" s="312">
        <v>6.1819489363919441E-2</v>
      </c>
      <c r="Q180" s="313">
        <v>6.2364469171817052E-2</v>
      </c>
    </row>
    <row r="181" spans="2:17" x14ac:dyDescent="0.35">
      <c r="B181" s="231">
        <v>46003</v>
      </c>
      <c r="C181" s="232" t="s">
        <v>586</v>
      </c>
      <c r="D181" s="236" t="s">
        <v>111</v>
      </c>
      <c r="E181" s="239" t="s">
        <v>932</v>
      </c>
      <c r="F181" s="311">
        <v>0.1479</v>
      </c>
      <c r="G181" s="312">
        <v>0.1588</v>
      </c>
      <c r="H181" s="312">
        <v>0.18</v>
      </c>
      <c r="I181" s="312">
        <v>0.15060000000000001</v>
      </c>
      <c r="J181" s="313">
        <v>0.12770000000000001</v>
      </c>
      <c r="K181" s="235"/>
      <c r="L181" s="235"/>
      <c r="M181" s="311">
        <v>0.13333945479379639</v>
      </c>
      <c r="N181" s="312">
        <v>0.1451889645796422</v>
      </c>
      <c r="O181" s="312">
        <v>0.16448943406379332</v>
      </c>
      <c r="P181" s="312">
        <v>0.14070885065760691</v>
      </c>
      <c r="Q181" s="313">
        <v>0.12033246756929508</v>
      </c>
    </row>
    <row r="182" spans="2:17" x14ac:dyDescent="0.35">
      <c r="B182" s="231">
        <v>46003</v>
      </c>
      <c r="C182" s="232" t="s">
        <v>586</v>
      </c>
      <c r="D182" s="236" t="s">
        <v>113</v>
      </c>
      <c r="E182" s="239" t="s">
        <v>933</v>
      </c>
      <c r="F182" s="311">
        <v>2.7000000000000001E-3</v>
      </c>
      <c r="G182" s="312">
        <v>2.3999999999999998E-3</v>
      </c>
      <c r="H182" s="312">
        <v>2.5999999999999999E-3</v>
      </c>
      <c r="I182" s="312">
        <v>2.8999999999999998E-3</v>
      </c>
      <c r="J182" s="313">
        <v>2.8E-3</v>
      </c>
      <c r="K182" s="235"/>
      <c r="L182" s="235"/>
      <c r="M182" s="311">
        <v>1.9566713603510213E-3</v>
      </c>
      <c r="N182" s="312">
        <v>1.7995172739703102E-3</v>
      </c>
      <c r="O182" s="312">
        <v>1.8407843966143527E-3</v>
      </c>
      <c r="P182" s="312">
        <v>2.0750456018522705E-3</v>
      </c>
      <c r="Q182" s="313">
        <v>2.0576989492834424E-3</v>
      </c>
    </row>
    <row r="183" spans="2:17" x14ac:dyDescent="0.35">
      <c r="B183" s="231">
        <v>46003</v>
      </c>
      <c r="C183" s="232" t="s">
        <v>586</v>
      </c>
      <c r="D183" s="236" t="s">
        <v>115</v>
      </c>
      <c r="E183" s="239" t="s">
        <v>934</v>
      </c>
      <c r="F183" s="311">
        <v>0.3241</v>
      </c>
      <c r="G183" s="312">
        <v>0.31819999999999998</v>
      </c>
      <c r="H183" s="312">
        <v>0.30059999999999998</v>
      </c>
      <c r="I183" s="312">
        <v>0.31940000000000002</v>
      </c>
      <c r="J183" s="313">
        <v>0.33529999999999999</v>
      </c>
      <c r="K183" s="235"/>
      <c r="L183" s="235"/>
      <c r="M183" s="311">
        <v>0.34534530932312468</v>
      </c>
      <c r="N183" s="312">
        <v>0.35172599517235781</v>
      </c>
      <c r="O183" s="312">
        <v>0.34065046551220723</v>
      </c>
      <c r="P183" s="312">
        <v>0.34337430315509987</v>
      </c>
      <c r="Q183" s="313">
        <v>0.34916832967707528</v>
      </c>
    </row>
    <row r="184" spans="2:17" x14ac:dyDescent="0.35">
      <c r="B184" s="231">
        <v>46003</v>
      </c>
      <c r="C184" s="232" t="s">
        <v>586</v>
      </c>
      <c r="D184" s="236" t="s">
        <v>119</v>
      </c>
      <c r="E184" s="239" t="s">
        <v>935</v>
      </c>
      <c r="F184" s="311">
        <v>7.0000000000000001E-3</v>
      </c>
      <c r="G184" s="312">
        <v>6.1000000000000004E-3</v>
      </c>
      <c r="H184" s="312">
        <v>8.6999999999999994E-3</v>
      </c>
      <c r="I184" s="312">
        <v>6.3E-3</v>
      </c>
      <c r="J184" s="313">
        <v>5.4000000000000003E-3</v>
      </c>
      <c r="K184" s="235"/>
      <c r="L184" s="235"/>
      <c r="M184" s="311">
        <v>5.6027900865573861E-3</v>
      </c>
      <c r="N184" s="312">
        <v>5.0010266472562291E-3</v>
      </c>
      <c r="O184" s="312">
        <v>6.9576753718335067E-3</v>
      </c>
      <c r="P184" s="312">
        <v>5.3157505082448734E-3</v>
      </c>
      <c r="Q184" s="313">
        <v>4.972693850937333E-3</v>
      </c>
    </row>
    <row r="185" spans="2:17" x14ac:dyDescent="0.35">
      <c r="B185" s="231">
        <v>46003</v>
      </c>
      <c r="C185" s="232" t="s">
        <v>586</v>
      </c>
      <c r="D185" s="236" t="s">
        <v>117</v>
      </c>
      <c r="E185" s="239" t="s">
        <v>936</v>
      </c>
      <c r="F185" s="311">
        <v>0.40579999999999999</v>
      </c>
      <c r="G185" s="312">
        <v>0.3977</v>
      </c>
      <c r="H185" s="312">
        <v>0.40189999999999998</v>
      </c>
      <c r="I185" s="312">
        <v>0.4375</v>
      </c>
      <c r="J185" s="313">
        <v>0.44740000000000002</v>
      </c>
      <c r="K185" s="235"/>
      <c r="L185" s="235"/>
      <c r="M185" s="311">
        <v>0.43219445059082356</v>
      </c>
      <c r="N185" s="312">
        <v>0.4091945541687223</v>
      </c>
      <c r="O185" s="312">
        <v>0.41015874772673477</v>
      </c>
      <c r="P185" s="312">
        <v>0.44670656071327663</v>
      </c>
      <c r="Q185" s="313">
        <v>0.4611043407815919</v>
      </c>
    </row>
    <row r="186" spans="2:17" x14ac:dyDescent="0.35">
      <c r="B186" s="231">
        <v>46003</v>
      </c>
      <c r="C186" s="232" t="s">
        <v>587</v>
      </c>
      <c r="D186" s="236" t="s">
        <v>28</v>
      </c>
      <c r="E186" s="239" t="s">
        <v>924</v>
      </c>
      <c r="F186" s="273">
        <v>10.590590098975333</v>
      </c>
      <c r="G186" s="272">
        <v>9.9715085550405895</v>
      </c>
      <c r="H186" s="272">
        <v>9.3298526235963308</v>
      </c>
      <c r="I186" s="272">
        <v>8.8819966722708834</v>
      </c>
      <c r="J186" s="274">
        <v>9.1249065259391067</v>
      </c>
      <c r="K186" s="235"/>
      <c r="L186" s="235"/>
      <c r="M186" s="273">
        <v>8.5903207896635969</v>
      </c>
      <c r="N186" s="272">
        <v>8.3068725388472409</v>
      </c>
      <c r="O186" s="272">
        <v>7.9827467093298203</v>
      </c>
      <c r="P186" s="272">
        <v>7.9849365725711516</v>
      </c>
      <c r="Q186" s="274">
        <v>8.0088773393563351</v>
      </c>
    </row>
    <row r="187" spans="2:17" x14ac:dyDescent="0.35">
      <c r="B187" s="231">
        <v>46003</v>
      </c>
      <c r="C187" s="232" t="s">
        <v>587</v>
      </c>
      <c r="D187" s="236" t="s">
        <v>33</v>
      </c>
      <c r="E187" s="239" t="s">
        <v>926</v>
      </c>
      <c r="F187" s="273">
        <v>107.50957185600001</v>
      </c>
      <c r="G187" s="272">
        <v>116.17872</v>
      </c>
      <c r="H187" s="272">
        <v>118.22412</v>
      </c>
      <c r="I187" s="272">
        <v>120.5886024</v>
      </c>
      <c r="J187" s="274">
        <v>123.000374448</v>
      </c>
      <c r="K187" s="235"/>
      <c r="L187" s="235"/>
      <c r="M187" s="273">
        <v>91.652145000000004</v>
      </c>
      <c r="N187" s="272">
        <v>105.80853</v>
      </c>
      <c r="O187" s="272">
        <v>107.84723</v>
      </c>
      <c r="P187" s="272">
        <v>110.11948277655107</v>
      </c>
      <c r="Q187" s="274">
        <v>112.46685749455509</v>
      </c>
    </row>
    <row r="188" spans="2:17" x14ac:dyDescent="0.35">
      <c r="B188" s="231">
        <v>46003</v>
      </c>
      <c r="C188" s="232" t="s">
        <v>587</v>
      </c>
      <c r="D188" s="236" t="s">
        <v>108</v>
      </c>
      <c r="E188" s="239" t="s">
        <v>931</v>
      </c>
      <c r="F188" s="311">
        <v>7.0900000000000005E-2</v>
      </c>
      <c r="G188" s="312">
        <v>7.6799999999999993E-2</v>
      </c>
      <c r="H188" s="312">
        <v>6.6400000000000001E-2</v>
      </c>
      <c r="I188" s="312">
        <v>4.9099999999999998E-2</v>
      </c>
      <c r="J188" s="313">
        <v>3.7499999999999999E-2</v>
      </c>
      <c r="K188" s="235"/>
      <c r="L188" s="235"/>
      <c r="M188" s="311">
        <v>6.5971044883653004E-2</v>
      </c>
      <c r="N188" s="312">
        <v>7.373759028195602E-2</v>
      </c>
      <c r="O188" s="312">
        <v>6.0564676840093805E-2</v>
      </c>
      <c r="P188" s="312">
        <v>4.5996700014815525E-2</v>
      </c>
      <c r="Q188" s="313">
        <v>3.530946787495106E-2</v>
      </c>
    </row>
    <row r="189" spans="2:17" x14ac:dyDescent="0.35">
      <c r="B189" s="231">
        <v>46003</v>
      </c>
      <c r="C189" s="232" t="s">
        <v>587</v>
      </c>
      <c r="D189" s="236" t="s">
        <v>111</v>
      </c>
      <c r="E189" s="239" t="s">
        <v>932</v>
      </c>
      <c r="F189" s="311">
        <v>0.1055</v>
      </c>
      <c r="G189" s="312">
        <v>0.1028</v>
      </c>
      <c r="H189" s="312">
        <v>0.1129</v>
      </c>
      <c r="I189" s="312">
        <v>0.10349999999999999</v>
      </c>
      <c r="J189" s="313">
        <v>9.8400000000000001E-2</v>
      </c>
      <c r="K189" s="235"/>
      <c r="L189" s="235"/>
      <c r="M189" s="311">
        <v>9.223027859596418E-2</v>
      </c>
      <c r="N189" s="312">
        <v>9.1273010423806714E-2</v>
      </c>
      <c r="O189" s="312">
        <v>9.6758630950349284E-2</v>
      </c>
      <c r="P189" s="312">
        <v>8.7962192124004385E-2</v>
      </c>
      <c r="Q189" s="313">
        <v>8.3576039128156546E-2</v>
      </c>
    </row>
    <row r="190" spans="2:17" x14ac:dyDescent="0.35">
      <c r="B190" s="231">
        <v>46003</v>
      </c>
      <c r="C190" s="232" t="s">
        <v>587</v>
      </c>
      <c r="D190" s="236" t="s">
        <v>113</v>
      </c>
      <c r="E190" s="239" t="s">
        <v>933</v>
      </c>
      <c r="F190" s="311">
        <v>1.8800000000000001E-2</v>
      </c>
      <c r="G190" s="312">
        <v>5.1999999999999998E-3</v>
      </c>
      <c r="H190" s="312">
        <v>1.04E-2</v>
      </c>
      <c r="I190" s="312">
        <v>1.6000000000000001E-3</v>
      </c>
      <c r="J190" s="313">
        <v>2.0999999999999999E-3</v>
      </c>
      <c r="K190" s="235"/>
      <c r="L190" s="235"/>
      <c r="M190" s="311">
        <v>1.9898527122284269E-2</v>
      </c>
      <c r="N190" s="312">
        <v>6.5422488754844944E-3</v>
      </c>
      <c r="O190" s="312">
        <v>1.1674563820117631E-2</v>
      </c>
      <c r="P190" s="312">
        <v>2.8605594631199915E-3</v>
      </c>
      <c r="Q190" s="313">
        <v>3.4114376440753371E-3</v>
      </c>
    </row>
    <row r="191" spans="2:17" x14ac:dyDescent="0.35">
      <c r="B191" s="231">
        <v>46003</v>
      </c>
      <c r="C191" s="232" t="s">
        <v>587</v>
      </c>
      <c r="D191" s="236" t="s">
        <v>115</v>
      </c>
      <c r="E191" s="239" t="s">
        <v>934</v>
      </c>
      <c r="F191" s="311">
        <v>0.48320000000000002</v>
      </c>
      <c r="G191" s="312">
        <v>0.49419999999999997</v>
      </c>
      <c r="H191" s="312">
        <v>0.48809999999999998</v>
      </c>
      <c r="I191" s="312">
        <v>0.51060000000000005</v>
      </c>
      <c r="J191" s="313">
        <v>0.52759999999999996</v>
      </c>
      <c r="K191" s="235"/>
      <c r="L191" s="235"/>
      <c r="M191" s="311">
        <v>0.47629393138785359</v>
      </c>
      <c r="N191" s="312">
        <v>0.4962643630973767</v>
      </c>
      <c r="O191" s="312">
        <v>0.49723403198653371</v>
      </c>
      <c r="P191" s="312">
        <v>0.51163286604426939</v>
      </c>
      <c r="Q191" s="313">
        <v>0.52510311067593796</v>
      </c>
    </row>
    <row r="192" spans="2:17" x14ac:dyDescent="0.35">
      <c r="B192" s="231">
        <v>46003</v>
      </c>
      <c r="C192" s="232" t="s">
        <v>587</v>
      </c>
      <c r="D192" s="236" t="s">
        <v>119</v>
      </c>
      <c r="E192" s="239" t="s">
        <v>935</v>
      </c>
      <c r="F192" s="311">
        <v>9.7999999999999997E-3</v>
      </c>
      <c r="G192" s="312">
        <v>2.8999999999999998E-3</v>
      </c>
      <c r="H192" s="312">
        <v>5.5999999999999999E-3</v>
      </c>
      <c r="I192" s="312">
        <v>8.9999999999999998E-4</v>
      </c>
      <c r="J192" s="313">
        <v>1.1000000000000001E-3</v>
      </c>
      <c r="K192" s="235"/>
      <c r="L192" s="235"/>
      <c r="M192" s="311">
        <v>1.0214890641998351E-2</v>
      </c>
      <c r="N192" s="312">
        <v>3.4878762428571762E-3</v>
      </c>
      <c r="O192" s="312">
        <v>6.0615540199565722E-3</v>
      </c>
      <c r="P192" s="312">
        <v>1.4917772240643039E-3</v>
      </c>
      <c r="Q192" s="313">
        <v>1.7536180170698334E-3</v>
      </c>
    </row>
    <row r="193" spans="2:17" x14ac:dyDescent="0.35">
      <c r="B193" s="231">
        <v>46003</v>
      </c>
      <c r="C193" s="232" t="s">
        <v>587</v>
      </c>
      <c r="D193" s="236" t="s">
        <v>117</v>
      </c>
      <c r="E193" s="239" t="s">
        <v>936</v>
      </c>
      <c r="F193" s="311">
        <v>0.31180000000000002</v>
      </c>
      <c r="G193" s="312">
        <v>0.31809999999999999</v>
      </c>
      <c r="H193" s="312">
        <v>0.31659999999999999</v>
      </c>
      <c r="I193" s="312">
        <v>0.33429999999999999</v>
      </c>
      <c r="J193" s="313">
        <v>0.33329999999999999</v>
      </c>
      <c r="K193" s="235"/>
      <c r="L193" s="235"/>
      <c r="M193" s="311">
        <v>0.33539132736824656</v>
      </c>
      <c r="N193" s="312">
        <v>0.32869491107851895</v>
      </c>
      <c r="O193" s="312">
        <v>0.32770654238294888</v>
      </c>
      <c r="P193" s="312">
        <v>0.35005590512972645</v>
      </c>
      <c r="Q193" s="313">
        <v>0.35084632665980914</v>
      </c>
    </row>
    <row r="194" spans="2:17" x14ac:dyDescent="0.35">
      <c r="B194" s="231">
        <v>46003</v>
      </c>
      <c r="C194" s="232" t="s">
        <v>581</v>
      </c>
      <c r="D194" s="236" t="s">
        <v>832</v>
      </c>
      <c r="E194" s="239" t="s">
        <v>959</v>
      </c>
      <c r="F194" s="273"/>
      <c r="G194" s="272"/>
      <c r="H194" s="272"/>
      <c r="I194" s="272"/>
      <c r="J194" s="274"/>
      <c r="K194" s="235"/>
      <c r="L194" s="235"/>
      <c r="M194" s="273">
        <v>-37</v>
      </c>
      <c r="N194" s="272">
        <v>-12</v>
      </c>
      <c r="O194" s="272">
        <v>4</v>
      </c>
      <c r="P194" s="272">
        <v>19</v>
      </c>
      <c r="Q194" s="274"/>
    </row>
    <row r="195" spans="2:17" x14ac:dyDescent="0.35">
      <c r="B195" s="231">
        <v>46003</v>
      </c>
      <c r="C195" s="232" t="s">
        <v>582</v>
      </c>
      <c r="D195" s="236" t="s">
        <v>832</v>
      </c>
      <c r="E195" s="239" t="s">
        <v>959</v>
      </c>
      <c r="F195" s="273"/>
      <c r="G195" s="272"/>
      <c r="H195" s="272"/>
      <c r="I195" s="272"/>
      <c r="J195" s="274"/>
      <c r="K195" s="235"/>
      <c r="L195" s="235"/>
      <c r="M195" s="273">
        <v>-27</v>
      </c>
      <c r="N195" s="272">
        <v>-8</v>
      </c>
      <c r="O195" s="272">
        <v>3</v>
      </c>
      <c r="P195" s="272">
        <v>14</v>
      </c>
      <c r="Q195" s="274"/>
    </row>
    <row r="196" spans="2:17" x14ac:dyDescent="0.35">
      <c r="B196" s="231">
        <v>46003</v>
      </c>
      <c r="C196" s="232" t="s">
        <v>583</v>
      </c>
      <c r="D196" s="236" t="s">
        <v>832</v>
      </c>
      <c r="E196" s="239" t="s">
        <v>959</v>
      </c>
      <c r="F196" s="273"/>
      <c r="G196" s="272"/>
      <c r="H196" s="272"/>
      <c r="I196" s="272"/>
      <c r="J196" s="274"/>
      <c r="K196" s="235"/>
      <c r="L196" s="235"/>
      <c r="M196" s="273">
        <v>-26</v>
      </c>
      <c r="N196" s="272">
        <v>-8</v>
      </c>
      <c r="O196" s="272">
        <v>2</v>
      </c>
      <c r="P196" s="272">
        <v>13</v>
      </c>
      <c r="Q196" s="274"/>
    </row>
    <row r="197" spans="2:17" x14ac:dyDescent="0.35">
      <c r="B197" s="231">
        <v>46003</v>
      </c>
      <c r="C197" s="232" t="s">
        <v>584</v>
      </c>
      <c r="D197" s="236" t="s">
        <v>832</v>
      </c>
      <c r="E197" s="239" t="s">
        <v>959</v>
      </c>
      <c r="F197" s="273"/>
      <c r="G197" s="272"/>
      <c r="H197" s="272"/>
      <c r="I197" s="272"/>
      <c r="J197" s="274"/>
      <c r="K197" s="235"/>
      <c r="L197" s="235"/>
      <c r="M197" s="273">
        <v>-20</v>
      </c>
      <c r="N197" s="272">
        <v>-6</v>
      </c>
      <c r="O197" s="272">
        <v>2</v>
      </c>
      <c r="P197" s="272">
        <v>10</v>
      </c>
      <c r="Q197" s="274"/>
    </row>
    <row r="198" spans="2:17" x14ac:dyDescent="0.35">
      <c r="B198" s="231">
        <v>46003</v>
      </c>
      <c r="C198" s="232" t="s">
        <v>585</v>
      </c>
      <c r="D198" s="236" t="s">
        <v>832</v>
      </c>
      <c r="E198" s="239" t="s">
        <v>959</v>
      </c>
      <c r="F198" s="273"/>
      <c r="G198" s="272"/>
      <c r="H198" s="272"/>
      <c r="I198" s="272"/>
      <c r="J198" s="274"/>
      <c r="K198" s="235"/>
      <c r="L198" s="235"/>
      <c r="M198" s="273">
        <v>-26</v>
      </c>
      <c r="N198" s="272">
        <v>-8</v>
      </c>
      <c r="O198" s="272">
        <v>2</v>
      </c>
      <c r="P198" s="272">
        <v>13</v>
      </c>
      <c r="Q198" s="274"/>
    </row>
    <row r="199" spans="2:17" x14ac:dyDescent="0.35">
      <c r="B199" s="231">
        <v>46003</v>
      </c>
      <c r="C199" s="232" t="s">
        <v>586</v>
      </c>
      <c r="D199" s="236" t="s">
        <v>832</v>
      </c>
      <c r="E199" s="239" t="s">
        <v>959</v>
      </c>
      <c r="F199" s="273"/>
      <c r="G199" s="272"/>
      <c r="H199" s="272"/>
      <c r="I199" s="272"/>
      <c r="J199" s="274"/>
      <c r="K199" s="235"/>
      <c r="L199" s="235"/>
      <c r="M199" s="273">
        <v>-38</v>
      </c>
      <c r="N199" s="272">
        <v>-6</v>
      </c>
      <c r="O199" s="272">
        <v>16.5</v>
      </c>
      <c r="P199" s="272">
        <v>16.5</v>
      </c>
      <c r="Q199" s="274"/>
    </row>
    <row r="200" spans="2:17" x14ac:dyDescent="0.35">
      <c r="B200" s="231">
        <v>46003</v>
      </c>
      <c r="C200" s="232" t="s">
        <v>587</v>
      </c>
      <c r="D200" s="236" t="s">
        <v>832</v>
      </c>
      <c r="E200" s="239" t="s">
        <v>959</v>
      </c>
      <c r="F200" s="273"/>
      <c r="G200" s="272"/>
      <c r="H200" s="272"/>
      <c r="I200" s="272"/>
      <c r="J200" s="274"/>
      <c r="K200" s="235"/>
      <c r="L200" s="235"/>
      <c r="M200" s="273">
        <v>-23</v>
      </c>
      <c r="N200" s="272">
        <v>-13</v>
      </c>
      <c r="O200" s="272">
        <v>13.4</v>
      </c>
      <c r="P200" s="272">
        <v>13.4</v>
      </c>
      <c r="Q200" s="274"/>
    </row>
    <row r="201" spans="2:17" x14ac:dyDescent="0.35">
      <c r="B201" s="231">
        <v>46003</v>
      </c>
      <c r="C201" s="232" t="s">
        <v>588</v>
      </c>
      <c r="D201" s="236" t="s">
        <v>832</v>
      </c>
      <c r="E201" s="239" t="s">
        <v>959</v>
      </c>
      <c r="F201" s="273"/>
      <c r="G201" s="272"/>
      <c r="H201" s="272"/>
      <c r="I201" s="272"/>
      <c r="J201" s="274"/>
      <c r="K201" s="235"/>
      <c r="L201" s="235"/>
      <c r="M201" s="273">
        <v>-20</v>
      </c>
      <c r="N201" s="272">
        <v>-10</v>
      </c>
      <c r="O201" s="272">
        <v>1.875</v>
      </c>
      <c r="P201" s="272">
        <v>10</v>
      </c>
      <c r="Q201" s="274"/>
    </row>
    <row r="202" spans="2:17" x14ac:dyDescent="0.35">
      <c r="B202" s="231"/>
      <c r="C202" s="232"/>
      <c r="D202" s="236"/>
      <c r="E202" s="239"/>
      <c r="F202" s="273"/>
      <c r="G202" s="272"/>
      <c r="H202" s="272"/>
      <c r="I202" s="272"/>
      <c r="J202" s="274"/>
      <c r="K202" s="235"/>
      <c r="L202" s="235"/>
      <c r="M202" s="273"/>
      <c r="N202" s="272"/>
      <c r="O202" s="272"/>
      <c r="P202" s="272"/>
      <c r="Q202" s="274"/>
    </row>
    <row r="203" spans="2:17" x14ac:dyDescent="0.35">
      <c r="B203" s="231"/>
      <c r="C203" s="232"/>
      <c r="D203" s="236"/>
      <c r="E203" s="239"/>
      <c r="F203" s="273"/>
      <c r="G203" s="272"/>
      <c r="H203" s="272"/>
      <c r="I203" s="272"/>
      <c r="J203" s="274"/>
      <c r="K203" s="235"/>
      <c r="L203" s="235"/>
      <c r="M203" s="273"/>
      <c r="N203" s="272"/>
      <c r="O203" s="272"/>
      <c r="P203" s="272"/>
      <c r="Q203" s="274"/>
    </row>
    <row r="204" spans="2:17" x14ac:dyDescent="0.35">
      <c r="B204" s="231"/>
      <c r="C204" s="232"/>
      <c r="D204" s="236"/>
      <c r="E204" s="239"/>
      <c r="F204" s="273"/>
      <c r="G204" s="272"/>
      <c r="H204" s="272"/>
      <c r="I204" s="272"/>
      <c r="J204" s="274"/>
      <c r="K204" s="235"/>
      <c r="L204" s="235"/>
      <c r="M204" s="273"/>
      <c r="N204" s="272"/>
      <c r="O204" s="272"/>
      <c r="P204" s="272"/>
      <c r="Q204" s="274"/>
    </row>
    <row r="205" spans="2:17" x14ac:dyDescent="0.35">
      <c r="B205" s="231"/>
      <c r="C205" s="232"/>
      <c r="D205" s="236"/>
      <c r="E205" s="239"/>
      <c r="F205" s="273"/>
      <c r="G205" s="272"/>
      <c r="H205" s="272"/>
      <c r="I205" s="272"/>
      <c r="J205" s="274"/>
      <c r="K205" s="235"/>
      <c r="L205" s="235"/>
      <c r="M205" s="273"/>
      <c r="N205" s="272"/>
      <c r="O205" s="272"/>
      <c r="P205" s="272"/>
      <c r="Q205" s="274"/>
    </row>
    <row r="206" spans="2:17" x14ac:dyDescent="0.35">
      <c r="B206" s="231"/>
      <c r="C206" s="232"/>
      <c r="D206" s="236"/>
      <c r="E206" s="239"/>
      <c r="F206" s="273"/>
      <c r="G206" s="272"/>
      <c r="H206" s="272"/>
      <c r="I206" s="272"/>
      <c r="J206" s="274"/>
      <c r="K206" s="235"/>
      <c r="L206" s="235"/>
      <c r="M206" s="273"/>
      <c r="N206" s="272"/>
      <c r="O206" s="272"/>
      <c r="P206" s="272"/>
      <c r="Q206" s="274"/>
    </row>
    <row r="207" spans="2:17" x14ac:dyDescent="0.35">
      <c r="B207" s="231"/>
      <c r="C207" s="232"/>
      <c r="D207" s="236"/>
      <c r="E207" s="239"/>
      <c r="F207" s="273"/>
      <c r="G207" s="272"/>
      <c r="H207" s="272"/>
      <c r="I207" s="272"/>
      <c r="J207" s="274"/>
      <c r="K207" s="235"/>
      <c r="L207" s="235"/>
      <c r="M207" s="273"/>
      <c r="N207" s="272"/>
      <c r="O207" s="272"/>
      <c r="P207" s="272"/>
      <c r="Q207" s="274"/>
    </row>
    <row r="208" spans="2:17" x14ac:dyDescent="0.35">
      <c r="B208" s="231"/>
      <c r="C208" s="232"/>
      <c r="D208" s="236"/>
      <c r="E208" s="239"/>
      <c r="F208" s="273"/>
      <c r="G208" s="272"/>
      <c r="H208" s="272"/>
      <c r="I208" s="272"/>
      <c r="J208" s="274"/>
      <c r="K208" s="235"/>
      <c r="L208" s="235"/>
      <c r="M208" s="273"/>
      <c r="N208" s="272"/>
      <c r="O208" s="272"/>
      <c r="P208" s="272"/>
      <c r="Q208" s="274"/>
    </row>
    <row r="209" spans="2:17" x14ac:dyDescent="0.35">
      <c r="B209" s="231"/>
      <c r="C209" s="232"/>
      <c r="D209" s="236"/>
      <c r="E209" s="239"/>
      <c r="F209" s="273"/>
      <c r="G209" s="272"/>
      <c r="H209" s="272"/>
      <c r="I209" s="272"/>
      <c r="J209" s="274"/>
      <c r="K209" s="235"/>
      <c r="L209" s="235"/>
      <c r="M209" s="273"/>
      <c r="N209" s="272"/>
      <c r="O209" s="272"/>
      <c r="P209" s="272"/>
      <c r="Q209" s="274"/>
    </row>
    <row r="210" spans="2:17" x14ac:dyDescent="0.35">
      <c r="B210" s="231"/>
      <c r="C210" s="232"/>
      <c r="D210" s="236"/>
      <c r="E210" s="239"/>
      <c r="F210" s="273"/>
      <c r="G210" s="272"/>
      <c r="H210" s="272"/>
      <c r="I210" s="272"/>
      <c r="J210" s="274"/>
      <c r="K210" s="235"/>
      <c r="L210" s="235"/>
      <c r="M210" s="273"/>
      <c r="N210" s="272"/>
      <c r="O210" s="272"/>
      <c r="P210" s="272"/>
      <c r="Q210" s="274"/>
    </row>
    <row r="211" spans="2:17" x14ac:dyDescent="0.35">
      <c r="B211" s="231"/>
      <c r="C211" s="232"/>
      <c r="D211" s="236"/>
      <c r="E211" s="239"/>
      <c r="F211" s="273"/>
      <c r="G211" s="272"/>
      <c r="H211" s="272"/>
      <c r="I211" s="272"/>
      <c r="J211" s="274"/>
      <c r="K211" s="235"/>
      <c r="L211" s="235"/>
      <c r="M211" s="273"/>
      <c r="N211" s="272"/>
      <c r="O211" s="272"/>
      <c r="P211" s="272"/>
      <c r="Q211" s="274"/>
    </row>
    <row r="212" spans="2:17" x14ac:dyDescent="0.35">
      <c r="B212" s="231"/>
      <c r="C212" s="232"/>
      <c r="D212" s="236"/>
      <c r="E212" s="239"/>
      <c r="F212" s="273"/>
      <c r="G212" s="272"/>
      <c r="H212" s="272"/>
      <c r="I212" s="272"/>
      <c r="J212" s="274"/>
      <c r="K212" s="235"/>
      <c r="L212" s="235"/>
      <c r="M212" s="273"/>
      <c r="N212" s="272"/>
      <c r="O212" s="272"/>
      <c r="P212" s="272"/>
      <c r="Q212" s="274"/>
    </row>
    <row r="213" spans="2:17" x14ac:dyDescent="0.35">
      <c r="B213" s="231"/>
      <c r="C213" s="232"/>
      <c r="D213" s="236"/>
      <c r="E213" s="239"/>
      <c r="F213" s="273"/>
      <c r="G213" s="272"/>
      <c r="H213" s="272"/>
      <c r="I213" s="272"/>
      <c r="J213" s="274"/>
      <c r="K213" s="235"/>
      <c r="L213" s="235"/>
      <c r="M213" s="273"/>
      <c r="N213" s="272"/>
      <c r="O213" s="272"/>
      <c r="P213" s="272"/>
      <c r="Q213" s="274"/>
    </row>
    <row r="214" spans="2:17" x14ac:dyDescent="0.35">
      <c r="B214" s="231"/>
      <c r="C214" s="232"/>
      <c r="D214" s="236"/>
      <c r="E214" s="239"/>
      <c r="F214" s="275"/>
      <c r="G214" s="276"/>
      <c r="H214" s="276"/>
      <c r="I214" s="276"/>
      <c r="J214" s="277"/>
      <c r="K214" s="235"/>
      <c r="L214" s="235"/>
      <c r="M214" s="275"/>
      <c r="N214" s="276"/>
      <c r="O214" s="276"/>
      <c r="P214" s="276"/>
      <c r="Q214" s="277"/>
    </row>
    <row r="215" spans="2:17" x14ac:dyDescent="0.35">
      <c r="B215" s="231"/>
      <c r="C215" s="232"/>
      <c r="D215" s="236"/>
      <c r="E215" s="239"/>
      <c r="F215" s="275"/>
      <c r="G215" s="276"/>
      <c r="H215" s="276"/>
      <c r="I215" s="276"/>
      <c r="J215" s="277"/>
      <c r="K215" s="235"/>
      <c r="L215" s="235"/>
      <c r="M215" s="275"/>
      <c r="N215" s="276"/>
      <c r="O215" s="276"/>
      <c r="P215" s="276"/>
      <c r="Q215" s="277"/>
    </row>
    <row r="216" spans="2:17" x14ac:dyDescent="0.35">
      <c r="B216" s="231"/>
      <c r="C216" s="232"/>
      <c r="D216" s="236"/>
      <c r="E216" s="239"/>
      <c r="F216" s="275"/>
      <c r="G216" s="276"/>
      <c r="H216" s="276"/>
      <c r="I216" s="276"/>
      <c r="J216" s="277"/>
      <c r="K216" s="235"/>
      <c r="L216" s="235"/>
      <c r="M216" s="275"/>
      <c r="N216" s="276"/>
      <c r="O216" s="276"/>
      <c r="P216" s="276"/>
      <c r="Q216" s="277"/>
    </row>
    <row r="217" spans="2:17" x14ac:dyDescent="0.35">
      <c r="B217" s="231"/>
      <c r="C217" s="232"/>
      <c r="D217" s="236"/>
      <c r="E217" s="239"/>
      <c r="F217" s="275"/>
      <c r="G217" s="276"/>
      <c r="H217" s="276"/>
      <c r="I217" s="276"/>
      <c r="J217" s="277"/>
      <c r="K217" s="235"/>
      <c r="L217" s="235"/>
      <c r="M217" s="275"/>
      <c r="N217" s="276"/>
      <c r="O217" s="276"/>
      <c r="P217" s="276"/>
      <c r="Q217" s="277"/>
    </row>
    <row r="218" spans="2:17" x14ac:dyDescent="0.35">
      <c r="B218" s="231"/>
      <c r="C218" s="232"/>
      <c r="D218" s="236"/>
      <c r="E218" s="239"/>
      <c r="F218" s="275"/>
      <c r="G218" s="276"/>
      <c r="H218" s="276"/>
      <c r="I218" s="276"/>
      <c r="J218" s="277"/>
      <c r="K218" s="235"/>
      <c r="L218" s="235"/>
      <c r="M218" s="275"/>
      <c r="N218" s="276"/>
      <c r="O218" s="276"/>
      <c r="P218" s="276"/>
      <c r="Q218" s="277"/>
    </row>
    <row r="219" spans="2:17" x14ac:dyDescent="0.35">
      <c r="B219" s="231"/>
      <c r="C219" s="232"/>
      <c r="D219" s="236"/>
      <c r="E219" s="239"/>
      <c r="F219" s="275"/>
      <c r="G219" s="276"/>
      <c r="H219" s="276"/>
      <c r="I219" s="276"/>
      <c r="J219" s="277"/>
      <c r="K219" s="235"/>
      <c r="L219" s="235"/>
      <c r="M219" s="275"/>
      <c r="N219" s="276"/>
      <c r="O219" s="276"/>
      <c r="P219" s="276"/>
      <c r="Q219" s="277"/>
    </row>
    <row r="220" spans="2:17" x14ac:dyDescent="0.35">
      <c r="B220" s="231"/>
      <c r="C220" s="232"/>
      <c r="D220" s="236"/>
      <c r="E220" s="239"/>
      <c r="F220" s="275"/>
      <c r="G220" s="276"/>
      <c r="H220" s="276"/>
      <c r="I220" s="276"/>
      <c r="J220" s="277"/>
      <c r="K220" s="235"/>
      <c r="L220" s="235"/>
      <c r="M220" s="275"/>
      <c r="N220" s="276"/>
      <c r="O220" s="276"/>
      <c r="P220" s="276"/>
      <c r="Q220" s="277"/>
    </row>
    <row r="221" spans="2:17" x14ac:dyDescent="0.35">
      <c r="B221" s="231"/>
      <c r="C221" s="232"/>
      <c r="D221" s="236"/>
      <c r="E221" s="239"/>
      <c r="F221" s="275"/>
      <c r="G221" s="276"/>
      <c r="H221" s="276"/>
      <c r="I221" s="276"/>
      <c r="J221" s="277"/>
      <c r="K221" s="235"/>
      <c r="L221" s="235"/>
      <c r="M221" s="275"/>
      <c r="N221" s="276"/>
      <c r="O221" s="276"/>
      <c r="P221" s="276"/>
      <c r="Q221" s="277"/>
    </row>
    <row r="222" spans="2:17" x14ac:dyDescent="0.35">
      <c r="B222" s="231"/>
      <c r="C222" s="232"/>
      <c r="D222" s="236"/>
      <c r="E222" s="239"/>
      <c r="F222" s="275"/>
      <c r="G222" s="276"/>
      <c r="H222" s="276"/>
      <c r="I222" s="276"/>
      <c r="J222" s="277"/>
      <c r="K222" s="235"/>
      <c r="L222" s="235"/>
      <c r="M222" s="275"/>
      <c r="N222" s="276"/>
      <c r="O222" s="276"/>
      <c r="P222" s="276"/>
      <c r="Q222" s="277"/>
    </row>
    <row r="223" spans="2:17" x14ac:dyDescent="0.35">
      <c r="B223" s="231"/>
      <c r="C223" s="232"/>
      <c r="D223" s="236"/>
      <c r="E223" s="239"/>
      <c r="F223" s="275"/>
      <c r="G223" s="276"/>
      <c r="H223" s="276"/>
      <c r="I223" s="276"/>
      <c r="J223" s="277"/>
      <c r="K223" s="235"/>
      <c r="L223" s="235"/>
      <c r="M223" s="275"/>
      <c r="N223" s="276"/>
      <c r="O223" s="276"/>
      <c r="P223" s="276"/>
      <c r="Q223" s="277"/>
    </row>
    <row r="224" spans="2:17" x14ac:dyDescent="0.35">
      <c r="B224" s="231"/>
      <c r="C224" s="232"/>
      <c r="D224" s="236"/>
      <c r="E224" s="239"/>
      <c r="F224" s="275"/>
      <c r="G224" s="276"/>
      <c r="H224" s="276"/>
      <c r="I224" s="276"/>
      <c r="J224" s="277"/>
      <c r="K224" s="235"/>
      <c r="L224" s="235"/>
      <c r="M224" s="275"/>
      <c r="N224" s="276"/>
      <c r="O224" s="276"/>
      <c r="P224" s="276"/>
      <c r="Q224" s="277"/>
    </row>
    <row r="225" spans="2:17" x14ac:dyDescent="0.35">
      <c r="B225" s="231"/>
      <c r="C225" s="232"/>
      <c r="D225" s="236"/>
      <c r="E225" s="239"/>
      <c r="F225" s="275"/>
      <c r="G225" s="276"/>
      <c r="H225" s="276"/>
      <c r="I225" s="276"/>
      <c r="J225" s="277"/>
      <c r="K225" s="235"/>
      <c r="L225" s="235"/>
      <c r="M225" s="275"/>
      <c r="N225" s="276"/>
      <c r="O225" s="276"/>
      <c r="P225" s="276"/>
      <c r="Q225" s="277"/>
    </row>
    <row r="226" spans="2:17" x14ac:dyDescent="0.35">
      <c r="B226" s="231"/>
      <c r="C226" s="232"/>
      <c r="D226" s="236"/>
      <c r="E226" s="239"/>
      <c r="F226" s="275"/>
      <c r="G226" s="276"/>
      <c r="H226" s="276"/>
      <c r="I226" s="276"/>
      <c r="J226" s="277"/>
      <c r="K226" s="235"/>
      <c r="L226" s="235"/>
      <c r="M226" s="275"/>
      <c r="N226" s="276"/>
      <c r="O226" s="276"/>
      <c r="P226" s="276"/>
      <c r="Q226" s="277"/>
    </row>
    <row r="227" spans="2:17" x14ac:dyDescent="0.35">
      <c r="B227" s="231"/>
      <c r="C227" s="232"/>
      <c r="D227" s="236"/>
      <c r="E227" s="239"/>
      <c r="F227" s="275"/>
      <c r="G227" s="276"/>
      <c r="H227" s="276"/>
      <c r="I227" s="276"/>
      <c r="J227" s="277"/>
      <c r="K227" s="235"/>
      <c r="L227" s="235"/>
      <c r="M227" s="275"/>
      <c r="N227" s="276"/>
      <c r="O227" s="276"/>
      <c r="P227" s="276"/>
      <c r="Q227" s="277"/>
    </row>
    <row r="228" spans="2:17" x14ac:dyDescent="0.35">
      <c r="B228" s="231"/>
      <c r="C228" s="232"/>
      <c r="D228" s="236"/>
      <c r="E228" s="239"/>
      <c r="F228" s="275"/>
      <c r="G228" s="276"/>
      <c r="H228" s="276"/>
      <c r="I228" s="276"/>
      <c r="J228" s="277"/>
      <c r="K228" s="235"/>
      <c r="L228" s="235"/>
      <c r="M228" s="275"/>
      <c r="N228" s="276"/>
      <c r="O228" s="276"/>
      <c r="P228" s="276"/>
      <c r="Q228" s="277"/>
    </row>
    <row r="229" spans="2:17" x14ac:dyDescent="0.35">
      <c r="B229" s="231"/>
      <c r="C229" s="232"/>
      <c r="D229" s="236"/>
      <c r="E229" s="239"/>
      <c r="F229" s="275"/>
      <c r="G229" s="276"/>
      <c r="H229" s="276"/>
      <c r="I229" s="276"/>
      <c r="J229" s="277"/>
      <c r="K229" s="235"/>
      <c r="L229" s="235"/>
      <c r="M229" s="275"/>
      <c r="N229" s="276"/>
      <c r="O229" s="276"/>
      <c r="P229" s="276"/>
      <c r="Q229" s="277"/>
    </row>
    <row r="230" spans="2:17" x14ac:dyDescent="0.35">
      <c r="B230" s="231"/>
      <c r="C230" s="232"/>
      <c r="D230" s="236"/>
      <c r="E230" s="239"/>
      <c r="F230" s="275"/>
      <c r="G230" s="276"/>
      <c r="H230" s="276"/>
      <c r="I230" s="276"/>
      <c r="J230" s="277"/>
      <c r="K230" s="235"/>
      <c r="L230" s="235"/>
      <c r="M230" s="275"/>
      <c r="N230" s="276"/>
      <c r="O230" s="276"/>
      <c r="P230" s="276"/>
      <c r="Q230" s="277"/>
    </row>
    <row r="231" spans="2:17" x14ac:dyDescent="0.35">
      <c r="B231" s="231"/>
      <c r="C231" s="232"/>
      <c r="D231" s="236"/>
      <c r="E231" s="239"/>
      <c r="F231" s="275"/>
      <c r="G231" s="276"/>
      <c r="H231" s="276"/>
      <c r="I231" s="276"/>
      <c r="J231" s="277"/>
      <c r="K231" s="235"/>
      <c r="L231" s="235"/>
      <c r="M231" s="275"/>
      <c r="N231" s="276"/>
      <c r="O231" s="276"/>
      <c r="P231" s="276"/>
      <c r="Q231" s="277"/>
    </row>
    <row r="232" spans="2:17" x14ac:dyDescent="0.35">
      <c r="B232" s="231"/>
      <c r="C232" s="232"/>
      <c r="D232" s="236"/>
      <c r="E232" s="239"/>
      <c r="F232" s="275"/>
      <c r="G232" s="276"/>
      <c r="H232" s="276"/>
      <c r="I232" s="276"/>
      <c r="J232" s="277"/>
      <c r="K232" s="235"/>
      <c r="L232" s="235"/>
      <c r="M232" s="275"/>
      <c r="N232" s="276"/>
      <c r="O232" s="276"/>
      <c r="P232" s="276"/>
      <c r="Q232" s="277"/>
    </row>
    <row r="233" spans="2:17" x14ac:dyDescent="0.35">
      <c r="B233" s="231"/>
      <c r="C233" s="232"/>
      <c r="D233" s="236"/>
      <c r="E233" s="239"/>
      <c r="F233" s="275"/>
      <c r="G233" s="276"/>
      <c r="H233" s="276"/>
      <c r="I233" s="276"/>
      <c r="J233" s="277"/>
      <c r="K233" s="235"/>
      <c r="L233" s="235"/>
      <c r="M233" s="275"/>
      <c r="N233" s="276"/>
      <c r="O233" s="276"/>
      <c r="P233" s="276"/>
      <c r="Q233" s="277"/>
    </row>
    <row r="234" spans="2:17" x14ac:dyDescent="0.35">
      <c r="B234" s="231"/>
      <c r="C234" s="232"/>
      <c r="D234" s="236"/>
      <c r="E234" s="239"/>
      <c r="F234" s="275"/>
      <c r="G234" s="276"/>
      <c r="H234" s="276"/>
      <c r="I234" s="276"/>
      <c r="J234" s="277"/>
      <c r="K234" s="235"/>
      <c r="L234" s="235"/>
      <c r="M234" s="275"/>
      <c r="N234" s="276"/>
      <c r="O234" s="276"/>
      <c r="P234" s="276"/>
      <c r="Q234" s="277"/>
    </row>
    <row r="235" spans="2:17" x14ac:dyDescent="0.35">
      <c r="B235" s="231"/>
      <c r="C235" s="232"/>
      <c r="D235" s="236"/>
      <c r="E235" s="239"/>
      <c r="F235" s="275"/>
      <c r="G235" s="276"/>
      <c r="H235" s="276"/>
      <c r="I235" s="276"/>
      <c r="J235" s="277"/>
      <c r="K235" s="235"/>
      <c r="L235" s="235"/>
      <c r="M235" s="275"/>
      <c r="N235" s="276"/>
      <c r="O235" s="276"/>
      <c r="P235" s="276"/>
      <c r="Q235" s="277"/>
    </row>
    <row r="236" spans="2:17" x14ac:dyDescent="0.35">
      <c r="B236" s="231"/>
      <c r="C236" s="232"/>
      <c r="D236" s="236"/>
      <c r="E236" s="239"/>
      <c r="F236" s="275"/>
      <c r="G236" s="276"/>
      <c r="H236" s="276"/>
      <c r="I236" s="276"/>
      <c r="J236" s="277"/>
      <c r="K236" s="235"/>
      <c r="L236" s="235"/>
      <c r="M236" s="275"/>
      <c r="N236" s="276"/>
      <c r="O236" s="276"/>
      <c r="P236" s="276"/>
      <c r="Q236" s="277"/>
    </row>
    <row r="237" spans="2:17" x14ac:dyDescent="0.35">
      <c r="B237" s="231"/>
      <c r="C237" s="232"/>
      <c r="D237" s="236"/>
      <c r="E237" s="239"/>
      <c r="F237" s="275"/>
      <c r="G237" s="276"/>
      <c r="H237" s="276"/>
      <c r="I237" s="276"/>
      <c r="J237" s="277"/>
      <c r="K237" s="235"/>
      <c r="L237" s="235"/>
      <c r="M237" s="275"/>
      <c r="N237" s="276"/>
      <c r="O237" s="276"/>
      <c r="P237" s="276"/>
      <c r="Q237" s="277"/>
    </row>
    <row r="238" spans="2:17" x14ac:dyDescent="0.35">
      <c r="B238" s="231"/>
      <c r="C238" s="232"/>
      <c r="D238" s="236"/>
      <c r="E238" s="239"/>
      <c r="F238" s="275"/>
      <c r="G238" s="276"/>
      <c r="H238" s="276"/>
      <c r="I238" s="276"/>
      <c r="J238" s="277"/>
      <c r="K238" s="235"/>
      <c r="L238" s="235"/>
      <c r="M238" s="275"/>
      <c r="N238" s="276"/>
      <c r="O238" s="276"/>
      <c r="P238" s="276"/>
      <c r="Q238" s="277"/>
    </row>
    <row r="239" spans="2:17" x14ac:dyDescent="0.35">
      <c r="B239" s="231"/>
      <c r="C239" s="232"/>
      <c r="D239" s="236"/>
      <c r="E239" s="239"/>
      <c r="F239" s="275"/>
      <c r="G239" s="276"/>
      <c r="H239" s="276"/>
      <c r="I239" s="276"/>
      <c r="J239" s="277"/>
      <c r="K239" s="235"/>
      <c r="L239" s="235"/>
      <c r="M239" s="275"/>
      <c r="N239" s="276"/>
      <c r="O239" s="276"/>
      <c r="P239" s="276"/>
      <c r="Q239" s="277"/>
    </row>
    <row r="240" spans="2:17" x14ac:dyDescent="0.35">
      <c r="B240" s="231"/>
      <c r="C240" s="232"/>
      <c r="D240" s="236"/>
      <c r="E240" s="239"/>
      <c r="F240" s="275"/>
      <c r="G240" s="276"/>
      <c r="H240" s="276"/>
      <c r="I240" s="276"/>
      <c r="J240" s="277"/>
      <c r="K240" s="235"/>
      <c r="L240" s="235"/>
      <c r="M240" s="275"/>
      <c r="N240" s="276"/>
      <c r="O240" s="276"/>
      <c r="P240" s="276"/>
      <c r="Q240" s="277"/>
    </row>
    <row r="241" spans="2:17" x14ac:dyDescent="0.35">
      <c r="B241" s="231"/>
      <c r="C241" s="232"/>
      <c r="D241" s="236"/>
      <c r="E241" s="239"/>
      <c r="F241" s="275"/>
      <c r="G241" s="276"/>
      <c r="H241" s="276"/>
      <c r="I241" s="276"/>
      <c r="J241" s="277"/>
      <c r="K241" s="235"/>
      <c r="L241" s="235"/>
      <c r="M241" s="275"/>
      <c r="N241" s="276"/>
      <c r="O241" s="276"/>
      <c r="P241" s="276"/>
      <c r="Q241" s="277"/>
    </row>
    <row r="242" spans="2:17" x14ac:dyDescent="0.35">
      <c r="B242" s="231"/>
      <c r="C242" s="232"/>
      <c r="D242" s="236"/>
      <c r="E242" s="239"/>
      <c r="F242" s="275"/>
      <c r="G242" s="276"/>
      <c r="H242" s="276"/>
      <c r="I242" s="276"/>
      <c r="J242" s="277"/>
      <c r="K242" s="235"/>
      <c r="L242" s="235"/>
      <c r="M242" s="275"/>
      <c r="N242" s="276"/>
      <c r="O242" s="276"/>
      <c r="P242" s="276"/>
      <c r="Q242" s="277"/>
    </row>
    <row r="243" spans="2:17" x14ac:dyDescent="0.35">
      <c r="B243" s="231"/>
      <c r="C243" s="232"/>
      <c r="D243" s="236"/>
      <c r="E243" s="239"/>
      <c r="F243" s="275"/>
      <c r="G243" s="276"/>
      <c r="H243" s="276"/>
      <c r="I243" s="276"/>
      <c r="J243" s="277"/>
      <c r="K243" s="235"/>
      <c r="L243" s="235"/>
      <c r="M243" s="275"/>
      <c r="N243" s="276"/>
      <c r="O243" s="276"/>
      <c r="P243" s="276"/>
      <c r="Q243" s="277"/>
    </row>
    <row r="244" spans="2:17" x14ac:dyDescent="0.35">
      <c r="B244" s="231"/>
      <c r="C244" s="232"/>
      <c r="D244" s="236"/>
      <c r="E244" s="239"/>
      <c r="F244" s="275"/>
      <c r="G244" s="276"/>
      <c r="H244" s="276"/>
      <c r="I244" s="276"/>
      <c r="J244" s="277"/>
      <c r="K244" s="235"/>
      <c r="L244" s="235"/>
      <c r="M244" s="275"/>
      <c r="N244" s="276"/>
      <c r="O244" s="276"/>
      <c r="P244" s="276"/>
      <c r="Q244" s="277"/>
    </row>
    <row r="245" spans="2:17" x14ac:dyDescent="0.35">
      <c r="B245" s="231"/>
      <c r="C245" s="232"/>
      <c r="D245" s="236"/>
      <c r="E245" s="239"/>
      <c r="F245" s="275"/>
      <c r="G245" s="276"/>
      <c r="H245" s="276"/>
      <c r="I245" s="276"/>
      <c r="J245" s="277"/>
      <c r="K245" s="235"/>
      <c r="L245" s="235"/>
      <c r="M245" s="275"/>
      <c r="N245" s="276"/>
      <c r="O245" s="276"/>
      <c r="P245" s="276"/>
      <c r="Q245" s="277"/>
    </row>
    <row r="246" spans="2:17" x14ac:dyDescent="0.35">
      <c r="B246" s="231"/>
      <c r="C246" s="232"/>
      <c r="D246" s="236"/>
      <c r="E246" s="239"/>
      <c r="F246" s="275"/>
      <c r="G246" s="276"/>
      <c r="H246" s="276"/>
      <c r="I246" s="276"/>
      <c r="J246" s="277"/>
      <c r="K246" s="235"/>
      <c r="L246" s="235"/>
      <c r="M246" s="275"/>
      <c r="N246" s="276"/>
      <c r="O246" s="276"/>
      <c r="P246" s="276"/>
      <c r="Q246" s="277"/>
    </row>
    <row r="247" spans="2:17" x14ac:dyDescent="0.35">
      <c r="B247" s="231"/>
      <c r="C247" s="232"/>
      <c r="D247" s="236"/>
      <c r="E247" s="239"/>
      <c r="F247" s="275"/>
      <c r="G247" s="276"/>
      <c r="H247" s="276"/>
      <c r="I247" s="276"/>
      <c r="J247" s="277"/>
      <c r="K247" s="235"/>
      <c r="L247" s="235"/>
      <c r="M247" s="275"/>
      <c r="N247" s="276"/>
      <c r="O247" s="276"/>
      <c r="P247" s="276"/>
      <c r="Q247" s="277"/>
    </row>
    <row r="248" spans="2:17" x14ac:dyDescent="0.35">
      <c r="B248" s="231"/>
      <c r="C248" s="232"/>
      <c r="D248" s="236"/>
      <c r="E248" s="239"/>
      <c r="F248" s="275"/>
      <c r="G248" s="276"/>
      <c r="H248" s="276"/>
      <c r="I248" s="276"/>
      <c r="J248" s="277"/>
      <c r="K248" s="235"/>
      <c r="L248" s="235"/>
      <c r="M248" s="275"/>
      <c r="N248" s="276"/>
      <c r="O248" s="276"/>
      <c r="P248" s="276"/>
      <c r="Q248" s="277"/>
    </row>
    <row r="249" spans="2:17" x14ac:dyDescent="0.35">
      <c r="B249" s="231"/>
      <c r="C249" s="232"/>
      <c r="D249" s="236"/>
      <c r="E249" s="239"/>
      <c r="F249" s="275"/>
      <c r="G249" s="276"/>
      <c r="H249" s="276"/>
      <c r="I249" s="276"/>
      <c r="J249" s="277"/>
      <c r="K249" s="235"/>
      <c r="L249" s="235"/>
      <c r="M249" s="275"/>
      <c r="N249" s="276"/>
      <c r="O249" s="276"/>
      <c r="P249" s="276"/>
      <c r="Q249" s="277"/>
    </row>
    <row r="250" spans="2:17" x14ac:dyDescent="0.35">
      <c r="B250" s="231"/>
      <c r="C250" s="232"/>
      <c r="D250" s="236"/>
      <c r="E250" s="239"/>
      <c r="F250" s="275"/>
      <c r="G250" s="276"/>
      <c r="H250" s="276"/>
      <c r="I250" s="276"/>
      <c r="J250" s="277"/>
      <c r="K250" s="235"/>
      <c r="L250" s="235"/>
      <c r="M250" s="275"/>
      <c r="N250" s="276"/>
      <c r="O250" s="276"/>
      <c r="P250" s="276"/>
      <c r="Q250" s="277"/>
    </row>
    <row r="251" spans="2:17" x14ac:dyDescent="0.35">
      <c r="B251" s="231"/>
      <c r="C251" s="232"/>
      <c r="D251" s="236"/>
      <c r="E251" s="239"/>
      <c r="F251" s="275"/>
      <c r="G251" s="276"/>
      <c r="H251" s="276"/>
      <c r="I251" s="276"/>
      <c r="J251" s="277"/>
      <c r="K251" s="235"/>
      <c r="L251" s="235"/>
      <c r="M251" s="275"/>
      <c r="N251" s="276"/>
      <c r="O251" s="276"/>
      <c r="P251" s="276"/>
      <c r="Q251" s="277"/>
    </row>
    <row r="252" spans="2:17" x14ac:dyDescent="0.35">
      <c r="B252" s="231"/>
      <c r="C252" s="232"/>
      <c r="D252" s="236"/>
      <c r="E252" s="239"/>
      <c r="F252" s="275"/>
      <c r="G252" s="276"/>
      <c r="H252" s="276"/>
      <c r="I252" s="276"/>
      <c r="J252" s="277"/>
      <c r="K252" s="235"/>
      <c r="L252" s="235"/>
      <c r="M252" s="275"/>
      <c r="N252" s="276"/>
      <c r="O252" s="276"/>
      <c r="P252" s="276"/>
      <c r="Q252" s="277"/>
    </row>
    <row r="253" spans="2:17" x14ac:dyDescent="0.35">
      <c r="B253" s="231"/>
      <c r="C253" s="232"/>
      <c r="D253" s="236"/>
      <c r="E253" s="239"/>
      <c r="F253" s="275"/>
      <c r="G253" s="276"/>
      <c r="H253" s="276"/>
      <c r="I253" s="276"/>
      <c r="J253" s="277"/>
      <c r="K253" s="235"/>
      <c r="L253" s="235"/>
      <c r="M253" s="275"/>
      <c r="N253" s="276"/>
      <c r="O253" s="276"/>
      <c r="P253" s="276"/>
      <c r="Q253" s="277"/>
    </row>
    <row r="254" spans="2:17" x14ac:dyDescent="0.35">
      <c r="B254" s="231"/>
      <c r="C254" s="232"/>
      <c r="D254" s="236"/>
      <c r="E254" s="239"/>
      <c r="F254" s="275"/>
      <c r="G254" s="276"/>
      <c r="H254" s="276"/>
      <c r="I254" s="276"/>
      <c r="J254" s="277"/>
      <c r="K254" s="235"/>
      <c r="L254" s="235"/>
      <c r="M254" s="275"/>
      <c r="N254" s="276"/>
      <c r="O254" s="276"/>
      <c r="P254" s="276"/>
      <c r="Q254" s="277"/>
    </row>
    <row r="255" spans="2:17" x14ac:dyDescent="0.35">
      <c r="B255" s="231"/>
      <c r="C255" s="232"/>
      <c r="D255" s="236"/>
      <c r="E255" s="239"/>
      <c r="F255" s="275"/>
      <c r="G255" s="276"/>
      <c r="H255" s="276"/>
      <c r="I255" s="276"/>
      <c r="J255" s="277"/>
      <c r="K255" s="235"/>
      <c r="L255" s="235"/>
      <c r="M255" s="275"/>
      <c r="N255" s="276"/>
      <c r="O255" s="276"/>
      <c r="P255" s="276"/>
      <c r="Q255" s="277"/>
    </row>
    <row r="256" spans="2:17" x14ac:dyDescent="0.35">
      <c r="B256" s="231"/>
      <c r="C256" s="232"/>
      <c r="D256" s="236"/>
      <c r="E256" s="239"/>
      <c r="F256" s="275"/>
      <c r="G256" s="276"/>
      <c r="H256" s="276"/>
      <c r="I256" s="276"/>
      <c r="J256" s="277"/>
      <c r="K256" s="235"/>
      <c r="L256" s="235"/>
      <c r="M256" s="275"/>
      <c r="N256" s="276"/>
      <c r="O256" s="276"/>
      <c r="P256" s="276"/>
      <c r="Q256" s="277"/>
    </row>
    <row r="257" spans="2:17" x14ac:dyDescent="0.35">
      <c r="B257" s="231"/>
      <c r="C257" s="232"/>
      <c r="D257" s="236"/>
      <c r="E257" s="239"/>
      <c r="F257" s="275"/>
      <c r="G257" s="276"/>
      <c r="H257" s="276"/>
      <c r="I257" s="276"/>
      <c r="J257" s="277"/>
      <c r="K257" s="235"/>
      <c r="L257" s="235"/>
      <c r="M257" s="275"/>
      <c r="N257" s="276"/>
      <c r="O257" s="276"/>
      <c r="P257" s="276"/>
      <c r="Q257" s="277"/>
    </row>
    <row r="258" spans="2:17" x14ac:dyDescent="0.35">
      <c r="B258" s="231"/>
      <c r="C258" s="232"/>
      <c r="D258" s="236"/>
      <c r="E258" s="239"/>
      <c r="F258" s="275"/>
      <c r="G258" s="276"/>
      <c r="H258" s="276"/>
      <c r="I258" s="276"/>
      <c r="J258" s="277"/>
      <c r="K258" s="235"/>
      <c r="L258" s="235"/>
      <c r="M258" s="275"/>
      <c r="N258" s="276"/>
      <c r="O258" s="276"/>
      <c r="P258" s="276"/>
      <c r="Q258" s="277"/>
    </row>
    <row r="259" spans="2:17" x14ac:dyDescent="0.35">
      <c r="B259" s="231"/>
      <c r="C259" s="232"/>
      <c r="D259" s="236"/>
      <c r="E259" s="239"/>
      <c r="F259" s="275"/>
      <c r="G259" s="276"/>
      <c r="H259" s="276"/>
      <c r="I259" s="276"/>
      <c r="J259" s="277"/>
      <c r="K259" s="235"/>
      <c r="L259" s="235"/>
      <c r="M259" s="275"/>
      <c r="N259" s="276"/>
      <c r="O259" s="276"/>
      <c r="P259" s="276"/>
      <c r="Q259" s="277"/>
    </row>
    <row r="260" spans="2:17" x14ac:dyDescent="0.35">
      <c r="B260" s="231"/>
      <c r="C260" s="232"/>
      <c r="D260" s="236"/>
      <c r="E260" s="239"/>
      <c r="F260" s="275"/>
      <c r="G260" s="276"/>
      <c r="H260" s="276"/>
      <c r="I260" s="276"/>
      <c r="J260" s="277"/>
      <c r="K260" s="235"/>
      <c r="L260" s="235"/>
      <c r="M260" s="275"/>
      <c r="N260" s="276"/>
      <c r="O260" s="276"/>
      <c r="P260" s="276"/>
      <c r="Q260" s="277"/>
    </row>
    <row r="261" spans="2:17" x14ac:dyDescent="0.35">
      <c r="B261" s="231"/>
      <c r="C261" s="232"/>
      <c r="D261" s="236"/>
      <c r="E261" s="239"/>
      <c r="F261" s="275"/>
      <c r="G261" s="276"/>
      <c r="H261" s="276"/>
      <c r="I261" s="276"/>
      <c r="J261" s="277"/>
      <c r="K261" s="235"/>
      <c r="L261" s="235"/>
      <c r="M261" s="275"/>
      <c r="N261" s="276"/>
      <c r="O261" s="276"/>
      <c r="P261" s="276"/>
      <c r="Q261" s="277"/>
    </row>
    <row r="262" spans="2:17" x14ac:dyDescent="0.35">
      <c r="B262" s="231"/>
      <c r="C262" s="232"/>
      <c r="D262" s="236"/>
      <c r="E262" s="239"/>
      <c r="F262" s="275"/>
      <c r="G262" s="276"/>
      <c r="H262" s="276"/>
      <c r="I262" s="276"/>
      <c r="J262" s="277"/>
      <c r="K262" s="235"/>
      <c r="L262" s="235"/>
      <c r="M262" s="275"/>
      <c r="N262" s="276"/>
      <c r="O262" s="276"/>
      <c r="P262" s="276"/>
      <c r="Q262" s="277"/>
    </row>
    <row r="263" spans="2:17" x14ac:dyDescent="0.35">
      <c r="B263" s="231"/>
      <c r="C263" s="232"/>
      <c r="D263" s="236"/>
      <c r="E263" s="239"/>
      <c r="F263" s="275"/>
      <c r="G263" s="276"/>
      <c r="H263" s="276"/>
      <c r="I263" s="276"/>
      <c r="J263" s="277"/>
      <c r="K263" s="235"/>
      <c r="L263" s="235"/>
      <c r="M263" s="275"/>
      <c r="N263" s="276"/>
      <c r="O263" s="276"/>
      <c r="P263" s="276"/>
      <c r="Q263" s="277"/>
    </row>
    <row r="264" spans="2:17" x14ac:dyDescent="0.35">
      <c r="B264" s="231"/>
      <c r="C264" s="232"/>
      <c r="D264" s="236"/>
      <c r="E264" s="239"/>
      <c r="F264" s="275"/>
      <c r="G264" s="276"/>
      <c r="H264" s="276"/>
      <c r="I264" s="276"/>
      <c r="J264" s="277"/>
      <c r="K264" s="235"/>
      <c r="L264" s="235"/>
      <c r="M264" s="275"/>
      <c r="N264" s="276"/>
      <c r="O264" s="276"/>
      <c r="P264" s="276"/>
      <c r="Q264" s="277"/>
    </row>
    <row r="265" spans="2:17" x14ac:dyDescent="0.35">
      <c r="B265" s="231"/>
      <c r="C265" s="232"/>
      <c r="D265" s="236"/>
      <c r="E265" s="239"/>
      <c r="F265" s="275"/>
      <c r="G265" s="276"/>
      <c r="H265" s="276"/>
      <c r="I265" s="276"/>
      <c r="J265" s="277"/>
      <c r="K265" s="235"/>
      <c r="L265" s="235"/>
      <c r="M265" s="275"/>
      <c r="N265" s="276"/>
      <c r="O265" s="276"/>
      <c r="P265" s="276"/>
      <c r="Q265" s="277"/>
    </row>
    <row r="266" spans="2:17" x14ac:dyDescent="0.35">
      <c r="B266" s="231"/>
      <c r="C266" s="232"/>
      <c r="D266" s="236"/>
      <c r="E266" s="239"/>
      <c r="F266" s="275"/>
      <c r="G266" s="276"/>
      <c r="H266" s="276"/>
      <c r="I266" s="276"/>
      <c r="J266" s="277"/>
      <c r="K266" s="235"/>
      <c r="L266" s="235"/>
      <c r="M266" s="275"/>
      <c r="N266" s="276"/>
      <c r="O266" s="276"/>
      <c r="P266" s="276"/>
      <c r="Q266" s="277"/>
    </row>
    <row r="267" spans="2:17" x14ac:dyDescent="0.35">
      <c r="B267" s="231"/>
      <c r="C267" s="232"/>
      <c r="D267" s="236"/>
      <c r="E267" s="239"/>
      <c r="F267" s="275"/>
      <c r="G267" s="276"/>
      <c r="H267" s="276"/>
      <c r="I267" s="276"/>
      <c r="J267" s="277"/>
      <c r="K267" s="235"/>
      <c r="L267" s="235"/>
      <c r="M267" s="275"/>
      <c r="N267" s="276"/>
      <c r="O267" s="276"/>
      <c r="P267" s="276"/>
      <c r="Q267" s="277"/>
    </row>
    <row r="268" spans="2:17" x14ac:dyDescent="0.35">
      <c r="B268" s="231"/>
      <c r="C268" s="232"/>
      <c r="D268" s="236"/>
      <c r="E268" s="239"/>
      <c r="F268" s="275"/>
      <c r="G268" s="276"/>
      <c r="H268" s="276"/>
      <c r="I268" s="276"/>
      <c r="J268" s="277"/>
      <c r="K268" s="235"/>
      <c r="L268" s="235"/>
      <c r="M268" s="275"/>
      <c r="N268" s="276"/>
      <c r="O268" s="276"/>
      <c r="P268" s="276"/>
      <c r="Q268" s="277"/>
    </row>
    <row r="269" spans="2:17" x14ac:dyDescent="0.35">
      <c r="B269" s="231"/>
      <c r="C269" s="232"/>
      <c r="D269" s="236"/>
      <c r="E269" s="239"/>
      <c r="F269" s="275"/>
      <c r="G269" s="276"/>
      <c r="H269" s="276"/>
      <c r="I269" s="276"/>
      <c r="J269" s="277"/>
      <c r="K269" s="235"/>
      <c r="L269" s="235"/>
      <c r="M269" s="275"/>
      <c r="N269" s="276"/>
      <c r="O269" s="276"/>
      <c r="P269" s="276"/>
      <c r="Q269" s="277"/>
    </row>
    <row r="270" spans="2:17" x14ac:dyDescent="0.35">
      <c r="B270" s="231"/>
      <c r="C270" s="232"/>
      <c r="D270" s="236"/>
      <c r="E270" s="239"/>
      <c r="F270" s="275"/>
      <c r="G270" s="276"/>
      <c r="H270" s="276"/>
      <c r="I270" s="276"/>
      <c r="J270" s="277"/>
      <c r="K270" s="235"/>
      <c r="L270" s="235"/>
      <c r="M270" s="275"/>
      <c r="N270" s="276"/>
      <c r="O270" s="276"/>
      <c r="P270" s="276"/>
      <c r="Q270" s="277"/>
    </row>
    <row r="271" spans="2:17" x14ac:dyDescent="0.35">
      <c r="B271" s="231"/>
      <c r="C271" s="232"/>
      <c r="D271" s="236"/>
      <c r="E271" s="239"/>
      <c r="F271" s="275"/>
      <c r="G271" s="276"/>
      <c r="H271" s="276"/>
      <c r="I271" s="276"/>
      <c r="J271" s="277"/>
      <c r="K271" s="235"/>
      <c r="L271" s="235"/>
      <c r="M271" s="275"/>
      <c r="N271" s="276"/>
      <c r="O271" s="276"/>
      <c r="P271" s="276"/>
      <c r="Q271" s="277"/>
    </row>
    <row r="272" spans="2:17" x14ac:dyDescent="0.35">
      <c r="B272" s="231"/>
      <c r="C272" s="232"/>
      <c r="D272" s="236"/>
      <c r="E272" s="239"/>
      <c r="F272" s="275"/>
      <c r="G272" s="276"/>
      <c r="H272" s="276"/>
      <c r="I272" s="276"/>
      <c r="J272" s="277"/>
      <c r="K272" s="235"/>
      <c r="L272" s="235"/>
      <c r="M272" s="275"/>
      <c r="N272" s="276"/>
      <c r="O272" s="276"/>
      <c r="P272" s="276"/>
      <c r="Q272" s="277"/>
    </row>
    <row r="273" spans="2:17" x14ac:dyDescent="0.35">
      <c r="B273" s="231"/>
      <c r="C273" s="232"/>
      <c r="D273" s="236"/>
      <c r="E273" s="239"/>
      <c r="F273" s="275"/>
      <c r="G273" s="276"/>
      <c r="H273" s="276"/>
      <c r="I273" s="276"/>
      <c r="J273" s="277"/>
      <c r="K273" s="235"/>
      <c r="L273" s="235"/>
      <c r="M273" s="275"/>
      <c r="N273" s="276"/>
      <c r="O273" s="276"/>
      <c r="P273" s="276"/>
      <c r="Q273" s="277"/>
    </row>
    <row r="274" spans="2:17" x14ac:dyDescent="0.35">
      <c r="B274" s="231"/>
      <c r="C274" s="232"/>
      <c r="D274" s="236"/>
      <c r="E274" s="239"/>
      <c r="F274" s="275"/>
      <c r="G274" s="276"/>
      <c r="H274" s="276"/>
      <c r="I274" s="276"/>
      <c r="J274" s="277"/>
      <c r="K274" s="235"/>
      <c r="L274" s="235"/>
      <c r="M274" s="275"/>
      <c r="N274" s="276"/>
      <c r="O274" s="276"/>
      <c r="P274" s="276"/>
      <c r="Q274" s="277"/>
    </row>
    <row r="275" spans="2:17" x14ac:dyDescent="0.35">
      <c r="B275" s="231"/>
      <c r="C275" s="232"/>
      <c r="D275" s="236"/>
      <c r="E275" s="239"/>
      <c r="F275" s="275"/>
      <c r="G275" s="276"/>
      <c r="H275" s="276"/>
      <c r="I275" s="276"/>
      <c r="J275" s="277"/>
      <c r="K275" s="235"/>
      <c r="L275" s="235"/>
      <c r="M275" s="275"/>
      <c r="N275" s="276"/>
      <c r="O275" s="276"/>
      <c r="P275" s="276"/>
      <c r="Q275" s="277"/>
    </row>
    <row r="276" spans="2:17" x14ac:dyDescent="0.35">
      <c r="B276" s="231"/>
      <c r="C276" s="232"/>
      <c r="D276" s="236"/>
      <c r="E276" s="239"/>
      <c r="F276" s="275"/>
      <c r="G276" s="276"/>
      <c r="H276" s="276"/>
      <c r="I276" s="276"/>
      <c r="J276" s="277"/>
      <c r="K276" s="235"/>
      <c r="L276" s="235"/>
      <c r="M276" s="275"/>
      <c r="N276" s="276"/>
      <c r="O276" s="276"/>
      <c r="P276" s="276"/>
      <c r="Q276" s="277"/>
    </row>
    <row r="277" spans="2:17" x14ac:dyDescent="0.35">
      <c r="B277" s="231"/>
      <c r="C277" s="232"/>
      <c r="D277" s="236"/>
      <c r="E277" s="239"/>
      <c r="F277" s="275"/>
      <c r="G277" s="276"/>
      <c r="H277" s="276"/>
      <c r="I277" s="276"/>
      <c r="J277" s="277"/>
      <c r="K277" s="235"/>
      <c r="L277" s="235"/>
      <c r="M277" s="275"/>
      <c r="N277" s="276"/>
      <c r="O277" s="276"/>
      <c r="P277" s="276"/>
      <c r="Q277" s="277"/>
    </row>
    <row r="278" spans="2:17" x14ac:dyDescent="0.35">
      <c r="B278" s="231"/>
      <c r="C278" s="232"/>
      <c r="D278" s="236"/>
      <c r="E278" s="239"/>
      <c r="F278" s="275"/>
      <c r="G278" s="276"/>
      <c r="H278" s="276"/>
      <c r="I278" s="276"/>
      <c r="J278" s="277"/>
      <c r="K278" s="235"/>
      <c r="L278" s="235"/>
      <c r="M278" s="275"/>
      <c r="N278" s="276"/>
      <c r="O278" s="276"/>
      <c r="P278" s="276"/>
      <c r="Q278" s="277"/>
    </row>
    <row r="279" spans="2:17" x14ac:dyDescent="0.35">
      <c r="B279" s="231"/>
      <c r="C279" s="232"/>
      <c r="D279" s="236"/>
      <c r="E279" s="239"/>
      <c r="F279" s="275"/>
      <c r="G279" s="276"/>
      <c r="H279" s="276"/>
      <c r="I279" s="276"/>
      <c r="J279" s="277"/>
      <c r="K279" s="235"/>
      <c r="L279" s="235"/>
      <c r="M279" s="275"/>
      <c r="N279" s="276"/>
      <c r="O279" s="276"/>
      <c r="P279" s="276"/>
      <c r="Q279" s="277"/>
    </row>
    <row r="280" spans="2:17" x14ac:dyDescent="0.35">
      <c r="B280" s="231"/>
      <c r="C280" s="238"/>
      <c r="D280" s="236"/>
      <c r="E280" s="239"/>
      <c r="F280" s="256"/>
      <c r="G280" s="238"/>
      <c r="H280" s="238"/>
      <c r="I280" s="238"/>
      <c r="J280" s="258"/>
      <c r="K280" s="235"/>
      <c r="L280" s="235"/>
      <c r="M280" s="256"/>
      <c r="N280" s="238"/>
      <c r="O280" s="238"/>
      <c r="P280" s="238"/>
      <c r="Q280" s="258"/>
    </row>
    <row r="281" spans="2:17" x14ac:dyDescent="0.35">
      <c r="B281" s="231"/>
      <c r="C281" s="238"/>
      <c r="D281" s="236"/>
      <c r="E281" s="239"/>
      <c r="F281" s="256"/>
      <c r="G281" s="238"/>
      <c r="H281" s="238"/>
      <c r="I281" s="238"/>
      <c r="J281" s="258"/>
      <c r="K281" s="235"/>
      <c r="L281" s="235"/>
      <c r="M281" s="256"/>
      <c r="N281" s="238"/>
      <c r="O281" s="238"/>
      <c r="P281" s="238"/>
      <c r="Q281" s="258"/>
    </row>
    <row r="282" spans="2:17" x14ac:dyDescent="0.35">
      <c r="B282" s="231"/>
      <c r="C282" s="238"/>
      <c r="D282" s="236"/>
      <c r="E282" s="239"/>
      <c r="F282" s="256"/>
      <c r="G282" s="238"/>
      <c r="H282" s="238"/>
      <c r="I282" s="238"/>
      <c r="J282" s="258"/>
      <c r="K282" s="235"/>
      <c r="L282" s="235"/>
      <c r="M282" s="256"/>
      <c r="N282" s="238"/>
      <c r="O282" s="238"/>
      <c r="P282" s="238"/>
      <c r="Q282" s="258"/>
    </row>
    <row r="283" spans="2:17" x14ac:dyDescent="0.35">
      <c r="B283" s="231"/>
      <c r="C283" s="238"/>
      <c r="D283" s="236"/>
      <c r="E283" s="239"/>
      <c r="F283" s="256"/>
      <c r="G283" s="238"/>
      <c r="H283" s="238"/>
      <c r="I283" s="238"/>
      <c r="J283" s="258"/>
      <c r="K283" s="235"/>
      <c r="L283" s="235"/>
      <c r="M283" s="256"/>
      <c r="N283" s="238"/>
      <c r="O283" s="238"/>
      <c r="P283" s="238"/>
      <c r="Q283" s="258"/>
    </row>
    <row r="284" spans="2:17" x14ac:dyDescent="0.35">
      <c r="B284" s="231"/>
      <c r="C284" s="238"/>
      <c r="D284" s="236"/>
      <c r="E284" s="239"/>
      <c r="F284" s="256"/>
      <c r="G284" s="238"/>
      <c r="H284" s="238"/>
      <c r="I284" s="238"/>
      <c r="J284" s="258"/>
      <c r="K284" s="235"/>
      <c r="L284" s="235"/>
      <c r="M284" s="256"/>
      <c r="N284" s="238"/>
      <c r="O284" s="238"/>
      <c r="P284" s="238"/>
      <c r="Q284" s="258"/>
    </row>
    <row r="285" spans="2:17" x14ac:dyDescent="0.35">
      <c r="B285" s="231"/>
      <c r="C285" s="238"/>
      <c r="D285" s="236"/>
      <c r="E285" s="239"/>
      <c r="F285" s="256"/>
      <c r="G285" s="238"/>
      <c r="H285" s="238"/>
      <c r="I285" s="238"/>
      <c r="J285" s="258"/>
      <c r="K285" s="235"/>
      <c r="L285" s="235"/>
      <c r="M285" s="256"/>
      <c r="N285" s="238"/>
      <c r="O285" s="238"/>
      <c r="P285" s="238"/>
      <c r="Q285" s="258"/>
    </row>
    <row r="286" spans="2:17" x14ac:dyDescent="0.35">
      <c r="B286" s="231"/>
      <c r="C286" s="238"/>
      <c r="D286" s="236"/>
      <c r="E286" s="239"/>
      <c r="F286" s="256"/>
      <c r="G286" s="238"/>
      <c r="H286" s="238"/>
      <c r="I286" s="238"/>
      <c r="J286" s="258"/>
      <c r="K286" s="235"/>
      <c r="L286" s="235"/>
      <c r="M286" s="256"/>
      <c r="N286" s="238"/>
      <c r="O286" s="238"/>
      <c r="P286" s="238"/>
      <c r="Q286" s="258"/>
    </row>
    <row r="287" spans="2:17" x14ac:dyDescent="0.35">
      <c r="B287" s="237"/>
      <c r="C287" s="238"/>
      <c r="D287" s="236"/>
      <c r="E287" s="239"/>
      <c r="F287" s="256"/>
      <c r="G287" s="238"/>
      <c r="H287" s="238"/>
      <c r="I287" s="238"/>
      <c r="J287" s="258"/>
      <c r="K287" s="235"/>
      <c r="L287" s="235"/>
      <c r="M287" s="256"/>
      <c r="N287" s="238"/>
      <c r="O287" s="238"/>
      <c r="P287" s="238"/>
      <c r="Q287" s="258"/>
    </row>
    <row r="288" spans="2:17" ht="15" thickBot="1" x14ac:dyDescent="0.4">
      <c r="B288" s="240"/>
      <c r="C288" s="241"/>
      <c r="D288" s="242"/>
      <c r="E288" s="243"/>
      <c r="F288" s="259"/>
      <c r="G288" s="241"/>
      <c r="H288" s="241"/>
      <c r="I288" s="241"/>
      <c r="J288" s="260"/>
      <c r="K288" s="235"/>
      <c r="L288" s="235"/>
      <c r="M288" s="259"/>
      <c r="N288" s="241"/>
      <c r="O288" s="241"/>
      <c r="P288" s="241"/>
      <c r="Q288" s="260"/>
    </row>
  </sheetData>
  <phoneticPr fontId="7" type="noConversion"/>
  <pageMargins left="0.7" right="0.7" top="0.75" bottom="0.75" header="0.3" footer="0.3"/>
  <headerFooter>
    <oddHeader>&amp;L&amp;"Aptos"&amp;10&amp;K000000 Classified as Internal&amp;1#_x000D_</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183E-3CB3-42D1-BF79-2273F92989B8}">
  <sheetPr codeName="Sheet2">
    <tabColor rgb="FF7FB5BA"/>
    <pageSetUpPr autoPageBreaks="0" fitToPage="1"/>
  </sheetPr>
  <dimension ref="A1:BM881"/>
  <sheetViews>
    <sheetView zoomScaleNormal="100" workbookViewId="0">
      <pane xSplit="45" ySplit="4" topLeftCell="AT5" activePane="bottomRight" state="frozen"/>
      <selection pane="topRight" activeCell="AT1" sqref="AT1"/>
      <selection pane="bottomLeft" activeCell="A5" sqref="A5"/>
      <selection pane="bottomRight" activeCell="G32" sqref="G32"/>
    </sheetView>
  </sheetViews>
  <sheetFormatPr defaultColWidth="0" defaultRowHeight="16" zeroHeight="1" outlineLevelCol="1" x14ac:dyDescent="0.35"/>
  <cols>
    <col min="1" max="2" width="1.90625" style="6" customWidth="1"/>
    <col min="3" max="3" width="1.90625" customWidth="1"/>
    <col min="4" max="4" width="15.6328125" customWidth="1"/>
    <col min="5" max="5" width="65.6328125" style="33" customWidth="1"/>
    <col min="6" max="6" width="8.6328125" style="33" customWidth="1"/>
    <col min="7" max="7" width="17.6328125" style="33" customWidth="1"/>
    <col min="8" max="8" width="9.6328125" style="33" customWidth="1"/>
    <col min="9" max="9" width="11.6328125" style="33" customWidth="1"/>
    <col min="10" max="10" width="2.08984375" style="33" customWidth="1"/>
    <col min="11" max="45" width="11.6328125" style="33" hidden="1" customWidth="1" outlineLevel="1"/>
    <col min="46" max="46" width="11.6328125" style="60" customWidth="1" collapsed="1"/>
    <col min="47" max="51" width="11.6328125" style="33" customWidth="1"/>
    <col min="52" max="52" width="18.6328125" style="33" customWidth="1"/>
    <col min="53" max="56" width="10.6328125" style="34" customWidth="1"/>
    <col min="57" max="57" width="10.6328125" style="33" customWidth="1"/>
    <col min="58" max="58" width="1.6328125" style="33" customWidth="1"/>
    <col min="59" max="59" width="1.6328125" style="6" customWidth="1"/>
    <col min="60" max="60" width="12.08984375" style="6" hidden="1" customWidth="1"/>
    <col min="61" max="61" width="16" style="6" hidden="1" customWidth="1"/>
    <col min="62" max="64" width="12.08984375" style="6" hidden="1" customWidth="1"/>
    <col min="65" max="65" width="1.90625" style="6" hidden="1" customWidth="1"/>
    <col min="66" max="16384" width="0" style="6" hidden="1"/>
  </cols>
  <sheetData>
    <row r="1" spans="1:56" s="90" customFormat="1" ht="14.5" x14ac:dyDescent="0.35">
      <c r="A1" s="89" t="str" cm="1">
        <f t="array" aca="1" ref="A1" ca="1">MID(CELL("filename",$A$1),FIND("]",CELL("filename",$A$1))+1,255)</f>
        <v>LicenseeSelect</v>
      </c>
      <c r="E1" s="97"/>
      <c r="G1" s="90" t="s">
        <v>572</v>
      </c>
      <c r="H1" s="27" t="e">
        <f>Checks!I7</f>
        <v>#REF!</v>
      </c>
      <c r="AT1" s="91"/>
      <c r="BA1" s="92"/>
    </row>
    <row r="2" spans="1:56" s="90" customFormat="1" ht="14.5" x14ac:dyDescent="0.35">
      <c r="AT2" s="91"/>
      <c r="BA2" s="92"/>
    </row>
    <row r="3" spans="1:56" s="90" customFormat="1" ht="14.5" x14ac:dyDescent="0.35">
      <c r="E3" s="90" t="s">
        <v>1</v>
      </c>
      <c r="F3" s="90" t="s">
        <v>2</v>
      </c>
      <c r="G3" s="90" t="s">
        <v>3</v>
      </c>
      <c r="H3" s="90" t="s">
        <v>4</v>
      </c>
      <c r="AT3" s="91"/>
      <c r="AU3" s="90" t="s">
        <v>6</v>
      </c>
      <c r="BA3" s="92"/>
    </row>
    <row r="4" spans="1:56" s="90" customFormat="1" ht="14.5" x14ac:dyDescent="0.35">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92" t="s">
        <v>591</v>
      </c>
      <c r="BB4" s="92" t="s">
        <v>592</v>
      </c>
      <c r="BC4" s="92" t="s">
        <v>593</v>
      </c>
      <c r="BD4" s="92" t="s">
        <v>594</v>
      </c>
    </row>
    <row r="5" spans="1:56" x14ac:dyDescent="0.35"/>
    <row r="6" spans="1:56" ht="20" thickBot="1" x14ac:dyDescent="0.4">
      <c r="A6" s="7" t="s">
        <v>8</v>
      </c>
    </row>
    <row r="7" spans="1:56" ht="18" thickTop="1" thickBot="1" x14ac:dyDescent="0.4">
      <c r="B7" s="8" t="s">
        <v>9</v>
      </c>
    </row>
    <row r="8" spans="1:56" ht="17" thickTop="1" thickBot="1" x14ac:dyDescent="0.4">
      <c r="C8" s="9" t="s">
        <v>10</v>
      </c>
    </row>
    <row r="9" spans="1:56" x14ac:dyDescent="0.35">
      <c r="E9" s="33" t="s">
        <v>11</v>
      </c>
      <c r="G9" s="33" t="str">
        <f>price_label</f>
        <v>£m 23/24 prices</v>
      </c>
      <c r="H9" s="33" t="s">
        <v>12</v>
      </c>
      <c r="AU9" s="137">
        <f>CHOOSE(UserInterface!$C$22,#REF!,#REF!,#REF!,#REF!,#REF!,Scotland!AU9,Southern!AU9,#REF!)</f>
        <v>0</v>
      </c>
      <c r="AV9" s="20">
        <f>CHOOSE(UserInterface!$C$22,#REF!,#REF!,#REF!,#REF!,#REF!,Scotland!AV9,Southern!AV9,#REF!)</f>
        <v>0</v>
      </c>
      <c r="AW9" s="20">
        <f>CHOOSE(UserInterface!$C$22,#REF!,#REF!,#REF!,#REF!,#REF!,Scotland!AW9,Southern!AW9,#REF!)</f>
        <v>0</v>
      </c>
      <c r="AX9" s="20">
        <f>CHOOSE(UserInterface!$C$22,#REF!,#REF!,#REF!,#REF!,#REF!,Scotland!AX9,Southern!AX9,#REF!)</f>
        <v>0</v>
      </c>
      <c r="AY9" s="20">
        <f>CHOOSE(UserInterface!$C$22,#REF!,#REF!,#REF!,#REF!,#REF!,Scotland!AY9,Southern!AY9,#REF!)</f>
        <v>0</v>
      </c>
      <c r="BA9" s="34" t="str">
        <f ca="1">$A$1</f>
        <v>LicenseeSelect</v>
      </c>
      <c r="BB9" s="34" t="str">
        <f>$A$6</f>
        <v>Variable inputs</v>
      </c>
      <c r="BC9" s="34" t="str">
        <f>$B$7</f>
        <v>Actual totex</v>
      </c>
      <c r="BD9" s="34" t="str">
        <f>$C$8</f>
        <v>Capitalisation rate 1</v>
      </c>
    </row>
    <row r="10" spans="1:56" x14ac:dyDescent="0.35">
      <c r="E10" s="33" t="s">
        <v>14</v>
      </c>
      <c r="G10" s="33" t="str">
        <f>price_label</f>
        <v>£m 23/24 prices</v>
      </c>
      <c r="H10" s="33" t="s">
        <v>15</v>
      </c>
      <c r="AU10" s="137">
        <f>CHOOSE(UserInterface!$C$22,#REF!,#REF!,#REF!,#REF!,#REF!,Scotland!AU10,Southern!AU10,#REF!)</f>
        <v>0</v>
      </c>
      <c r="AV10" s="20">
        <f>CHOOSE(UserInterface!$C$22,#REF!,#REF!,#REF!,#REF!,#REF!,Scotland!AV10,Southern!AV10,#REF!)</f>
        <v>0</v>
      </c>
      <c r="AW10" s="20">
        <f>CHOOSE(UserInterface!$C$22,#REF!,#REF!,#REF!,#REF!,#REF!,Scotland!AW10,Southern!AW10,#REF!)</f>
        <v>0</v>
      </c>
      <c r="AX10" s="20">
        <f>CHOOSE(UserInterface!$C$22,#REF!,#REF!,#REF!,#REF!,#REF!,Scotland!AX10,Southern!AX10,#REF!)</f>
        <v>0</v>
      </c>
      <c r="AY10" s="20">
        <f>CHOOSE(UserInterface!$C$22,#REF!,#REF!,#REF!,#REF!,#REF!,Scotland!AY10,Southern!AY10,#REF!)</f>
        <v>0</v>
      </c>
      <c r="BA10" s="34" t="str">
        <f t="shared" ref="BA10:BA13" ca="1" si="0">$A$1</f>
        <v>LicenseeSelect</v>
      </c>
      <c r="BB10" s="34" t="str">
        <f t="shared" ref="BB10:BB13" si="1">$A$6</f>
        <v>Variable inputs</v>
      </c>
      <c r="BC10" s="34" t="str">
        <f t="shared" ref="BC10:BC13" si="2">$B$7</f>
        <v>Actual totex</v>
      </c>
      <c r="BD10" s="34" t="str">
        <f t="shared" ref="BD10:BD13" si="3">$C$8</f>
        <v>Capitalisation rate 1</v>
      </c>
    </row>
    <row r="11" spans="1:56" x14ac:dyDescent="0.35">
      <c r="E11" s="33" t="s">
        <v>16</v>
      </c>
      <c r="G11" s="33" t="str">
        <f>price_label</f>
        <v>£m 23/24 prices</v>
      </c>
      <c r="H11" s="33" t="s">
        <v>17</v>
      </c>
      <c r="AU11" s="137">
        <f>CHOOSE(UserInterface!$C$22,#REF!,#REF!,#REF!,#REF!,#REF!,Scotland!AU11,Southern!AU11,#REF!)</f>
        <v>0</v>
      </c>
      <c r="AV11" s="20">
        <f>CHOOSE(UserInterface!$C$22,#REF!,#REF!,#REF!,#REF!,#REF!,Scotland!AV11,Southern!AV11,#REF!)</f>
        <v>0</v>
      </c>
      <c r="AW11" s="20">
        <f>CHOOSE(UserInterface!$C$22,#REF!,#REF!,#REF!,#REF!,#REF!,Scotland!AW11,Southern!AW11,#REF!)</f>
        <v>0</v>
      </c>
      <c r="AX11" s="20">
        <f>CHOOSE(UserInterface!$C$22,#REF!,#REF!,#REF!,#REF!,#REF!,Scotland!AX11,Southern!AX11,#REF!)</f>
        <v>0</v>
      </c>
      <c r="AY11" s="20">
        <f>CHOOSE(UserInterface!$C$22,#REF!,#REF!,#REF!,#REF!,#REF!,Scotland!AY11,Southern!AY11,#REF!)</f>
        <v>0</v>
      </c>
      <c r="BA11" s="34" t="str">
        <f t="shared" ca="1" si="0"/>
        <v>LicenseeSelect</v>
      </c>
      <c r="BB11" s="34" t="str">
        <f t="shared" si="1"/>
        <v>Variable inputs</v>
      </c>
      <c r="BC11" s="34" t="str">
        <f t="shared" si="2"/>
        <v>Actual totex</v>
      </c>
      <c r="BD11" s="34" t="str">
        <f t="shared" si="3"/>
        <v>Capitalisation rate 1</v>
      </c>
    </row>
    <row r="12" spans="1:56" x14ac:dyDescent="0.35">
      <c r="E12" s="33" t="s">
        <v>18</v>
      </c>
      <c r="G12" s="33" t="str">
        <f>price_label</f>
        <v>£m 23/24 prices</v>
      </c>
      <c r="H12" s="33" t="s">
        <v>19</v>
      </c>
      <c r="AU12" s="137">
        <f>CHOOSE(UserInterface!$C$22,#REF!,#REF!,#REF!,#REF!,#REF!,Scotland!AU12,Southern!AU12,#REF!)</f>
        <v>0</v>
      </c>
      <c r="AV12" s="20">
        <f>CHOOSE(UserInterface!$C$22,#REF!,#REF!,#REF!,#REF!,#REF!,Scotland!AV12,Southern!AV12,#REF!)</f>
        <v>0</v>
      </c>
      <c r="AW12" s="20">
        <f>CHOOSE(UserInterface!$C$22,#REF!,#REF!,#REF!,#REF!,#REF!,Scotland!AW12,Southern!AW12,#REF!)</f>
        <v>0</v>
      </c>
      <c r="AX12" s="20">
        <f>CHOOSE(UserInterface!$C$22,#REF!,#REF!,#REF!,#REF!,#REF!,Scotland!AX12,Southern!AX12,#REF!)</f>
        <v>0</v>
      </c>
      <c r="AY12" s="20">
        <f>CHOOSE(UserInterface!$C$22,#REF!,#REF!,#REF!,#REF!,#REF!,Scotland!AY12,Southern!AY12,#REF!)</f>
        <v>0</v>
      </c>
      <c r="BA12" s="34" t="str">
        <f t="shared" ca="1" si="0"/>
        <v>LicenseeSelect</v>
      </c>
      <c r="BB12" s="34" t="str">
        <f t="shared" si="1"/>
        <v>Variable inputs</v>
      </c>
      <c r="BC12" s="34" t="str">
        <f t="shared" si="2"/>
        <v>Actual totex</v>
      </c>
      <c r="BD12" s="34" t="str">
        <f t="shared" si="3"/>
        <v>Capitalisation rate 1</v>
      </c>
    </row>
    <row r="13" spans="1:56" x14ac:dyDescent="0.35">
      <c r="E13" s="33" t="s">
        <v>402</v>
      </c>
      <c r="G13" s="33" t="str">
        <f>price_label</f>
        <v>£m 23/24 prices</v>
      </c>
      <c r="H13" s="33" t="s">
        <v>20</v>
      </c>
      <c r="AU13" s="137">
        <f>CHOOSE(UserInterface!$C$22,#REF!,#REF!,#REF!,#REF!,#REF!,Scotland!AU13,Southern!AU13,#REF!)</f>
        <v>0</v>
      </c>
      <c r="AV13" s="20">
        <f>CHOOSE(UserInterface!$C$22,#REF!,#REF!,#REF!,#REF!,#REF!,Scotland!AV13,Southern!AV13,#REF!)</f>
        <v>0</v>
      </c>
      <c r="AW13" s="20">
        <f>CHOOSE(UserInterface!$C$22,#REF!,#REF!,#REF!,#REF!,#REF!,Scotland!AW13,Southern!AW13,#REF!)</f>
        <v>0</v>
      </c>
      <c r="AX13" s="20">
        <f>CHOOSE(UserInterface!$C$22,#REF!,#REF!,#REF!,#REF!,#REF!,Scotland!AX13,Southern!AX13,#REF!)</f>
        <v>0</v>
      </c>
      <c r="AY13" s="20">
        <f>CHOOSE(UserInterface!$C$22,#REF!,#REF!,#REF!,#REF!,#REF!,Scotland!AY13,Southern!AY13,#REF!)</f>
        <v>0</v>
      </c>
      <c r="BA13" s="34" t="str">
        <f t="shared" ca="1" si="0"/>
        <v>LicenseeSelect</v>
      </c>
      <c r="BB13" s="34" t="str">
        <f t="shared" si="1"/>
        <v>Variable inputs</v>
      </c>
      <c r="BC13" s="34" t="str">
        <f t="shared" si="2"/>
        <v>Actual totex</v>
      </c>
      <c r="BD13" s="34" t="str">
        <f t="shared" si="3"/>
        <v>Capitalisation rate 1</v>
      </c>
    </row>
    <row r="14" spans="1:56" x14ac:dyDescent="0.35"/>
    <row r="15" spans="1:56" ht="16.5" thickBot="1" x14ac:dyDescent="0.4">
      <c r="C15" s="9" t="s">
        <v>21</v>
      </c>
    </row>
    <row r="16" spans="1:56" x14ac:dyDescent="0.35">
      <c r="E16" s="33" t="s">
        <v>11</v>
      </c>
      <c r="G16" s="33" t="str">
        <f>price_label</f>
        <v>£m 23/24 prices</v>
      </c>
      <c r="H16" s="33" t="s">
        <v>22</v>
      </c>
      <c r="AU16" s="137">
        <f>CHOOSE(UserInterface!$C$22,#REF!,#REF!,#REF!,#REF!,#REF!,Scotland!AU16,Southern!AU16,#REF!)</f>
        <v>0</v>
      </c>
      <c r="AV16" s="20">
        <f>CHOOSE(UserInterface!$C$22,#REF!,#REF!,#REF!,#REF!,#REF!,Scotland!AV16,Southern!AV16,#REF!)</f>
        <v>0</v>
      </c>
      <c r="AW16" s="20">
        <f>CHOOSE(UserInterface!$C$22,#REF!,#REF!,#REF!,#REF!,#REF!,Scotland!AW16,Southern!AW16,#REF!)</f>
        <v>0</v>
      </c>
      <c r="AX16" s="20">
        <f>CHOOSE(UserInterface!$C$22,#REF!,#REF!,#REF!,#REF!,#REF!,Scotland!AX16,Southern!AX16,#REF!)</f>
        <v>0</v>
      </c>
      <c r="AY16" s="20">
        <f>CHOOSE(UserInterface!$C$22,#REF!,#REF!,#REF!,#REF!,#REF!,Scotland!AY16,Southern!AY16,#REF!)</f>
        <v>0</v>
      </c>
      <c r="BA16" s="34" t="str">
        <f t="shared" ref="BA16:BA20" ca="1" si="4">$A$1</f>
        <v>LicenseeSelect</v>
      </c>
      <c r="BB16" s="34" t="str">
        <f t="shared" ref="BB16:BB20" si="5">$A$6</f>
        <v>Variable inputs</v>
      </c>
      <c r="BC16" s="34" t="str">
        <f t="shared" ref="BC16:BC20" si="6">$B$7</f>
        <v>Actual totex</v>
      </c>
      <c r="BD16" s="34" t="str">
        <f>$C$15</f>
        <v>Capitalisation rate 2</v>
      </c>
    </row>
    <row r="17" spans="2:56" x14ac:dyDescent="0.35">
      <c r="E17" s="33" t="s">
        <v>14</v>
      </c>
      <c r="G17" s="33" t="str">
        <f>price_label</f>
        <v>£m 23/24 prices</v>
      </c>
      <c r="H17" s="33" t="s">
        <v>23</v>
      </c>
      <c r="AU17" s="137">
        <f>CHOOSE(UserInterface!$C$22,#REF!,#REF!,#REF!,#REF!,#REF!,Scotland!AU17,Southern!AU17,#REF!)</f>
        <v>0</v>
      </c>
      <c r="AV17" s="20">
        <f>CHOOSE(UserInterface!$C$22,#REF!,#REF!,#REF!,#REF!,#REF!,Scotland!AV17,Southern!AV17,#REF!)</f>
        <v>0</v>
      </c>
      <c r="AW17" s="20">
        <f>CHOOSE(UserInterface!$C$22,#REF!,#REF!,#REF!,#REF!,#REF!,Scotland!AW17,Southern!AW17,#REF!)</f>
        <v>0</v>
      </c>
      <c r="AX17" s="20">
        <f>CHOOSE(UserInterface!$C$22,#REF!,#REF!,#REF!,#REF!,#REF!,Scotland!AX17,Southern!AX17,#REF!)</f>
        <v>0</v>
      </c>
      <c r="AY17" s="20">
        <f>CHOOSE(UserInterface!$C$22,#REF!,#REF!,#REF!,#REF!,#REF!,Scotland!AY17,Southern!AY17,#REF!)</f>
        <v>0</v>
      </c>
      <c r="BA17" s="34" t="str">
        <f t="shared" ca="1" si="4"/>
        <v>LicenseeSelect</v>
      </c>
      <c r="BB17" s="34" t="str">
        <f t="shared" si="5"/>
        <v>Variable inputs</v>
      </c>
      <c r="BC17" s="34" t="str">
        <f t="shared" si="6"/>
        <v>Actual totex</v>
      </c>
      <c r="BD17" s="34" t="str">
        <f t="shared" ref="BD17:BD20" si="7">$C$15</f>
        <v>Capitalisation rate 2</v>
      </c>
    </row>
    <row r="18" spans="2:56" x14ac:dyDescent="0.35">
      <c r="E18" s="33" t="s">
        <v>16</v>
      </c>
      <c r="G18" s="33" t="str">
        <f>price_label</f>
        <v>£m 23/24 prices</v>
      </c>
      <c r="H18" s="33" t="s">
        <v>24</v>
      </c>
      <c r="AU18" s="137">
        <f>CHOOSE(UserInterface!$C$22,#REF!,#REF!,#REF!,#REF!,#REF!,Scotland!AU18,Southern!AU18,#REF!)</f>
        <v>0</v>
      </c>
      <c r="AV18" s="20">
        <f>CHOOSE(UserInterface!$C$22,#REF!,#REF!,#REF!,#REF!,#REF!,Scotland!AV18,Southern!AV18,#REF!)</f>
        <v>0</v>
      </c>
      <c r="AW18" s="20">
        <f>CHOOSE(UserInterface!$C$22,#REF!,#REF!,#REF!,#REF!,#REF!,Scotland!AW18,Southern!AW18,#REF!)</f>
        <v>0</v>
      </c>
      <c r="AX18" s="20">
        <f>CHOOSE(UserInterface!$C$22,#REF!,#REF!,#REF!,#REF!,#REF!,Scotland!AX18,Southern!AX18,#REF!)</f>
        <v>0</v>
      </c>
      <c r="AY18" s="20">
        <f>CHOOSE(UserInterface!$C$22,#REF!,#REF!,#REF!,#REF!,#REF!,Scotland!AY18,Southern!AY18,#REF!)</f>
        <v>0</v>
      </c>
      <c r="BA18" s="34" t="str">
        <f t="shared" ca="1" si="4"/>
        <v>LicenseeSelect</v>
      </c>
      <c r="BB18" s="34" t="str">
        <f t="shared" si="5"/>
        <v>Variable inputs</v>
      </c>
      <c r="BC18" s="34" t="str">
        <f t="shared" si="6"/>
        <v>Actual totex</v>
      </c>
      <c r="BD18" s="34" t="str">
        <f t="shared" si="7"/>
        <v>Capitalisation rate 2</v>
      </c>
    </row>
    <row r="19" spans="2:56" x14ac:dyDescent="0.35">
      <c r="E19" s="33" t="s">
        <v>18</v>
      </c>
      <c r="G19" s="33" t="str">
        <f>price_label</f>
        <v>£m 23/24 prices</v>
      </c>
      <c r="H19" s="33" t="s">
        <v>25</v>
      </c>
      <c r="AU19" s="137">
        <f>CHOOSE(UserInterface!$C$22,#REF!,#REF!,#REF!,#REF!,#REF!,Scotland!AU19,Southern!AU19,#REF!)</f>
        <v>0</v>
      </c>
      <c r="AV19" s="20">
        <f>CHOOSE(UserInterface!$C$22,#REF!,#REF!,#REF!,#REF!,#REF!,Scotland!AV19,Southern!AV19,#REF!)</f>
        <v>0</v>
      </c>
      <c r="AW19" s="20">
        <f>CHOOSE(UserInterface!$C$22,#REF!,#REF!,#REF!,#REF!,#REF!,Scotland!AW19,Southern!AW19,#REF!)</f>
        <v>0</v>
      </c>
      <c r="AX19" s="20">
        <f>CHOOSE(UserInterface!$C$22,#REF!,#REF!,#REF!,#REF!,#REF!,Scotland!AX19,Southern!AX19,#REF!)</f>
        <v>0</v>
      </c>
      <c r="AY19" s="20">
        <f>CHOOSE(UserInterface!$C$22,#REF!,#REF!,#REF!,#REF!,#REF!,Scotland!AY19,Southern!AY19,#REF!)</f>
        <v>0</v>
      </c>
      <c r="BA19" s="34" t="str">
        <f t="shared" ca="1" si="4"/>
        <v>LicenseeSelect</v>
      </c>
      <c r="BB19" s="34" t="str">
        <f t="shared" si="5"/>
        <v>Variable inputs</v>
      </c>
      <c r="BC19" s="34" t="str">
        <f t="shared" si="6"/>
        <v>Actual totex</v>
      </c>
      <c r="BD19" s="34" t="str">
        <f t="shared" si="7"/>
        <v>Capitalisation rate 2</v>
      </c>
    </row>
    <row r="20" spans="2:56" x14ac:dyDescent="0.35">
      <c r="E20" s="33" t="s">
        <v>402</v>
      </c>
      <c r="G20" s="33" t="str">
        <f>price_label</f>
        <v>£m 23/24 prices</v>
      </c>
      <c r="H20" s="33" t="s">
        <v>26</v>
      </c>
      <c r="AU20" s="137">
        <f>CHOOSE(UserInterface!$C$22,#REF!,#REF!,#REF!,#REF!,#REF!,Scotland!AU20,Southern!AU20,#REF!)</f>
        <v>0</v>
      </c>
      <c r="AV20" s="20">
        <f>CHOOSE(UserInterface!$C$22,#REF!,#REF!,#REF!,#REF!,#REF!,Scotland!AV20,Southern!AV20,#REF!)</f>
        <v>0</v>
      </c>
      <c r="AW20" s="20">
        <f>CHOOSE(UserInterface!$C$22,#REF!,#REF!,#REF!,#REF!,#REF!,Scotland!AW20,Southern!AW20,#REF!)</f>
        <v>0</v>
      </c>
      <c r="AX20" s="20">
        <f>CHOOSE(UserInterface!$C$22,#REF!,#REF!,#REF!,#REF!,#REF!,Scotland!AX20,Southern!AX20,#REF!)</f>
        <v>0</v>
      </c>
      <c r="AY20" s="20">
        <f>CHOOSE(UserInterface!$C$22,#REF!,#REF!,#REF!,#REF!,#REF!,Scotland!AY20,Southern!AY20,#REF!)</f>
        <v>0</v>
      </c>
      <c r="BA20" s="34" t="str">
        <f t="shared" ca="1" si="4"/>
        <v>LicenseeSelect</v>
      </c>
      <c r="BB20" s="34" t="str">
        <f t="shared" si="5"/>
        <v>Variable inputs</v>
      </c>
      <c r="BC20" s="34" t="str">
        <f t="shared" si="6"/>
        <v>Actual totex</v>
      </c>
      <c r="BD20" s="34" t="str">
        <f t="shared" si="7"/>
        <v>Capitalisation rate 2</v>
      </c>
    </row>
    <row r="21" spans="2:56" x14ac:dyDescent="0.35"/>
    <row r="22" spans="2:56" ht="17.5" thickBot="1" x14ac:dyDescent="0.4">
      <c r="B22" s="8" t="s">
        <v>495</v>
      </c>
    </row>
    <row r="23" spans="2:56" ht="16.5" thickTop="1" x14ac:dyDescent="0.35">
      <c r="E23" s="33" t="s">
        <v>195</v>
      </c>
      <c r="G23" s="33" t="str">
        <f>price_label</f>
        <v>£m 23/24 prices</v>
      </c>
      <c r="I23"/>
      <c r="AU23" s="137">
        <f>CHOOSE(UserInterface!$C$22,#REF!,#REF!,#REF!,#REF!,#REF!,Scotland!AU23,Southern!AU23,#REF!)</f>
        <v>0.59012268374037224</v>
      </c>
      <c r="AV23" s="20">
        <f>CHOOSE(UserInterface!$C$22,#REF!,#REF!,#REF!,#REF!,#REF!,Scotland!AV23,Southern!AV23,#REF!)</f>
        <v>0.59012268374037224</v>
      </c>
      <c r="AW23" s="20">
        <f>CHOOSE(UserInterface!$C$22,#REF!,#REF!,#REF!,#REF!,#REF!,Scotland!AW23,Southern!AW23,#REF!)</f>
        <v>0.59012268374037224</v>
      </c>
      <c r="AX23" s="20">
        <f>CHOOSE(UserInterface!$C$22,#REF!,#REF!,#REF!,#REF!,#REF!,Scotland!AX23,Southern!AX23,#REF!)</f>
        <v>0.59012268374037224</v>
      </c>
      <c r="AY23" s="20">
        <f>CHOOSE(UserInterface!$C$22,#REF!,#REF!,#REF!,#REF!,#REF!,Scotland!AY23,Southern!AY23,#REF!)</f>
        <v>0.59012268374037224</v>
      </c>
      <c r="BA23" s="34" t="str">
        <f t="shared" ref="BA23:BA488" ca="1" si="8">$A$1</f>
        <v>LicenseeSelect</v>
      </c>
      <c r="BB23" s="34" t="str">
        <f t="shared" ref="BB23" si="9">$A$6</f>
        <v>Variable inputs</v>
      </c>
      <c r="BC23" s="34" t="str">
        <f>$B$22</f>
        <v>Disposals</v>
      </c>
    </row>
    <row r="24" spans="2:56" x14ac:dyDescent="0.35"/>
    <row r="25" spans="2:56" ht="17.5" thickBot="1" x14ac:dyDescent="0.4">
      <c r="B25" s="8" t="s">
        <v>27</v>
      </c>
    </row>
    <row r="26" spans="2:56" ht="16.5" thickTop="1" x14ac:dyDescent="0.35">
      <c r="E26" s="33" t="s">
        <v>28</v>
      </c>
      <c r="F26" s="33" t="s">
        <v>29</v>
      </c>
      <c r="G26" s="33" t="str">
        <f>nominal</f>
        <v>£m nominal</v>
      </c>
      <c r="H26" s="33" t="s">
        <v>30</v>
      </c>
      <c r="AU26" s="137">
        <f>CHOOSE(UserInterface!$C$22,#REF!,#REF!,#REF!,#REF!,#REF!,Scotland!AU26,Southern!AU26,#REF!)</f>
        <v>3.229270562628169</v>
      </c>
      <c r="AV26" s="20">
        <f>CHOOSE(UserInterface!$C$22,#REF!,#REF!,#REF!,#REF!,#REF!,Scotland!AV26,Southern!AV26,#REF!)</f>
        <v>3.1227167895151688</v>
      </c>
      <c r="AW26" s="20">
        <f>CHOOSE(UserInterface!$C$22,#REF!,#REF!,#REF!,#REF!,#REF!,Scotland!AW26,Southern!AW26,#REF!)</f>
        <v>3.0008715144111839</v>
      </c>
      <c r="AX26" s="20">
        <f>CHOOSE(UserInterface!$C$22,#REF!,#REF!,#REF!,#REF!,#REF!,Scotland!AX26,Southern!AX26,#REF!)</f>
        <v>3.0016947270797867</v>
      </c>
      <c r="AY26" s="20">
        <f>CHOOSE(UserInterface!$C$22,#REF!,#REF!,#REF!,#REF!,#REF!,Scotland!AY26,Southern!AY26,#REF!)</f>
        <v>3.0106945322464527</v>
      </c>
      <c r="BA26" s="34" t="str">
        <f t="shared" ref="BA26:BA36" ca="1" si="10">$A$1</f>
        <v>LicenseeSelect</v>
      </c>
      <c r="BB26" s="34" t="str">
        <f t="shared" ref="BB26:BB36" si="11">$A$6</f>
        <v>Variable inputs</v>
      </c>
      <c r="BC26" s="34" t="str">
        <f>$B$25</f>
        <v>Pass-through costs</v>
      </c>
    </row>
    <row r="27" spans="2:56" x14ac:dyDescent="0.35">
      <c r="E27" s="33" t="s">
        <v>31</v>
      </c>
      <c r="F27" s="33" t="s">
        <v>29</v>
      </c>
      <c r="G27" s="33" t="str">
        <f>nominal</f>
        <v>£m nominal</v>
      </c>
      <c r="H27" s="33" t="s">
        <v>32</v>
      </c>
      <c r="AU27" s="137">
        <f>CHOOSE(UserInterface!$C$22,#REF!,#REF!,#REF!,#REF!,#REF!,Scotland!AU27,Southern!AU27,#REF!)</f>
        <v>2.914345</v>
      </c>
      <c r="AV27" s="20">
        <f>CHOOSE(UserInterface!$C$22,#REF!,#REF!,#REF!,#REF!,#REF!,Scotland!AV27,Southern!AV27,#REF!)</f>
        <v>2.9726319000000001</v>
      </c>
      <c r="AW27" s="20">
        <f>CHOOSE(UserInterface!$C$22,#REF!,#REF!,#REF!,#REF!,#REF!,Scotland!AW27,Southern!AW27,#REF!)</f>
        <v>3.0320845380000003</v>
      </c>
      <c r="AX27" s="20">
        <f>CHOOSE(UserInterface!$C$22,#REF!,#REF!,#REF!,#REF!,#REF!,Scotland!AX27,Southern!AX27,#REF!)</f>
        <v>3.0927262287600001</v>
      </c>
      <c r="AY27" s="20">
        <f>CHOOSE(UserInterface!$C$22,#REF!,#REF!,#REF!,#REF!,#REF!,Scotland!AY27,Southern!AY27,#REF!)</f>
        <v>3.1545807533352002</v>
      </c>
      <c r="BA27" s="34" t="str">
        <f t="shared" ca="1" si="10"/>
        <v>LicenseeSelect</v>
      </c>
      <c r="BB27" s="34" t="str">
        <f t="shared" si="11"/>
        <v>Variable inputs</v>
      </c>
      <c r="BC27" s="34" t="str">
        <f t="shared" ref="BC27:BC36" si="12">$B$25</f>
        <v>Pass-through costs</v>
      </c>
    </row>
    <row r="28" spans="2:56" x14ac:dyDescent="0.35">
      <c r="E28" s="33" t="s">
        <v>33</v>
      </c>
      <c r="F28" s="33" t="s">
        <v>29</v>
      </c>
      <c r="G28" s="33" t="str">
        <f>nominal</f>
        <v>£m nominal</v>
      </c>
      <c r="H28" s="33" t="s">
        <v>34</v>
      </c>
      <c r="AU28" s="137">
        <f>CHOOSE(UserInterface!$C$22,#REF!,#REF!,#REF!,#REF!,#REF!,Scotland!AU28,Southern!AU28,#REF!)</f>
        <v>48.552515999999997</v>
      </c>
      <c r="AV28" s="20">
        <f>CHOOSE(UserInterface!$C$22,#REF!,#REF!,#REF!,#REF!,#REF!,Scotland!AV28,Southern!AV28,#REF!)</f>
        <v>49.466875999999999</v>
      </c>
      <c r="AW28" s="20">
        <f>CHOOSE(UserInterface!$C$22,#REF!,#REF!,#REF!,#REF!,#REF!,Scotland!AW28,Southern!AW28,#REF!)</f>
        <v>50.472672000000003</v>
      </c>
      <c r="AX28" s="20">
        <f>CHOOSE(UserInterface!$C$22,#REF!,#REF!,#REF!,#REF!,#REF!,Scotland!AX28,Southern!AX28,#REF!)</f>
        <v>51.536089846633168</v>
      </c>
      <c r="AY28" s="20">
        <f>CHOOSE(UserInterface!$C$22,#REF!,#REF!,#REF!,#REF!,#REF!,Scotland!AY28,Southern!AY28,#REF!)</f>
        <v>52.63466487913896</v>
      </c>
      <c r="BA28" s="34" t="str">
        <f t="shared" ca="1" si="10"/>
        <v>LicenseeSelect</v>
      </c>
      <c r="BB28" s="34" t="str">
        <f t="shared" si="11"/>
        <v>Variable inputs</v>
      </c>
      <c r="BC28" s="34" t="str">
        <f t="shared" si="12"/>
        <v>Pass-through costs</v>
      </c>
    </row>
    <row r="29" spans="2:56" x14ac:dyDescent="0.35">
      <c r="E29" s="33" t="s">
        <v>35</v>
      </c>
      <c r="F29" s="33" t="s">
        <v>29</v>
      </c>
      <c r="G29" s="33" t="str">
        <f>price_label</f>
        <v>£m 23/24 prices</v>
      </c>
      <c r="H29" s="33" t="s">
        <v>36</v>
      </c>
      <c r="AU29" s="137">
        <f>CHOOSE(UserInterface!$C$22,#REF!,#REF!,#REF!,#REF!,#REF!,Scotland!AU29,Southern!AU29,#REF!)</f>
        <v>-0.1</v>
      </c>
      <c r="AV29" s="20">
        <f>CHOOSE(UserInterface!$C$22,#REF!,#REF!,#REF!,#REF!,#REF!,Scotland!AV29,Southern!AV29,#REF!)</f>
        <v>0</v>
      </c>
      <c r="AW29" s="20">
        <f>CHOOSE(UserInterface!$C$22,#REF!,#REF!,#REF!,#REF!,#REF!,Scotland!AW29,Southern!AW29,#REF!)</f>
        <v>0</v>
      </c>
      <c r="AX29" s="20">
        <f>CHOOSE(UserInterface!$C$22,#REF!,#REF!,#REF!,#REF!,#REF!,Scotland!AX29,Southern!AX29,#REF!)</f>
        <v>0</v>
      </c>
      <c r="AY29" s="20">
        <f>CHOOSE(UserInterface!$C$22,#REF!,#REF!,#REF!,#REF!,#REF!,Scotland!AY29,Southern!AY29,#REF!)</f>
        <v>0</v>
      </c>
      <c r="BA29" s="34" t="str">
        <f t="shared" ca="1" si="10"/>
        <v>LicenseeSelect</v>
      </c>
      <c r="BB29" s="34" t="str">
        <f t="shared" si="11"/>
        <v>Variable inputs</v>
      </c>
      <c r="BC29" s="34" t="str">
        <f t="shared" si="12"/>
        <v>Pass-through costs</v>
      </c>
    </row>
    <row r="30" spans="2:56" x14ac:dyDescent="0.35">
      <c r="E30" s="33" t="s">
        <v>37</v>
      </c>
      <c r="F30" s="33" t="s">
        <v>29</v>
      </c>
      <c r="G30" s="33" t="str">
        <f>price_label</f>
        <v>£m 23/24 prices</v>
      </c>
      <c r="H30" s="33" t="s">
        <v>38</v>
      </c>
      <c r="AU30" s="137">
        <f>CHOOSE(UserInterface!$C$22,#REF!,#REF!,#REF!,#REF!,#REF!,Scotland!AU30,Southern!AU30,#REF!)</f>
        <v>0</v>
      </c>
      <c r="AV30" s="20">
        <f>CHOOSE(UserInterface!$C$22,#REF!,#REF!,#REF!,#REF!,#REF!,Scotland!AV30,Southern!AV30,#REF!)</f>
        <v>0</v>
      </c>
      <c r="AW30" s="20">
        <f>CHOOSE(UserInterface!$C$22,#REF!,#REF!,#REF!,#REF!,#REF!,Scotland!AW30,Southern!AW30,#REF!)</f>
        <v>0</v>
      </c>
      <c r="AX30" s="20">
        <f>CHOOSE(UserInterface!$C$22,#REF!,#REF!,#REF!,#REF!,#REF!,Scotland!AX30,Southern!AX30,#REF!)</f>
        <v>0</v>
      </c>
      <c r="AY30" s="20">
        <f>CHOOSE(UserInterface!$C$22,#REF!,#REF!,#REF!,#REF!,#REF!,Scotland!AY30,Southern!AY30,#REF!)</f>
        <v>0</v>
      </c>
      <c r="BA30" s="34" t="str">
        <f t="shared" ca="1" si="10"/>
        <v>LicenseeSelect</v>
      </c>
      <c r="BB30" s="34" t="str">
        <f t="shared" si="11"/>
        <v>Variable inputs</v>
      </c>
      <c r="BC30" s="34" t="str">
        <f t="shared" si="12"/>
        <v>Pass-through costs</v>
      </c>
    </row>
    <row r="31" spans="2:56" x14ac:dyDescent="0.35">
      <c r="E31" s="33" t="s">
        <v>39</v>
      </c>
      <c r="F31" s="33" t="s">
        <v>29</v>
      </c>
      <c r="G31" s="33" t="str">
        <f t="shared" ref="G31:G36" si="13">nominal</f>
        <v>£m nominal</v>
      </c>
      <c r="H31" s="33" t="s">
        <v>40</v>
      </c>
      <c r="AU31" s="137">
        <f>CHOOSE(UserInterface!$C$22,#REF!,#REF!,#REF!,#REF!,#REF!,Scotland!AU31,Southern!AU31,#REF!)</f>
        <v>0</v>
      </c>
      <c r="AV31" s="20">
        <f>CHOOSE(UserInterface!$C$22,#REF!,#REF!,#REF!,#REF!,#REF!,Scotland!AV31,Southern!AV31,#REF!)</f>
        <v>0</v>
      </c>
      <c r="AW31" s="20">
        <f>CHOOSE(UserInterface!$C$22,#REF!,#REF!,#REF!,#REF!,#REF!,Scotland!AW31,Southern!AW31,#REF!)</f>
        <v>0</v>
      </c>
      <c r="AX31" s="20">
        <f>CHOOSE(UserInterface!$C$22,#REF!,#REF!,#REF!,#REF!,#REF!,Scotland!AX31,Southern!AX31,#REF!)</f>
        <v>0</v>
      </c>
      <c r="AY31" s="20">
        <f>CHOOSE(UserInterface!$C$22,#REF!,#REF!,#REF!,#REF!,#REF!,Scotland!AY31,Southern!AY31,#REF!)</f>
        <v>0</v>
      </c>
      <c r="BA31" s="34" t="str">
        <f t="shared" ca="1" si="10"/>
        <v>LicenseeSelect</v>
      </c>
      <c r="BB31" s="34" t="str">
        <f t="shared" si="11"/>
        <v>Variable inputs</v>
      </c>
      <c r="BC31" s="34" t="str">
        <f t="shared" si="12"/>
        <v>Pass-through costs</v>
      </c>
    </row>
    <row r="32" spans="2:56" x14ac:dyDescent="0.35">
      <c r="E32" s="33" t="s">
        <v>41</v>
      </c>
      <c r="F32" s="33" t="s">
        <v>29</v>
      </c>
      <c r="G32" s="33" t="str">
        <f t="shared" si="13"/>
        <v>£m nominal</v>
      </c>
      <c r="H32" s="33" t="s">
        <v>42</v>
      </c>
      <c r="AU32" s="137">
        <f>CHOOSE(UserInterface!$C$22,#REF!,#REF!,#REF!,#REF!,#REF!,Scotland!AU32,Southern!AU32,#REF!)</f>
        <v>41.2329515572752</v>
      </c>
      <c r="AV32" s="20">
        <f>CHOOSE(UserInterface!$C$22,#REF!,#REF!,#REF!,#REF!,#REF!,Scotland!AV32,Southern!AV32,#REF!)</f>
        <v>45.426995561325015</v>
      </c>
      <c r="AW32" s="20">
        <f>CHOOSE(UserInterface!$C$22,#REF!,#REF!,#REF!,#REF!,#REF!,Scotland!AW32,Southern!AW32,#REF!)</f>
        <v>47.391326149249899</v>
      </c>
      <c r="AX32" s="20">
        <f>CHOOSE(UserInterface!$C$22,#REF!,#REF!,#REF!,#REF!,#REF!,Scotland!AX32,Southern!AX32,#REF!)</f>
        <v>49.849049294962477</v>
      </c>
      <c r="AY32" s="20">
        <f>CHOOSE(UserInterface!$C$22,#REF!,#REF!,#REF!,#REF!,#REF!,Scotland!AY32,Southern!AY32,#REF!)</f>
        <v>50.691906760600354</v>
      </c>
      <c r="BA32" s="34" t="str">
        <f t="shared" ca="1" si="10"/>
        <v>LicenseeSelect</v>
      </c>
      <c r="BB32" s="34" t="str">
        <f t="shared" si="11"/>
        <v>Variable inputs</v>
      </c>
      <c r="BC32" s="34" t="str">
        <f t="shared" si="12"/>
        <v>Pass-through costs</v>
      </c>
    </row>
    <row r="33" spans="2:55" x14ac:dyDescent="0.35">
      <c r="E33" s="33" t="s">
        <v>43</v>
      </c>
      <c r="F33" s="33" t="s">
        <v>29</v>
      </c>
      <c r="G33" s="33" t="str">
        <f t="shared" si="13"/>
        <v>£m nominal</v>
      </c>
      <c r="H33" s="33" t="s">
        <v>44</v>
      </c>
      <c r="AU33" s="137">
        <f>CHOOSE(UserInterface!$C$22,#REF!,#REF!,#REF!,#REF!,#REF!,Scotland!AU33,Southern!AU33,#REF!)</f>
        <v>3.2</v>
      </c>
      <c r="AV33" s="20">
        <f>CHOOSE(UserInterface!$C$22,#REF!,#REF!,#REF!,#REF!,#REF!,Scotland!AV33,Southern!AV33,#REF!)</f>
        <v>3.2</v>
      </c>
      <c r="AW33" s="20">
        <f>CHOOSE(UserInterface!$C$22,#REF!,#REF!,#REF!,#REF!,#REF!,Scotland!AW33,Southern!AW33,#REF!)</f>
        <v>3.1</v>
      </c>
      <c r="AX33" s="20">
        <f>CHOOSE(UserInterface!$C$22,#REF!,#REF!,#REF!,#REF!,#REF!,Scotland!AX33,Southern!AX33,#REF!)</f>
        <v>3.1619999999999999</v>
      </c>
      <c r="AY33" s="20">
        <f>CHOOSE(UserInterface!$C$22,#REF!,#REF!,#REF!,#REF!,#REF!,Scotland!AY33,Southern!AY33,#REF!)</f>
        <v>3.2252399999999999</v>
      </c>
      <c r="BA33" s="34" t="str">
        <f t="shared" ca="1" si="10"/>
        <v>LicenseeSelect</v>
      </c>
      <c r="BB33" s="34" t="str">
        <f t="shared" si="11"/>
        <v>Variable inputs</v>
      </c>
      <c r="BC33" s="34" t="str">
        <f t="shared" si="12"/>
        <v>Pass-through costs</v>
      </c>
    </row>
    <row r="34" spans="2:55" x14ac:dyDescent="0.35">
      <c r="E34" s="33" t="s">
        <v>45</v>
      </c>
      <c r="F34" s="33" t="s">
        <v>29</v>
      </c>
      <c r="G34" s="33" t="str">
        <f t="shared" si="13"/>
        <v>£m nominal</v>
      </c>
      <c r="H34" s="33" t="s">
        <v>46</v>
      </c>
      <c r="AU34" s="137">
        <f>CHOOSE(UserInterface!$C$22,#REF!,#REF!,#REF!,#REF!,#REF!,Scotland!AU34,Southern!AU34,#REF!)</f>
        <v>-3.2604859654086482</v>
      </c>
      <c r="AV34" s="20">
        <f>CHOOSE(UserInterface!$C$22,#REF!,#REF!,#REF!,#REF!,#REF!,Scotland!AV34,Southern!AV34,#REF!)</f>
        <v>0</v>
      </c>
      <c r="AW34" s="20">
        <f>CHOOSE(UserInterface!$C$22,#REF!,#REF!,#REF!,#REF!,#REF!,Scotland!AW34,Southern!AW34,#REF!)</f>
        <v>0</v>
      </c>
      <c r="AX34" s="20">
        <f>CHOOSE(UserInterface!$C$22,#REF!,#REF!,#REF!,#REF!,#REF!,Scotland!AX34,Southern!AX34,#REF!)</f>
        <v>0</v>
      </c>
      <c r="AY34" s="20">
        <f>CHOOSE(UserInterface!$C$22,#REF!,#REF!,#REF!,#REF!,#REF!,Scotland!AY34,Southern!AY34,#REF!)</f>
        <v>0</v>
      </c>
      <c r="BA34" s="34" t="str">
        <f t="shared" ca="1" si="10"/>
        <v>LicenseeSelect</v>
      </c>
      <c r="BB34" s="34" t="str">
        <f t="shared" si="11"/>
        <v>Variable inputs</v>
      </c>
      <c r="BC34" s="34" t="str">
        <f t="shared" si="12"/>
        <v>Pass-through costs</v>
      </c>
    </row>
    <row r="35" spans="2:55" x14ac:dyDescent="0.35">
      <c r="E35" s="33" t="s">
        <v>596</v>
      </c>
      <c r="F35" s="33" t="s">
        <v>29</v>
      </c>
      <c r="G35" s="33" t="str">
        <f t="shared" si="13"/>
        <v>£m nominal</v>
      </c>
      <c r="H35" s="33" t="s">
        <v>573</v>
      </c>
      <c r="AU35" s="137">
        <f>CHOOSE(UserInterface!$C$22,#REF!,#REF!,#REF!,#REF!,#REF!,Scotland!AU35,Southern!AU35,#REF!)</f>
        <v>0</v>
      </c>
      <c r="AV35" s="20">
        <f>CHOOSE(UserInterface!$C$22,#REF!,#REF!,#REF!,#REF!,#REF!,Scotland!AV35,Southern!AV35,#REF!)</f>
        <v>0</v>
      </c>
      <c r="AW35" s="20">
        <f>CHOOSE(UserInterface!$C$22,#REF!,#REF!,#REF!,#REF!,#REF!,Scotland!AW35,Southern!AW35,#REF!)</f>
        <v>0</v>
      </c>
      <c r="AX35" s="20">
        <f>CHOOSE(UserInterface!$C$22,#REF!,#REF!,#REF!,#REF!,#REF!,Scotland!AX35,Southern!AX35,#REF!)</f>
        <v>0</v>
      </c>
      <c r="AY35" s="20">
        <f>CHOOSE(UserInterface!$C$22,#REF!,#REF!,#REF!,#REF!,#REF!,Scotland!AY35,Southern!AY35,#REF!)</f>
        <v>0</v>
      </c>
      <c r="BA35" s="34" t="str">
        <f t="shared" ca="1" si="10"/>
        <v>LicenseeSelect</v>
      </c>
      <c r="BB35" s="34" t="str">
        <f t="shared" si="11"/>
        <v>Variable inputs</v>
      </c>
      <c r="BC35" s="34" t="str">
        <f t="shared" si="12"/>
        <v>Pass-through costs</v>
      </c>
    </row>
    <row r="36" spans="2:55" x14ac:dyDescent="0.35">
      <c r="E36" s="33" t="s">
        <v>47</v>
      </c>
      <c r="F36" s="33" t="s">
        <v>29</v>
      </c>
      <c r="G36" s="33" t="str">
        <f t="shared" si="13"/>
        <v>£m nominal</v>
      </c>
      <c r="H36" s="33" t="s">
        <v>48</v>
      </c>
      <c r="AU36" s="137">
        <f>CHOOSE(UserInterface!$C$22,#REF!,#REF!,#REF!,#REF!,#REF!,Scotland!AU36,Southern!AU36,#REF!)</f>
        <v>0.88937995999999997</v>
      </c>
      <c r="AV36" s="20">
        <f>CHOOSE(UserInterface!$C$22,#REF!,#REF!,#REF!,#REF!,#REF!,Scotland!AV36,Southern!AV36,#REF!)</f>
        <v>0.88170559000000004</v>
      </c>
      <c r="AW36" s="20">
        <f>CHOOSE(UserInterface!$C$22,#REF!,#REF!,#REF!,#REF!,#REF!,Scotland!AW36,Southern!AW36,#REF!)</f>
        <v>0.89915988999999996</v>
      </c>
      <c r="AX36" s="20">
        <f>CHOOSE(UserInterface!$C$22,#REF!,#REF!,#REF!,#REF!,#REF!,Scotland!AX36,Southern!AX36,#REF!)</f>
        <v>0.90930988000000001</v>
      </c>
      <c r="AY36" s="20">
        <f>CHOOSE(UserInterface!$C$22,#REF!,#REF!,#REF!,#REF!,#REF!,Scotland!AY36,Southern!AY36,#REF!)</f>
        <v>0.92749607759999997</v>
      </c>
      <c r="BA36" s="34" t="str">
        <f t="shared" ca="1" si="10"/>
        <v>LicenseeSelect</v>
      </c>
      <c r="BB36" s="34" t="str">
        <f t="shared" si="11"/>
        <v>Variable inputs</v>
      </c>
      <c r="BC36" s="34" t="str">
        <f t="shared" si="12"/>
        <v>Pass-through costs</v>
      </c>
    </row>
    <row r="37" spans="2:55" x14ac:dyDescent="0.35">
      <c r="BA37" s="34" t="str" cm="1">
        <f t="array" aca="1" ref="BA37" ca="1">IF(BB37="","",MID(CELL("filename",$A$1),FIND("]",CELL("filename",$A$1))+1,255))</f>
        <v/>
      </c>
    </row>
    <row r="38" spans="2:55" ht="17.5" thickBot="1" x14ac:dyDescent="0.4">
      <c r="B38" s="8" t="s">
        <v>49</v>
      </c>
      <c r="BA38" s="34" t="str" cm="1">
        <f t="array" aca="1" ref="BA38" ca="1">IF(BB38="","",MID(CELL("filename",$A$1),FIND("]",CELL("filename",$A$1))+1,255))</f>
        <v/>
      </c>
    </row>
    <row r="39" spans="2:55" ht="16.5" thickTop="1" x14ac:dyDescent="0.35">
      <c r="E39" s="33" t="s">
        <v>50</v>
      </c>
      <c r="F39" s="33" t="s">
        <v>51</v>
      </c>
      <c r="G39" s="33" t="str">
        <f t="shared" ref="G39:G44" si="14">price_label</f>
        <v>£m 23/24 prices</v>
      </c>
      <c r="H39" s="33" t="s">
        <v>52</v>
      </c>
      <c r="AU39" s="137">
        <f>CHOOSE(UserInterface!$C$22,#REF!,#REF!,#REF!,#REF!,#REF!,Scotland!AU39,Southern!AU39,#REF!)</f>
        <v>0</v>
      </c>
      <c r="AV39" s="20">
        <f>CHOOSE(UserInterface!$C$22,#REF!,#REF!,#REF!,#REF!,#REF!,Scotland!AV39,Southern!AV39,#REF!)</f>
        <v>0</v>
      </c>
      <c r="AW39" s="20">
        <f>CHOOSE(UserInterface!$C$22,#REF!,#REF!,#REF!,#REF!,#REF!,Scotland!AW39,Southern!AW39,#REF!)</f>
        <v>0</v>
      </c>
      <c r="AX39" s="20">
        <f>CHOOSE(UserInterface!$C$22,#REF!,#REF!,#REF!,#REF!,#REF!,Scotland!AX39,Southern!AX39,#REF!)</f>
        <v>0</v>
      </c>
      <c r="AY39" s="20">
        <f>CHOOSE(UserInterface!$C$22,#REF!,#REF!,#REF!,#REF!,#REF!,Scotland!AY39,Southern!AY39,#REF!)</f>
        <v>0</v>
      </c>
      <c r="BA39" s="34" t="str">
        <f t="shared" ref="BA39:BA44" ca="1" si="15">$A$1</f>
        <v>LicenseeSelect</v>
      </c>
      <c r="BB39" s="34" t="str">
        <f t="shared" ref="BB39:BB44" si="16">$A$6</f>
        <v>Variable inputs</v>
      </c>
      <c r="BC39" s="34" t="str">
        <f>$B$38</f>
        <v>Incentive revenue</v>
      </c>
    </row>
    <row r="40" spans="2:55" x14ac:dyDescent="0.35">
      <c r="E40" s="33" t="s">
        <v>53</v>
      </c>
      <c r="F40" s="33" t="s">
        <v>54</v>
      </c>
      <c r="G40" s="33" t="str">
        <f t="shared" si="14"/>
        <v>£m 23/24 prices</v>
      </c>
      <c r="H40" s="33" t="s">
        <v>55</v>
      </c>
      <c r="AU40" s="137">
        <f>CHOOSE(UserInterface!$C$22,#REF!,#REF!,#REF!,#REF!,#REF!,Scotland!AU40,Southern!AU40,#REF!)</f>
        <v>0</v>
      </c>
      <c r="AV40" s="20">
        <f>CHOOSE(UserInterface!$C$22,#REF!,#REF!,#REF!,#REF!,#REF!,Scotland!AV40,Southern!AV40,#REF!)</f>
        <v>0</v>
      </c>
      <c r="AW40" s="20">
        <f>CHOOSE(UserInterface!$C$22,#REF!,#REF!,#REF!,#REF!,#REF!,Scotland!AW40,Southern!AW40,#REF!)</f>
        <v>0</v>
      </c>
      <c r="AX40" s="20">
        <f>CHOOSE(UserInterface!$C$22,#REF!,#REF!,#REF!,#REF!,#REF!,Scotland!AX40,Southern!AX40,#REF!)</f>
        <v>0</v>
      </c>
      <c r="AY40" s="20">
        <f>CHOOSE(UserInterface!$C$22,#REF!,#REF!,#REF!,#REF!,#REF!,Scotland!AY40,Southern!AY40,#REF!)</f>
        <v>0</v>
      </c>
      <c r="BA40" s="34" t="str">
        <f t="shared" ca="1" si="15"/>
        <v>LicenseeSelect</v>
      </c>
      <c r="BB40" s="34" t="str">
        <f t="shared" si="16"/>
        <v>Variable inputs</v>
      </c>
      <c r="BC40" s="34" t="str">
        <f t="shared" ref="BC40:BC44" si="17">$B$38</f>
        <v>Incentive revenue</v>
      </c>
    </row>
    <row r="41" spans="2:55" x14ac:dyDescent="0.35">
      <c r="E41" s="33" t="s">
        <v>56</v>
      </c>
      <c r="F41" s="33" t="s">
        <v>60</v>
      </c>
      <c r="G41" s="33" t="str">
        <f t="shared" si="14"/>
        <v>£m 23/24 prices</v>
      </c>
      <c r="H41" s="33" t="s">
        <v>58</v>
      </c>
      <c r="AU41" s="137">
        <f>CHOOSE(UserInterface!$C$22,#REF!,#REF!,#REF!,#REF!,#REF!,Scotland!AU41,Southern!AU41,#REF!)</f>
        <v>0</v>
      </c>
      <c r="AV41" s="20">
        <f>CHOOSE(UserInterface!$C$22,#REF!,#REF!,#REF!,#REF!,#REF!,Scotland!AV41,Southern!AV41,#REF!)</f>
        <v>0</v>
      </c>
      <c r="AW41" s="20">
        <f>CHOOSE(UserInterface!$C$22,#REF!,#REF!,#REF!,#REF!,#REF!,Scotland!AW41,Southern!AW41,#REF!)</f>
        <v>0</v>
      </c>
      <c r="AX41" s="20">
        <f>CHOOSE(UserInterface!$C$22,#REF!,#REF!,#REF!,#REF!,#REF!,Scotland!AX41,Southern!AX41,#REF!)</f>
        <v>0</v>
      </c>
      <c r="AY41" s="20">
        <f>CHOOSE(UserInterface!$C$22,#REF!,#REF!,#REF!,#REF!,#REF!,Scotland!AY41,Southern!AY41,#REF!)</f>
        <v>0</v>
      </c>
      <c r="BA41" s="34" t="str">
        <f t="shared" ca="1" si="15"/>
        <v>LicenseeSelect</v>
      </c>
      <c r="BB41" s="34" t="str">
        <f t="shared" si="16"/>
        <v>Variable inputs</v>
      </c>
      <c r="BC41" s="34" t="str">
        <f t="shared" si="17"/>
        <v>Incentive revenue</v>
      </c>
    </row>
    <row r="42" spans="2:55" x14ac:dyDescent="0.35">
      <c r="E42" s="33" t="s">
        <v>59</v>
      </c>
      <c r="F42" s="33" t="s">
        <v>60</v>
      </c>
      <c r="G42" s="33" t="str">
        <f t="shared" si="14"/>
        <v>£m 23/24 prices</v>
      </c>
      <c r="H42" s="33" t="s">
        <v>58</v>
      </c>
      <c r="AU42" s="137">
        <f>CHOOSE(UserInterface!$C$22,#REF!,#REF!,#REF!,#REF!,#REF!,Scotland!AU42,Southern!AU42,#REF!)</f>
        <v>0</v>
      </c>
      <c r="AV42" s="20">
        <f>CHOOSE(UserInterface!$C$22,#REF!,#REF!,#REF!,#REF!,#REF!,Scotland!AV42,Southern!AV42,#REF!)</f>
        <v>0</v>
      </c>
      <c r="AW42" s="20">
        <f>CHOOSE(UserInterface!$C$22,#REF!,#REF!,#REF!,#REF!,#REF!,Scotland!AW42,Southern!AW42,#REF!)</f>
        <v>0</v>
      </c>
      <c r="AX42" s="20">
        <f>CHOOSE(UserInterface!$C$22,#REF!,#REF!,#REF!,#REF!,#REF!,Scotland!AX42,Southern!AX42,#REF!)</f>
        <v>0</v>
      </c>
      <c r="AY42" s="20">
        <f>CHOOSE(UserInterface!$C$22,#REF!,#REF!,#REF!,#REF!,#REF!,Scotland!AY42,Southern!AY42,#REF!)</f>
        <v>0</v>
      </c>
      <c r="BA42" s="34" t="str">
        <f t="shared" ca="1" si="15"/>
        <v>LicenseeSelect</v>
      </c>
      <c r="BB42" s="34" t="str">
        <f t="shared" si="16"/>
        <v>Variable inputs</v>
      </c>
      <c r="BC42" s="34" t="str">
        <f t="shared" si="17"/>
        <v>Incentive revenue</v>
      </c>
    </row>
    <row r="43" spans="2:55" x14ac:dyDescent="0.35">
      <c r="E43" s="33" t="s">
        <v>61</v>
      </c>
      <c r="F43" s="33" t="s">
        <v>57</v>
      </c>
      <c r="G43" s="33" t="str">
        <f t="shared" si="14"/>
        <v>£m 23/24 prices</v>
      </c>
      <c r="H43" s="33" t="s">
        <v>63</v>
      </c>
      <c r="AU43" s="137">
        <f>CHOOSE(UserInterface!$C$22,#REF!,#REF!,#REF!,#REF!,#REF!,Scotland!AU43,Southern!AU43,#REF!)</f>
        <v>0</v>
      </c>
      <c r="AV43" s="20">
        <f>CHOOSE(UserInterface!$C$22,#REF!,#REF!,#REF!,#REF!,#REF!,Scotland!AV43,Southern!AV43,#REF!)</f>
        <v>0</v>
      </c>
      <c r="AW43" s="20">
        <f>CHOOSE(UserInterface!$C$22,#REF!,#REF!,#REF!,#REF!,#REF!,Scotland!AW43,Southern!AW43,#REF!)</f>
        <v>0</v>
      </c>
      <c r="AX43" s="20">
        <f>CHOOSE(UserInterface!$C$22,#REF!,#REF!,#REF!,#REF!,#REF!,Scotland!AX43,Southern!AX43,#REF!)</f>
        <v>0</v>
      </c>
      <c r="AY43" s="20">
        <f>CHOOSE(UserInterface!$C$22,#REF!,#REF!,#REF!,#REF!,#REF!,Scotland!AY43,Southern!AY43,#REF!)</f>
        <v>0</v>
      </c>
      <c r="BA43" s="34" t="str">
        <f t="shared" ca="1" si="15"/>
        <v>LicenseeSelect</v>
      </c>
      <c r="BB43" s="34" t="str">
        <f t="shared" si="16"/>
        <v>Variable inputs</v>
      </c>
      <c r="BC43" s="34" t="str">
        <f t="shared" si="17"/>
        <v>Incentive revenue</v>
      </c>
    </row>
    <row r="44" spans="2:55" x14ac:dyDescent="0.35">
      <c r="E44" s="33" t="s">
        <v>892</v>
      </c>
      <c r="F44" s="33" t="s">
        <v>62</v>
      </c>
      <c r="G44" s="33" t="str">
        <f t="shared" si="14"/>
        <v>£m 23/24 prices</v>
      </c>
      <c r="H44" s="33" t="s">
        <v>893</v>
      </c>
      <c r="AU44" s="137">
        <f>CHOOSE(UserInterface!$C$22,#REF!,#REF!,#REF!,#REF!,#REF!,Scotland!AU44,Southern!AU44,#REF!)</f>
        <v>0</v>
      </c>
      <c r="AV44" s="20">
        <f>CHOOSE(UserInterface!$C$22,#REF!,#REF!,#REF!,#REF!,#REF!,Scotland!AV44,Southern!AV44,#REF!)</f>
        <v>0</v>
      </c>
      <c r="AW44" s="20">
        <f>CHOOSE(UserInterface!$C$22,#REF!,#REF!,#REF!,#REF!,#REF!,Scotland!AW44,Southern!AW44,#REF!)</f>
        <v>0</v>
      </c>
      <c r="AX44" s="20">
        <f>CHOOSE(UserInterface!$C$22,#REF!,#REF!,#REF!,#REF!,#REF!,Scotland!AX44,Southern!AX44,#REF!)</f>
        <v>0</v>
      </c>
      <c r="AY44" s="20">
        <f>CHOOSE(UserInterface!$C$22,#REF!,#REF!,#REF!,#REF!,#REF!,Scotland!AY44,Southern!AY44,#REF!)</f>
        <v>0</v>
      </c>
      <c r="BA44" s="34" t="str">
        <f t="shared" ca="1" si="15"/>
        <v>LicenseeSelect</v>
      </c>
      <c r="BB44" s="34" t="str">
        <f t="shared" si="16"/>
        <v>Variable inputs</v>
      </c>
      <c r="BC44" s="34" t="str">
        <f t="shared" si="17"/>
        <v>Incentive revenue</v>
      </c>
    </row>
    <row r="45" spans="2:55" x14ac:dyDescent="0.35"/>
    <row r="46" spans="2:55" ht="17.5" thickBot="1" x14ac:dyDescent="0.4">
      <c r="B46" s="8" t="s">
        <v>64</v>
      </c>
    </row>
    <row r="47" spans="2:55" ht="16.5" thickTop="1" x14ac:dyDescent="0.35">
      <c r="E47" s="33" t="s">
        <v>404</v>
      </c>
      <c r="F47" s="33" t="s">
        <v>65</v>
      </c>
      <c r="G47" s="33" t="str">
        <f t="shared" ref="G47:G52" si="18">price_label</f>
        <v>£m 23/24 prices</v>
      </c>
      <c r="H47" s="33" t="s">
        <v>66</v>
      </c>
      <c r="AU47" s="137">
        <f>CHOOSE(UserInterface!$C$22,#REF!,#REF!,#REF!,#REF!,#REF!,Scotland!AU47,Southern!AU47,#REF!)</f>
        <v>2.4300000000000002</v>
      </c>
      <c r="AV47" s="20">
        <f>CHOOSE(UserInterface!$C$22,#REF!,#REF!,#REF!,#REF!,#REF!,Scotland!AV47,Southern!AV47,#REF!)</f>
        <v>2.4300000000000002</v>
      </c>
      <c r="AW47" s="20">
        <f>CHOOSE(UserInterface!$C$22,#REF!,#REF!,#REF!,#REF!,#REF!,Scotland!AW47,Southern!AW47,#REF!)</f>
        <v>2.4300000000000002</v>
      </c>
      <c r="AX47" s="20">
        <f>CHOOSE(UserInterface!$C$22,#REF!,#REF!,#REF!,#REF!,#REF!,Scotland!AX47,Southern!AX47,#REF!)</f>
        <v>2.4300000000000002</v>
      </c>
      <c r="AY47" s="20">
        <f>CHOOSE(UserInterface!$C$22,#REF!,#REF!,#REF!,#REF!,#REF!,Scotland!AY47,Southern!AY47,#REF!)</f>
        <v>2.4300000000000002</v>
      </c>
      <c r="BA47" s="34" t="str">
        <f t="shared" ref="BA47:BA52" ca="1" si="19">$A$1</f>
        <v>LicenseeSelect</v>
      </c>
      <c r="BB47" s="34" t="str">
        <f t="shared" ref="BB47:BB52" si="20">$A$6</f>
        <v>Variable inputs</v>
      </c>
      <c r="BC47" s="34" t="str">
        <f>$B$46</f>
        <v>Other revenue allowances</v>
      </c>
    </row>
    <row r="48" spans="2:55" x14ac:dyDescent="0.35">
      <c r="E48" s="33" t="s">
        <v>67</v>
      </c>
      <c r="F48" s="33" t="s">
        <v>68</v>
      </c>
      <c r="G48" s="33" t="str">
        <f t="shared" si="18"/>
        <v>£m 23/24 prices</v>
      </c>
      <c r="H48" s="33" t="s">
        <v>69</v>
      </c>
      <c r="AU48" s="137">
        <f>CHOOSE(UserInterface!$C$22,#REF!,#REF!,#REF!,#REF!,#REF!,Scotland!AU48,Southern!AU48,#REF!)</f>
        <v>0</v>
      </c>
      <c r="AV48" s="20">
        <f>CHOOSE(UserInterface!$C$22,#REF!,#REF!,#REF!,#REF!,#REF!,Scotland!AV48,Southern!AV48,#REF!)</f>
        <v>0</v>
      </c>
      <c r="AW48" s="20">
        <f>CHOOSE(UserInterface!$C$22,#REF!,#REF!,#REF!,#REF!,#REF!,Scotland!AW48,Southern!AW48,#REF!)</f>
        <v>0</v>
      </c>
      <c r="AX48" s="20">
        <f>CHOOSE(UserInterface!$C$22,#REF!,#REF!,#REF!,#REF!,#REF!,Scotland!AX48,Southern!AX48,#REF!)</f>
        <v>0</v>
      </c>
      <c r="AY48" s="20">
        <f>CHOOSE(UserInterface!$C$22,#REF!,#REF!,#REF!,#REF!,#REF!,Scotland!AY48,Southern!AY48,#REF!)</f>
        <v>0</v>
      </c>
      <c r="BA48" s="34" t="str">
        <f t="shared" ca="1" si="19"/>
        <v>LicenseeSelect</v>
      </c>
      <c r="BB48" s="34" t="str">
        <f t="shared" si="20"/>
        <v>Variable inputs</v>
      </c>
      <c r="BC48" s="34" t="str">
        <f t="shared" ref="BC48:BC52" si="21">$B$46</f>
        <v>Other revenue allowances</v>
      </c>
    </row>
    <row r="49" spans="1:55" x14ac:dyDescent="0.35">
      <c r="E49" s="33" t="s">
        <v>70</v>
      </c>
      <c r="F49" s="33" t="s">
        <v>71</v>
      </c>
      <c r="G49" s="33" t="str">
        <f t="shared" si="18"/>
        <v>£m 23/24 prices</v>
      </c>
      <c r="H49" s="33" t="s">
        <v>72</v>
      </c>
      <c r="AU49" s="137">
        <f>CHOOSE(UserInterface!$C$22,#REF!,#REF!,#REF!,#REF!,#REF!,Scotland!AU49,Southern!AU49,#REF!)</f>
        <v>4.476</v>
      </c>
      <c r="AV49" s="20">
        <f>CHOOSE(UserInterface!$C$22,#REF!,#REF!,#REF!,#REF!,#REF!,Scotland!AV49,Southern!AV49,#REF!)</f>
        <v>4.476</v>
      </c>
      <c r="AW49" s="20">
        <f>CHOOSE(UserInterface!$C$22,#REF!,#REF!,#REF!,#REF!,#REF!,Scotland!AW49,Southern!AW49,#REF!)</f>
        <v>4.476</v>
      </c>
      <c r="AX49" s="20">
        <f>CHOOSE(UserInterface!$C$22,#REF!,#REF!,#REF!,#REF!,#REF!,Scotland!AX49,Southern!AX49,#REF!)</f>
        <v>4.476</v>
      </c>
      <c r="AY49" s="20">
        <f>CHOOSE(UserInterface!$C$22,#REF!,#REF!,#REF!,#REF!,#REF!,Scotland!AY49,Southern!AY49,#REF!)</f>
        <v>4.476</v>
      </c>
      <c r="BA49" s="34" t="str">
        <f t="shared" ca="1" si="19"/>
        <v>LicenseeSelect</v>
      </c>
      <c r="BB49" s="34" t="str">
        <f t="shared" si="20"/>
        <v>Variable inputs</v>
      </c>
      <c r="BC49" s="34" t="str">
        <f t="shared" si="21"/>
        <v>Other revenue allowances</v>
      </c>
    </row>
    <row r="50" spans="1:55" x14ac:dyDescent="0.35">
      <c r="E50" s="33" t="s">
        <v>73</v>
      </c>
      <c r="F50" s="33">
        <v>0</v>
      </c>
      <c r="G50" s="33" t="str">
        <f t="shared" si="18"/>
        <v>£m 23/24 prices</v>
      </c>
      <c r="AU50" s="137">
        <f>CHOOSE(UserInterface!$C$22,#REF!,#REF!,#REF!,#REF!,#REF!,Scotland!AU50,Southern!AU50,#REF!)</f>
        <v>0</v>
      </c>
      <c r="AV50" s="20">
        <f>CHOOSE(UserInterface!$C$22,#REF!,#REF!,#REF!,#REF!,#REF!,Scotland!AV50,Southern!AV50,#REF!)</f>
        <v>0</v>
      </c>
      <c r="AW50" s="20">
        <f>CHOOSE(UserInterface!$C$22,#REF!,#REF!,#REF!,#REF!,#REF!,Scotland!AW50,Southern!AW50,#REF!)</f>
        <v>0</v>
      </c>
      <c r="AX50" s="20">
        <f>CHOOSE(UserInterface!$C$22,#REF!,#REF!,#REF!,#REF!,#REF!,Scotland!AX50,Southern!AX50,#REF!)</f>
        <v>0</v>
      </c>
      <c r="AY50" s="20">
        <f>CHOOSE(UserInterface!$C$22,#REF!,#REF!,#REF!,#REF!,#REF!,Scotland!AY50,Southern!AY50,#REF!)</f>
        <v>0</v>
      </c>
      <c r="BA50" s="34" t="str">
        <f t="shared" ca="1" si="19"/>
        <v>LicenseeSelect</v>
      </c>
      <c r="BB50" s="34" t="str">
        <f t="shared" si="20"/>
        <v>Variable inputs</v>
      </c>
      <c r="BC50" s="34" t="str">
        <f t="shared" si="21"/>
        <v>Other revenue allowances</v>
      </c>
    </row>
    <row r="51" spans="1:55" x14ac:dyDescent="0.35">
      <c r="E51" s="33" t="s">
        <v>74</v>
      </c>
      <c r="F51" s="33">
        <v>0</v>
      </c>
      <c r="G51" s="33" t="str">
        <f t="shared" si="18"/>
        <v>£m 23/24 prices</v>
      </c>
      <c r="AU51" s="137">
        <f>CHOOSE(UserInterface!$C$22,#REF!,#REF!,#REF!,#REF!,#REF!,Scotland!AU51,Southern!AU51,#REF!)</f>
        <v>0</v>
      </c>
      <c r="AV51" s="20">
        <f>CHOOSE(UserInterface!$C$22,#REF!,#REF!,#REF!,#REF!,#REF!,Scotland!AV51,Southern!AV51,#REF!)</f>
        <v>0</v>
      </c>
      <c r="AW51" s="20">
        <f>CHOOSE(UserInterface!$C$22,#REF!,#REF!,#REF!,#REF!,#REF!,Scotland!AW51,Southern!AW51,#REF!)</f>
        <v>0</v>
      </c>
      <c r="AX51" s="20">
        <f>CHOOSE(UserInterface!$C$22,#REF!,#REF!,#REF!,#REF!,#REF!,Scotland!AX51,Southern!AX51,#REF!)</f>
        <v>0</v>
      </c>
      <c r="AY51" s="20">
        <f>CHOOSE(UserInterface!$C$22,#REF!,#REF!,#REF!,#REF!,#REF!,Scotland!AY51,Southern!AY51,#REF!)</f>
        <v>0</v>
      </c>
      <c r="BA51" s="34" t="str">
        <f t="shared" ca="1" si="19"/>
        <v>LicenseeSelect</v>
      </c>
      <c r="BB51" s="34" t="str">
        <f t="shared" si="20"/>
        <v>Variable inputs</v>
      </c>
      <c r="BC51" s="34" t="str">
        <f t="shared" si="21"/>
        <v>Other revenue allowances</v>
      </c>
    </row>
    <row r="52" spans="1:55" x14ac:dyDescent="0.35">
      <c r="E52" s="33" t="s">
        <v>75</v>
      </c>
      <c r="F52" s="33">
        <v>0</v>
      </c>
      <c r="G52" s="33" t="str">
        <f t="shared" si="18"/>
        <v>£m 23/24 prices</v>
      </c>
      <c r="AU52" s="137"/>
      <c r="AV52" s="20"/>
      <c r="AW52" s="20"/>
      <c r="AX52" s="20"/>
      <c r="AY52" s="20"/>
      <c r="BA52" s="34" t="str">
        <f t="shared" ca="1" si="19"/>
        <v>LicenseeSelect</v>
      </c>
      <c r="BB52" s="34" t="str">
        <f t="shared" si="20"/>
        <v>Variable inputs</v>
      </c>
      <c r="BC52" s="34" t="str">
        <f t="shared" si="21"/>
        <v>Other revenue allowances</v>
      </c>
    </row>
    <row r="53" spans="1:55" x14ac:dyDescent="0.35"/>
    <row r="54" spans="1:55" ht="17.5" thickBot="1" x14ac:dyDescent="0.4">
      <c r="B54" s="8" t="s">
        <v>831</v>
      </c>
    </row>
    <row r="55" spans="1:55" ht="16.5" thickTop="1" x14ac:dyDescent="0.35">
      <c r="E55" s="33" t="s">
        <v>832</v>
      </c>
      <c r="G55" s="33" t="str">
        <f>price_label</f>
        <v>£m 23/24 prices</v>
      </c>
      <c r="AU55" s="137">
        <f>CHOOSE(UserInterface!$C$22,#REF!,#REF!,#REF!,#REF!,#REF!,Scotland!AU55,Southern!AU55,#REF!)</f>
        <v>-23.616291412904136</v>
      </c>
      <c r="AV55" s="20">
        <f>CHOOSE(UserInterface!$C$22,#REF!,#REF!,#REF!,#REF!,#REF!,Scotland!AV55,Southern!AV55,#REF!)</f>
        <v>-6</v>
      </c>
      <c r="AW55" s="20">
        <f>CHOOSE(UserInterface!$C$22,#REF!,#REF!,#REF!,#REF!,#REF!,Scotland!AW55,Southern!AW55,#REF!)</f>
        <v>11.1</v>
      </c>
      <c r="AX55" s="20">
        <f>CHOOSE(UserInterface!$C$22,#REF!,#REF!,#REF!,#REF!,#REF!,Scotland!AX55,Southern!AX55,#REF!)</f>
        <v>11.1</v>
      </c>
      <c r="BA55" s="34" t="str">
        <f t="shared" ref="BA55" ca="1" si="22">$A$1</f>
        <v>LicenseeSelect</v>
      </c>
      <c r="BB55" s="34" t="str">
        <f t="shared" ref="BB55" si="23">$A$6</f>
        <v>Variable inputs</v>
      </c>
      <c r="BC55" s="34" t="str">
        <f>$B$54</f>
        <v>Revenue profiling</v>
      </c>
    </row>
    <row r="56" spans="1:55" x14ac:dyDescent="0.35"/>
    <row r="57" spans="1:55" ht="17.5" thickBot="1" x14ac:dyDescent="0.4">
      <c r="B57" s="8" t="s">
        <v>842</v>
      </c>
    </row>
    <row r="58" spans="1:55" ht="16.5" thickTop="1" x14ac:dyDescent="0.35">
      <c r="A58"/>
      <c r="B58"/>
      <c r="E58" t="s">
        <v>512</v>
      </c>
      <c r="G58" s="33" t="str">
        <f>nominal</f>
        <v>£m nominal</v>
      </c>
      <c r="J58" s="33" t="s">
        <v>13</v>
      </c>
      <c r="AT58" s="66">
        <f>CHOOSE(UserInterface!$C$22,#REF!,#REF!,#REF!,#REF!,#REF!,Scotland!AT58,Southern!AT58,#REF!)</f>
        <v>0</v>
      </c>
      <c r="AU58" s="138">
        <f>CHOOSE(UserInterface!$C$22,#REF!,#REF!,#REF!,#REF!,#REF!,Scotland!AU58,Southern!AU58,#REF!)</f>
        <v>0</v>
      </c>
      <c r="AV58" s="26">
        <f>CHOOSE(UserInterface!$C$22,#REF!,#REF!,#REF!,#REF!,#REF!,Scotland!AV58,Southern!AV58,#REF!)</f>
        <v>0</v>
      </c>
      <c r="AW58" s="26">
        <f>CHOOSE(UserInterface!$C$22,#REF!,#REF!,#REF!,#REF!,#REF!,Scotland!AW58,Southern!AW58,#REF!)</f>
        <v>0</v>
      </c>
      <c r="AX58" s="26">
        <f>CHOOSE(UserInterface!$C$22,#REF!,#REF!,#REF!,#REF!,#REF!,Scotland!AX58,Southern!AX58,#REF!)</f>
        <v>0</v>
      </c>
      <c r="AY58" s="26">
        <f>CHOOSE(UserInterface!$C$22,#REF!,#REF!,#REF!,#REF!,#REF!,Scotland!AY58,Southern!AY58,#REF!)</f>
        <v>0</v>
      </c>
      <c r="BA58" s="34" t="str">
        <f t="shared" ref="BA58:BA531" ca="1" si="24">$A$1</f>
        <v>LicenseeSelect</v>
      </c>
      <c r="BB58" s="34" t="str">
        <f t="shared" ref="BB58:BB74" si="25">$A$6</f>
        <v>Variable inputs</v>
      </c>
      <c r="BC58" s="34" t="str">
        <f>$B$57</f>
        <v>Allowed revenue true-up</v>
      </c>
    </row>
    <row r="59" spans="1:55" x14ac:dyDescent="0.35">
      <c r="A59"/>
      <c r="B59"/>
      <c r="E59" t="s">
        <v>628</v>
      </c>
      <c r="G59" s="33" t="str">
        <f>nominal</f>
        <v>£m nominal</v>
      </c>
      <c r="J59" s="33" t="s">
        <v>13</v>
      </c>
      <c r="AT59" s="66">
        <f>CHOOSE(UserInterface!$C$22,#REF!,#REF!,#REF!,#REF!,#REF!,Scotland!AT59,Southern!AT59,#REF!)</f>
        <v>0</v>
      </c>
      <c r="AU59"/>
      <c r="AV59"/>
      <c r="AW59"/>
      <c r="AX59"/>
      <c r="AY59"/>
      <c r="BA59" s="34" t="str">
        <f t="shared" ca="1" si="24"/>
        <v>LicenseeSelect</v>
      </c>
      <c r="BB59" s="34" t="str">
        <f t="shared" si="25"/>
        <v>Variable inputs</v>
      </c>
      <c r="BC59" s="34" t="str">
        <f t="shared" ref="BC59:BC61" si="26">$B$57</f>
        <v>Allowed revenue true-up</v>
      </c>
    </row>
    <row r="60" spans="1:55" x14ac:dyDescent="0.35">
      <c r="A60"/>
      <c r="B60"/>
      <c r="E60" s="33" t="s">
        <v>513</v>
      </c>
      <c r="G60" s="33" t="str">
        <f>nominal</f>
        <v>£m nominal</v>
      </c>
      <c r="AT60" s="61"/>
      <c r="AU60" s="138">
        <f>CHOOSE(UserInterface!$C$22,#REF!,#REF!,#REF!,#REF!,#REF!,Scotland!AU60,Southern!AU60,#REF!)</f>
        <v>0</v>
      </c>
      <c r="AV60" s="26">
        <f>CHOOSE(UserInterface!$C$22,#REF!,#REF!,#REF!,#REF!,#REF!,Scotland!AV60,Southern!AV60,#REF!)</f>
        <v>0</v>
      </c>
      <c r="AW60" s="26">
        <f>CHOOSE(UserInterface!$C$22,#REF!,#REF!,#REF!,#REF!,#REF!,Scotland!AW60,Southern!AW60,#REF!)</f>
        <v>0</v>
      </c>
      <c r="AX60" s="26">
        <f>CHOOSE(UserInterface!$C$22,#REF!,#REF!,#REF!,#REF!,#REF!,Scotland!AX60,Southern!AX60,#REF!)</f>
        <v>0</v>
      </c>
      <c r="AY60" s="26">
        <f>CHOOSE(UserInterface!$C$22,#REF!,#REF!,#REF!,#REF!,#REF!,Scotland!AY60,Southern!AY60,#REF!)</f>
        <v>0</v>
      </c>
      <c r="BA60" s="34" t="str">
        <f t="shared" ca="1" si="24"/>
        <v>LicenseeSelect</v>
      </c>
      <c r="BB60" s="34" t="str">
        <f t="shared" si="25"/>
        <v>Variable inputs</v>
      </c>
      <c r="BC60" s="34" t="str">
        <f t="shared" si="26"/>
        <v>Allowed revenue true-up</v>
      </c>
    </row>
    <row r="61" spans="1:55" x14ac:dyDescent="0.35">
      <c r="A61"/>
      <c r="B61"/>
      <c r="E61" t="s">
        <v>514</v>
      </c>
      <c r="G61" s="33" t="str">
        <f>nominal</f>
        <v>£m nominal</v>
      </c>
      <c r="J61" s="33" t="s">
        <v>13</v>
      </c>
      <c r="AT61" s="66">
        <f>CHOOSE(UserInterface!$C$22,#REF!,#REF!,#REF!,#REF!,#REF!,Scotland!AT61,Southern!AT61,#REF!)</f>
        <v>0</v>
      </c>
      <c r="AU61" s="138">
        <f>CHOOSE(UserInterface!$C$22,#REF!,#REF!,#REF!,#REF!,#REF!,Scotland!AU61,Southern!AU61,#REF!)</f>
        <v>0</v>
      </c>
      <c r="AV61" s="26">
        <f>CHOOSE(UserInterface!$C$22,#REF!,#REF!,#REF!,#REF!,#REF!,Scotland!AV61,Southern!AV61,#REF!)</f>
        <v>0</v>
      </c>
      <c r="AW61" s="26">
        <f>CHOOSE(UserInterface!$C$22,#REF!,#REF!,#REF!,#REF!,#REF!,Scotland!AW61,Southern!AW61,#REF!)</f>
        <v>0</v>
      </c>
      <c r="AX61" s="26">
        <f>CHOOSE(UserInterface!$C$22,#REF!,#REF!,#REF!,#REF!,#REF!,Scotland!AX61,Southern!AX61,#REF!)</f>
        <v>0</v>
      </c>
      <c r="AY61" s="26">
        <f>CHOOSE(UserInterface!$C$22,#REF!,#REF!,#REF!,#REF!,#REF!,Scotland!AY61,Southern!AY61,#REF!)</f>
        <v>0</v>
      </c>
      <c r="BA61" s="34" t="str">
        <f t="shared" ca="1" si="24"/>
        <v>LicenseeSelect</v>
      </c>
      <c r="BB61" s="34" t="str">
        <f t="shared" si="25"/>
        <v>Variable inputs</v>
      </c>
      <c r="BC61" s="34" t="str">
        <f t="shared" si="26"/>
        <v>Allowed revenue true-up</v>
      </c>
    </row>
    <row r="62" spans="1:55" x14ac:dyDescent="0.35">
      <c r="A62"/>
      <c r="B62"/>
      <c r="E62" t="s">
        <v>800</v>
      </c>
      <c r="G62" s="33" t="str">
        <f>price_label</f>
        <v>£m 23/24 prices</v>
      </c>
      <c r="J62" s="33" t="s">
        <v>13</v>
      </c>
      <c r="AT62" s="66">
        <f>CHOOSE(UserInterface!$C$22,#REF!,#REF!,#REF!,#REF!,#REF!,Scotland!AT62,Southern!AT62,#REF!)</f>
        <v>391.28112266764794</v>
      </c>
      <c r="AU62"/>
      <c r="AV62"/>
      <c r="AW62"/>
      <c r="AX62"/>
      <c r="AY62"/>
      <c r="BA62" s="34" t="str">
        <f t="shared" ca="1" si="24"/>
        <v>LicenseeSelect</v>
      </c>
      <c r="BB62" s="34" t="str">
        <f t="shared" si="25"/>
        <v>Variable inputs</v>
      </c>
      <c r="BC62" s="34" t="str">
        <f>$B$57</f>
        <v>Allowed revenue true-up</v>
      </c>
    </row>
    <row r="63" spans="1:55" x14ac:dyDescent="0.35">
      <c r="A63"/>
      <c r="B63"/>
      <c r="E63" s="33" t="s">
        <v>801</v>
      </c>
      <c r="G63" s="33" t="str">
        <f>nominal</f>
        <v>£m nominal</v>
      </c>
      <c r="J63" s="33" t="s">
        <v>13</v>
      </c>
      <c r="AT63" s="66">
        <f>CHOOSE(UserInterface!$C$22,#REF!,#REF!,#REF!,#REF!,#REF!,Scotland!AT63,Southern!AT63,#REF!)</f>
        <v>0</v>
      </c>
      <c r="AU63"/>
      <c r="AV63"/>
      <c r="AW63"/>
      <c r="AX63"/>
      <c r="AY63"/>
      <c r="BA63" s="34" t="str">
        <f t="shared" ca="1" si="24"/>
        <v>LicenseeSelect</v>
      </c>
      <c r="BB63" s="34" t="str">
        <f t="shared" si="25"/>
        <v>Variable inputs</v>
      </c>
      <c r="BC63" s="34" t="str">
        <f>$B$57</f>
        <v>Allowed revenue true-up</v>
      </c>
    </row>
    <row r="64" spans="1:55" x14ac:dyDescent="0.35">
      <c r="A64"/>
      <c r="B64"/>
      <c r="E64" s="33" t="s">
        <v>802</v>
      </c>
      <c r="G64" s="33" t="str">
        <f>nominal</f>
        <v>£m nominal</v>
      </c>
      <c r="J64" s="33" t="s">
        <v>13</v>
      </c>
      <c r="AT64" s="66">
        <f>CHOOSE(UserInterface!$C$22,#REF!,#REF!,#REF!,#REF!,#REF!,Scotland!AT64,Southern!AT64,#REF!)</f>
        <v>0</v>
      </c>
      <c r="AU64"/>
      <c r="AV64"/>
      <c r="AW64"/>
      <c r="AX64"/>
      <c r="AY64"/>
      <c r="BA64" s="34" t="str">
        <f t="shared" ca="1" si="24"/>
        <v>LicenseeSelect</v>
      </c>
      <c r="BB64" s="34" t="str">
        <f t="shared" si="25"/>
        <v>Variable inputs</v>
      </c>
      <c r="BC64" s="34" t="str">
        <f>$B$57</f>
        <v>Allowed revenue true-up</v>
      </c>
    </row>
    <row r="65" spans="1:55" x14ac:dyDescent="0.35">
      <c r="A65"/>
      <c r="B65"/>
      <c r="E65" t="s">
        <v>803</v>
      </c>
      <c r="G65" s="33" t="str">
        <f>nominal</f>
        <v>£m nominal</v>
      </c>
      <c r="AT65" s="61"/>
      <c r="AU65" s="138">
        <f>CHOOSE(UserInterface!$C$22,#REF!,#REF!,#REF!,#REF!,#REF!,Scotland!AU65,Southern!AU65,#REF!)</f>
        <v>0</v>
      </c>
      <c r="AV65" s="26">
        <f>CHOOSE(UserInterface!$C$22,#REF!,#REF!,#REF!,#REF!,#REF!,Scotland!AV65,Southern!AV65,#REF!)</f>
        <v>0</v>
      </c>
      <c r="AW65" s="26">
        <f>CHOOSE(UserInterface!$C$22,#REF!,#REF!,#REF!,#REF!,#REF!,Scotland!AW65,Southern!AW65,#REF!)</f>
        <v>0</v>
      </c>
      <c r="AX65" s="26">
        <f>CHOOSE(UserInterface!$C$22,#REF!,#REF!,#REF!,#REF!,#REF!,Scotland!AX65,Southern!AX65,#REF!)</f>
        <v>0</v>
      </c>
      <c r="AY65" s="26">
        <f>CHOOSE(UserInterface!$C$22,#REF!,#REF!,#REF!,#REF!,#REF!,Scotland!AY65,Southern!AY65,#REF!)</f>
        <v>0</v>
      </c>
      <c r="BA65" s="34" t="str">
        <f t="shared" ca="1" si="24"/>
        <v>LicenseeSelect</v>
      </c>
      <c r="BB65" s="34" t="str">
        <f t="shared" si="25"/>
        <v>Variable inputs</v>
      </c>
      <c r="BC65" s="34" t="str">
        <f>$B$57</f>
        <v>Allowed revenue true-up</v>
      </c>
    </row>
    <row r="66" spans="1:55" x14ac:dyDescent="0.35">
      <c r="A66"/>
      <c r="B66"/>
      <c r="E66" t="s">
        <v>804</v>
      </c>
      <c r="G66" s="33" t="str">
        <f>nominal</f>
        <v>£m nominal</v>
      </c>
      <c r="AT66" s="61"/>
      <c r="AU66" s="138">
        <f>CHOOSE(UserInterface!$C$22,#REF!,#REF!,#REF!,#REF!,#REF!,Scotland!AU66,Southern!AU66,#REF!)</f>
        <v>0</v>
      </c>
      <c r="AV66" s="26">
        <f>CHOOSE(UserInterface!$C$22,#REF!,#REF!,#REF!,#REF!,#REF!,Scotland!AV66,Southern!AV66,#REF!)</f>
        <v>0</v>
      </c>
      <c r="AW66" s="26">
        <f>CHOOSE(UserInterface!$C$22,#REF!,#REF!,#REF!,#REF!,#REF!,Scotland!AW66,Southern!AW66,#REF!)</f>
        <v>0</v>
      </c>
      <c r="AX66" s="26">
        <f>CHOOSE(UserInterface!$C$22,#REF!,#REF!,#REF!,#REF!,#REF!,Scotland!AX66,Southern!AX66,#REF!)</f>
        <v>0</v>
      </c>
      <c r="AY66" s="26">
        <f>CHOOSE(UserInterface!$C$22,#REF!,#REF!,#REF!,#REF!,#REF!,Scotland!AY66,Southern!AY66,#REF!)</f>
        <v>0</v>
      </c>
      <c r="BA66" s="34" t="str">
        <f t="shared" ca="1" si="24"/>
        <v>LicenseeSelect</v>
      </c>
      <c r="BB66" s="34" t="str">
        <f t="shared" si="25"/>
        <v>Variable inputs</v>
      </c>
      <c r="BC66" s="34" t="str">
        <f>$B$57</f>
        <v>Allowed revenue true-up</v>
      </c>
    </row>
    <row r="67" spans="1:55" x14ac:dyDescent="0.35">
      <c r="A67"/>
      <c r="B67"/>
      <c r="E67"/>
      <c r="AT67" s="61"/>
      <c r="AU67"/>
      <c r="AV67"/>
      <c r="AW67"/>
      <c r="AX67"/>
      <c r="AY67"/>
    </row>
    <row r="68" spans="1:55" ht="17.5" thickBot="1" x14ac:dyDescent="0.4">
      <c r="B68" s="8" t="s">
        <v>76</v>
      </c>
    </row>
    <row r="69" spans="1:55" ht="16.5" thickTop="1" x14ac:dyDescent="0.35">
      <c r="E69" s="82" t="s">
        <v>517</v>
      </c>
      <c r="G69" s="33" t="str">
        <f t="shared" ref="G69:G74" si="27">nominal</f>
        <v>£m nominal</v>
      </c>
      <c r="H69" s="83" t="s">
        <v>519</v>
      </c>
      <c r="AT69" s="61"/>
      <c r="AU69" s="138">
        <f>CHOOSE(UserInterface!$C$22,#REF!,#REF!,#REF!,#REF!,#REF!,Scotland!AU69,Southern!AU69,#REF!)</f>
        <v>1.7638135340208436</v>
      </c>
      <c r="AV69"/>
      <c r="AW69"/>
      <c r="AX69"/>
      <c r="AY69"/>
      <c r="BA69" s="34" t="str">
        <f t="shared" ca="1" si="24"/>
        <v>LicenseeSelect</v>
      </c>
      <c r="BB69" s="34" t="str">
        <f t="shared" si="25"/>
        <v>Variable inputs</v>
      </c>
      <c r="BC69" s="34" t="str">
        <f>$B$68</f>
        <v>Legacy adjustments</v>
      </c>
    </row>
    <row r="70" spans="1:55" x14ac:dyDescent="0.35">
      <c r="E70" s="33" t="s">
        <v>518</v>
      </c>
      <c r="G70" s="33" t="str">
        <f t="shared" si="27"/>
        <v>£m nominal</v>
      </c>
      <c r="H70" s="33" t="s">
        <v>520</v>
      </c>
      <c r="AU70" s="138">
        <f>CHOOSE(UserInterface!$C$22,#REF!,#REF!,#REF!,#REF!,#REF!,Scotland!AU70,Southern!AU70,#REF!)</f>
        <v>1.1775514439758099</v>
      </c>
      <c r="BA70" s="34" t="str">
        <f t="shared" ca="1" si="24"/>
        <v>LicenseeSelect</v>
      </c>
      <c r="BB70" s="34" t="str">
        <f t="shared" si="25"/>
        <v>Variable inputs</v>
      </c>
      <c r="BC70" s="34" t="str">
        <f>$B$68</f>
        <v>Legacy adjustments</v>
      </c>
    </row>
    <row r="71" spans="1:55" customFormat="1" ht="14.5" x14ac:dyDescent="0.35">
      <c r="E71" t="s">
        <v>601</v>
      </c>
      <c r="G71" s="33" t="str">
        <f t="shared" si="27"/>
        <v>£m nominal</v>
      </c>
      <c r="AT71" s="61"/>
      <c r="AU71" s="138">
        <f>CHOOSE(UserInterface!$C$22,#REF!,#REF!,#REF!,#REF!,#REF!,Scotland!AU71,Southern!AU71,#REF!)</f>
        <v>0</v>
      </c>
      <c r="BA71" s="34" t="str">
        <f t="shared" ca="1" si="24"/>
        <v>LicenseeSelect</v>
      </c>
      <c r="BB71" s="34" t="str">
        <f t="shared" si="25"/>
        <v>Variable inputs</v>
      </c>
      <c r="BC71" s="34" t="str">
        <f t="shared" ref="BC71:BC74" si="28">$B$68</f>
        <v>Legacy adjustments</v>
      </c>
    </row>
    <row r="72" spans="1:55" customFormat="1" ht="14.5" x14ac:dyDescent="0.35">
      <c r="E72" t="s">
        <v>603</v>
      </c>
      <c r="G72" s="33" t="str">
        <f t="shared" si="27"/>
        <v>£m nominal</v>
      </c>
      <c r="AT72" s="61"/>
      <c r="AU72" s="138">
        <f>CHOOSE(UserInterface!$C$22,#REF!,#REF!,#REF!,#REF!,#REF!,Scotland!AU72,Southern!AU72,#REF!)</f>
        <v>0</v>
      </c>
      <c r="BA72" s="34" t="str">
        <f t="shared" ca="1" si="24"/>
        <v>LicenseeSelect</v>
      </c>
      <c r="BB72" s="34" t="str">
        <f t="shared" si="25"/>
        <v>Variable inputs</v>
      </c>
      <c r="BC72" s="34" t="str">
        <f t="shared" si="28"/>
        <v>Legacy adjustments</v>
      </c>
    </row>
    <row r="73" spans="1:55" customFormat="1" ht="14.5" x14ac:dyDescent="0.35">
      <c r="E73" t="s">
        <v>602</v>
      </c>
      <c r="G73" s="33" t="str">
        <f t="shared" si="27"/>
        <v>£m nominal</v>
      </c>
      <c r="AT73" s="61"/>
      <c r="AU73" s="138">
        <f>CHOOSE(UserInterface!$C$22,#REF!,#REF!,#REF!,#REF!,#REF!,Scotland!AU73,Southern!AU73,#REF!)</f>
        <v>0</v>
      </c>
      <c r="BA73" s="34" t="str">
        <f t="shared" ca="1" si="24"/>
        <v>LicenseeSelect</v>
      </c>
      <c r="BB73" s="34" t="str">
        <f t="shared" si="25"/>
        <v>Variable inputs</v>
      </c>
      <c r="BC73" s="34" t="str">
        <f t="shared" si="28"/>
        <v>Legacy adjustments</v>
      </c>
    </row>
    <row r="74" spans="1:55" customFormat="1" ht="14.5" x14ac:dyDescent="0.35">
      <c r="E74" t="s">
        <v>604</v>
      </c>
      <c r="G74" s="33" t="str">
        <f t="shared" si="27"/>
        <v>£m nominal</v>
      </c>
      <c r="AT74" s="61"/>
      <c r="AU74" s="138">
        <f>CHOOSE(UserInterface!$C$22,#REF!,#REF!,#REF!,#REF!,#REF!,Scotland!AU74,Southern!AU74,#REF!)</f>
        <v>0</v>
      </c>
      <c r="BA74" s="34" t="str">
        <f t="shared" ca="1" si="24"/>
        <v>LicenseeSelect</v>
      </c>
      <c r="BB74" s="34" t="str">
        <f t="shared" si="25"/>
        <v>Variable inputs</v>
      </c>
      <c r="BC74" s="34" t="str">
        <f t="shared" si="28"/>
        <v>Legacy adjustments</v>
      </c>
    </row>
    <row r="75" spans="1:55" x14ac:dyDescent="0.35"/>
    <row r="76" spans="1:55" ht="17.5" thickBot="1" x14ac:dyDescent="0.4">
      <c r="B76" s="8" t="s">
        <v>78</v>
      </c>
      <c r="AS76"/>
    </row>
    <row r="77" spans="1:55" ht="16.5" thickTop="1" x14ac:dyDescent="0.35">
      <c r="E77" s="33" t="s">
        <v>79</v>
      </c>
      <c r="G77" s="33" t="str">
        <f>price_label</f>
        <v>£m 23/24 prices</v>
      </c>
      <c r="H77" s="33" t="s">
        <v>80</v>
      </c>
      <c r="AU77" s="137">
        <f>CHOOSE(UserInterface!$C$22,#REF!,#REF!,#REF!,#REF!,#REF!,Scotland!AU77,Southern!AU77,#REF!)</f>
        <v>0</v>
      </c>
      <c r="AV77" s="20">
        <f>CHOOSE(UserInterface!$C$22,#REF!,#REF!,#REF!,#REF!,#REF!,Scotland!AV77,Southern!AV77,#REF!)</f>
        <v>0</v>
      </c>
      <c r="AW77" s="20">
        <f>CHOOSE(UserInterface!$C$22,#REF!,#REF!,#REF!,#REF!,#REF!,Scotland!AW77,Southern!AW77,#REF!)</f>
        <v>0</v>
      </c>
      <c r="AX77" s="20">
        <f>CHOOSE(UserInterface!$C$22,#REF!,#REF!,#REF!,#REF!,#REF!,Scotland!AX77,Southern!AX77,#REF!)</f>
        <v>0</v>
      </c>
      <c r="AY77" s="20">
        <f>CHOOSE(UserInterface!$C$22,#REF!,#REF!,#REF!,#REF!,#REF!,Scotland!AY77,Southern!AY77,#REF!)</f>
        <v>0</v>
      </c>
      <c r="BA77" s="34" t="str">
        <f t="shared" ref="BA77:BA80" ca="1" si="29">$A$1</f>
        <v>LicenseeSelect</v>
      </c>
      <c r="BB77" s="34" t="str">
        <f t="shared" ref="BB77:BB80" si="30">$A$6</f>
        <v>Variable inputs</v>
      </c>
      <c r="BC77" s="34" t="str">
        <f>$B$76</f>
        <v>Directly remunerated services</v>
      </c>
    </row>
    <row r="78" spans="1:55" x14ac:dyDescent="0.35">
      <c r="E78" s="33" t="s">
        <v>81</v>
      </c>
      <c r="G78" s="33" t="str">
        <f>price_label</f>
        <v>£m 23/24 prices</v>
      </c>
      <c r="H78" s="33" t="s">
        <v>82</v>
      </c>
      <c r="AU78" s="137">
        <f>CHOOSE(UserInterface!$C$22,#REF!,#REF!,#REF!,#REF!,#REF!,Scotland!AU78,Southern!AU78,#REF!)</f>
        <v>0</v>
      </c>
      <c r="AV78" s="20">
        <f>CHOOSE(UserInterface!$C$22,#REF!,#REF!,#REF!,#REF!,#REF!,Scotland!AV78,Southern!AV78,#REF!)</f>
        <v>0</v>
      </c>
      <c r="AW78" s="20">
        <f>CHOOSE(UserInterface!$C$22,#REF!,#REF!,#REF!,#REF!,#REF!,Scotland!AW78,Southern!AW78,#REF!)</f>
        <v>0</v>
      </c>
      <c r="AX78" s="20">
        <f>CHOOSE(UserInterface!$C$22,#REF!,#REF!,#REF!,#REF!,#REF!,Scotland!AX78,Southern!AX78,#REF!)</f>
        <v>0</v>
      </c>
      <c r="AY78" s="20">
        <f>CHOOSE(UserInterface!$C$22,#REF!,#REF!,#REF!,#REF!,#REF!,Scotland!AY78,Southern!AY78,#REF!)</f>
        <v>0</v>
      </c>
      <c r="BA78" s="34" t="str">
        <f t="shared" ca="1" si="29"/>
        <v>LicenseeSelect</v>
      </c>
      <c r="BB78" s="34" t="str">
        <f t="shared" si="30"/>
        <v>Variable inputs</v>
      </c>
      <c r="BC78" s="34" t="str">
        <f t="shared" ref="BC78:BC80" si="31">$B$76</f>
        <v>Directly remunerated services</v>
      </c>
    </row>
    <row r="79" spans="1:55" x14ac:dyDescent="0.35">
      <c r="E79" s="33" t="s">
        <v>83</v>
      </c>
      <c r="G79" s="33" t="str">
        <f>price_label</f>
        <v>£m 23/24 prices</v>
      </c>
      <c r="H79" s="33" t="s">
        <v>84</v>
      </c>
      <c r="AU79" s="137">
        <f>CHOOSE(UserInterface!$C$22,#REF!,#REF!,#REF!,#REF!,#REF!,Scotland!AU79,Southern!AU79,#REF!)</f>
        <v>0</v>
      </c>
      <c r="AV79" s="20">
        <f>CHOOSE(UserInterface!$C$22,#REF!,#REF!,#REF!,#REF!,#REF!,Scotland!AV79,Southern!AV79,#REF!)</f>
        <v>0</v>
      </c>
      <c r="AW79" s="20">
        <f>CHOOSE(UserInterface!$C$22,#REF!,#REF!,#REF!,#REF!,#REF!,Scotland!AW79,Southern!AW79,#REF!)</f>
        <v>0</v>
      </c>
      <c r="AX79" s="20">
        <f>CHOOSE(UserInterface!$C$22,#REF!,#REF!,#REF!,#REF!,#REF!,Scotland!AX79,Southern!AX79,#REF!)</f>
        <v>0</v>
      </c>
      <c r="AY79" s="20">
        <f>CHOOSE(UserInterface!$C$22,#REF!,#REF!,#REF!,#REF!,#REF!,Scotland!AY79,Southern!AY79,#REF!)</f>
        <v>0</v>
      </c>
      <c r="BA79" s="34" t="str">
        <f t="shared" ca="1" si="29"/>
        <v>LicenseeSelect</v>
      </c>
      <c r="BB79" s="34" t="str">
        <f t="shared" si="30"/>
        <v>Variable inputs</v>
      </c>
      <c r="BC79" s="34" t="str">
        <f t="shared" si="31"/>
        <v>Directly remunerated services</v>
      </c>
    </row>
    <row r="80" spans="1:55" x14ac:dyDescent="0.35">
      <c r="E80" s="33" t="s">
        <v>85</v>
      </c>
      <c r="G80" s="33" t="str">
        <f>price_label</f>
        <v>£m 23/24 prices</v>
      </c>
      <c r="H80" s="33" t="s">
        <v>86</v>
      </c>
      <c r="AU80" s="137">
        <f>CHOOSE(UserInterface!$C$22,#REF!,#REF!,#REF!,#REF!,#REF!,Scotland!AU80,Southern!AU80,#REF!)</f>
        <v>0</v>
      </c>
      <c r="AV80" s="20">
        <f>CHOOSE(UserInterface!$C$22,#REF!,#REF!,#REF!,#REF!,#REF!,Scotland!AV80,Southern!AV80,#REF!)</f>
        <v>0</v>
      </c>
      <c r="AW80" s="20">
        <f>CHOOSE(UserInterface!$C$22,#REF!,#REF!,#REF!,#REF!,#REF!,Scotland!AW80,Southern!AW80,#REF!)</f>
        <v>0</v>
      </c>
      <c r="AX80" s="20">
        <f>CHOOSE(UserInterface!$C$22,#REF!,#REF!,#REF!,#REF!,#REF!,Scotland!AX80,Southern!AX80,#REF!)</f>
        <v>0</v>
      </c>
      <c r="AY80" s="20">
        <f>CHOOSE(UserInterface!$C$22,#REF!,#REF!,#REF!,#REF!,#REF!,Scotland!AY80,Southern!AY80,#REF!)</f>
        <v>0</v>
      </c>
      <c r="BA80" s="34" t="str">
        <f t="shared" ca="1" si="29"/>
        <v>LicenseeSelect</v>
      </c>
      <c r="BB80" s="34" t="str">
        <f t="shared" si="30"/>
        <v>Variable inputs</v>
      </c>
      <c r="BC80" s="34" t="str">
        <f t="shared" si="31"/>
        <v>Directly remunerated services</v>
      </c>
    </row>
    <row r="81" spans="2:55" x14ac:dyDescent="0.35"/>
    <row r="82" spans="2:55" ht="17.5" thickBot="1" x14ac:dyDescent="0.4">
      <c r="B82" s="8" t="s">
        <v>475</v>
      </c>
    </row>
    <row r="83" spans="2:55" ht="16.5" thickTop="1" x14ac:dyDescent="0.35">
      <c r="E83" s="33" t="s">
        <v>88</v>
      </c>
      <c r="G83" s="33" t="str">
        <f t="shared" ref="G83:G85" si="32">nominal</f>
        <v>£m nominal</v>
      </c>
      <c r="H83" s="33" t="s">
        <v>89</v>
      </c>
      <c r="AU83" s="137">
        <f>CHOOSE(UserInterface!$C$22,#REF!,#REF!,#REF!,#REF!,#REF!,Scotland!AU83,Southern!AU83,#REF!)</f>
        <v>0</v>
      </c>
      <c r="AV83" s="20">
        <f>CHOOSE(UserInterface!$C$22,#REF!,#REF!,#REF!,#REF!,#REF!,Scotland!AV83,Southern!AV83,#REF!)</f>
        <v>0</v>
      </c>
      <c r="AW83" s="20">
        <f>CHOOSE(UserInterface!$C$22,#REF!,#REF!,#REF!,#REF!,#REF!,Scotland!AW83,Southern!AW83,#REF!)</f>
        <v>0</v>
      </c>
      <c r="AX83" s="20">
        <f>CHOOSE(UserInterface!$C$22,#REF!,#REF!,#REF!,#REF!,#REF!,Scotland!AX83,Southern!AX83,#REF!)</f>
        <v>0</v>
      </c>
      <c r="AY83" s="20">
        <f>CHOOSE(UserInterface!$C$22,#REF!,#REF!,#REF!,#REF!,#REF!,Scotland!AY83,Southern!AY83,#REF!)</f>
        <v>0</v>
      </c>
      <c r="BA83" s="34" t="str">
        <f t="shared" ref="BA83:BA85" ca="1" si="33">$A$1</f>
        <v>LicenseeSelect</v>
      </c>
      <c r="BB83" s="34" t="str">
        <f t="shared" ref="BB83:BB95" si="34">$A$6</f>
        <v>Variable inputs</v>
      </c>
      <c r="BC83" s="34" t="str">
        <f>$B$82</f>
        <v>Tax</v>
      </c>
    </row>
    <row r="84" spans="2:55" x14ac:dyDescent="0.35">
      <c r="E84" s="33" t="s">
        <v>90</v>
      </c>
      <c r="G84" s="33" t="str">
        <f t="shared" si="32"/>
        <v>£m nominal</v>
      </c>
      <c r="H84" s="33" t="s">
        <v>91</v>
      </c>
      <c r="AU84" s="137">
        <f>CHOOSE(UserInterface!$C$22,#REF!,#REF!,#REF!,#REF!,#REF!,Scotland!AU84,Southern!AU84,#REF!)</f>
        <v>0</v>
      </c>
      <c r="AV84" s="20">
        <f>CHOOSE(UserInterface!$C$22,#REF!,#REF!,#REF!,#REF!,#REF!,Scotland!AV84,Southern!AV84,#REF!)</f>
        <v>0</v>
      </c>
      <c r="AW84" s="20">
        <f>CHOOSE(UserInterface!$C$22,#REF!,#REF!,#REF!,#REF!,#REF!,Scotland!AW84,Southern!AW84,#REF!)</f>
        <v>0</v>
      </c>
      <c r="AX84" s="20">
        <f>CHOOSE(UserInterface!$C$22,#REF!,#REF!,#REF!,#REF!,#REF!,Scotland!AX84,Southern!AX84,#REF!)</f>
        <v>0</v>
      </c>
      <c r="AY84" s="20">
        <f>CHOOSE(UserInterface!$C$22,#REF!,#REF!,#REF!,#REF!,#REF!,Scotland!AY84,Southern!AY84,#REF!)</f>
        <v>0</v>
      </c>
      <c r="BA84" s="34" t="str">
        <f t="shared" ca="1" si="33"/>
        <v>LicenseeSelect</v>
      </c>
      <c r="BB84" s="34" t="str">
        <f t="shared" si="34"/>
        <v>Variable inputs</v>
      </c>
      <c r="BC84" s="34" t="str">
        <f t="shared" ref="BC84:BC95" si="35">$B$82</f>
        <v>Tax</v>
      </c>
    </row>
    <row r="85" spans="2:55" x14ac:dyDescent="0.35">
      <c r="E85" s="33" t="s">
        <v>92</v>
      </c>
      <c r="F85" s="33" t="s">
        <v>93</v>
      </c>
      <c r="G85" s="33" t="str">
        <f t="shared" si="32"/>
        <v>£m nominal</v>
      </c>
      <c r="H85" s="33" t="s">
        <v>94</v>
      </c>
      <c r="AU85" s="137">
        <f>CHOOSE(UserInterface!$C$22,#REF!,#REF!,#REF!,#REF!,#REF!,Scotland!AU85,Southern!AU85,#REF!)</f>
        <v>0</v>
      </c>
      <c r="AV85" s="20">
        <f>CHOOSE(UserInterface!$C$22,#REF!,#REF!,#REF!,#REF!,#REF!,Scotland!AV85,Southern!AV85,#REF!)</f>
        <v>0</v>
      </c>
      <c r="AW85" s="20">
        <f>CHOOSE(UserInterface!$C$22,#REF!,#REF!,#REF!,#REF!,#REF!,Scotland!AW85,Southern!AW85,#REF!)</f>
        <v>0</v>
      </c>
      <c r="AX85" s="20">
        <f>CHOOSE(UserInterface!$C$22,#REF!,#REF!,#REF!,#REF!,#REF!,Scotland!AX85,Southern!AX85,#REF!)</f>
        <v>0</v>
      </c>
      <c r="AY85" s="20">
        <f>CHOOSE(UserInterface!$C$22,#REF!,#REF!,#REF!,#REF!,#REF!,Scotland!AY85,Southern!AY85,#REF!)</f>
        <v>0</v>
      </c>
      <c r="BA85" s="34" t="str">
        <f t="shared" ca="1" si="33"/>
        <v>LicenseeSelect</v>
      </c>
      <c r="BB85" s="34" t="str">
        <f t="shared" si="34"/>
        <v>Variable inputs</v>
      </c>
      <c r="BC85" s="34" t="str">
        <f t="shared" si="35"/>
        <v>Tax</v>
      </c>
    </row>
    <row r="86" spans="2:55" x14ac:dyDescent="0.35">
      <c r="E86" s="33" t="s">
        <v>95</v>
      </c>
      <c r="G86" s="33" t="str">
        <f>price_label</f>
        <v>£m 23/24 prices</v>
      </c>
      <c r="H86" s="33" t="s">
        <v>96</v>
      </c>
      <c r="AU86" s="137">
        <f>CHOOSE(UserInterface!$C$22,#REF!,#REF!,#REF!,#REF!,#REF!,Scotland!AU86,Southern!AU86,#REF!)</f>
        <v>0</v>
      </c>
      <c r="AV86" s="20">
        <f>CHOOSE(UserInterface!$C$22,#REF!,#REF!,#REF!,#REF!,#REF!,Scotland!AV86,Southern!AV86,#REF!)</f>
        <v>0</v>
      </c>
      <c r="AW86" s="20">
        <f>CHOOSE(UserInterface!$C$22,#REF!,#REF!,#REF!,#REF!,#REF!,Scotland!AW86,Southern!AW86,#REF!)</f>
        <v>0</v>
      </c>
      <c r="AX86" s="20">
        <f>CHOOSE(UserInterface!$C$22,#REF!,#REF!,#REF!,#REF!,#REF!,Scotland!AX86,Southern!AX86,#REF!)</f>
        <v>0</v>
      </c>
      <c r="AY86" s="20">
        <f>CHOOSE(UserInterface!$C$22,#REF!,#REF!,#REF!,#REF!,#REF!,Scotland!AY86,Southern!AY86,#REF!)</f>
        <v>0</v>
      </c>
      <c r="BA86" s="34" t="str">
        <f t="shared" ref="BA86:BA93" ca="1" si="36">$A$1</f>
        <v>LicenseeSelect</v>
      </c>
      <c r="BB86" s="34" t="str">
        <f t="shared" si="34"/>
        <v>Variable inputs</v>
      </c>
      <c r="BC86" s="34" t="str">
        <f t="shared" si="35"/>
        <v>Tax</v>
      </c>
    </row>
    <row r="87" spans="2:55" x14ac:dyDescent="0.35">
      <c r="E87" s="33" t="s">
        <v>99</v>
      </c>
      <c r="G87" s="33" t="str">
        <f t="shared" ref="G87:G95" si="37">nominal</f>
        <v>£m nominal</v>
      </c>
      <c r="H87" s="33" t="s">
        <v>100</v>
      </c>
      <c r="AU87" s="137">
        <f>CHOOSE(UserInterface!$C$22,#REF!,#REF!,#REF!,#REF!,#REF!,Scotland!AU87,Southern!AU87,#REF!)</f>
        <v>48.018793862574022</v>
      </c>
      <c r="BA87" s="34" t="str">
        <f t="shared" ca="1" si="36"/>
        <v>LicenseeSelect</v>
      </c>
      <c r="BB87" s="34" t="str">
        <f t="shared" si="34"/>
        <v>Variable inputs</v>
      </c>
      <c r="BC87" s="34" t="str">
        <f t="shared" si="35"/>
        <v>Tax</v>
      </c>
    </row>
    <row r="88" spans="2:55" x14ac:dyDescent="0.35">
      <c r="E88" s="33" t="s">
        <v>806</v>
      </c>
      <c r="G88" s="33" t="str">
        <f t="shared" si="37"/>
        <v>£m nominal</v>
      </c>
      <c r="H88" s="33" t="s">
        <v>102</v>
      </c>
      <c r="AU88" s="137">
        <f>CHOOSE(UserInterface!$C$22,#REF!,#REF!,#REF!,#REF!,#REF!,Scotland!AU88,Southern!AU88,#REF!)</f>
        <v>381.20025331433436</v>
      </c>
      <c r="BA88" s="34" t="str">
        <f t="shared" ca="1" si="36"/>
        <v>LicenseeSelect</v>
      </c>
      <c r="BB88" s="34" t="str">
        <f t="shared" si="34"/>
        <v>Variable inputs</v>
      </c>
      <c r="BC88" s="34" t="str">
        <f t="shared" si="35"/>
        <v>Tax</v>
      </c>
    </row>
    <row r="89" spans="2:55" x14ac:dyDescent="0.35">
      <c r="E89" s="33" t="s">
        <v>808</v>
      </c>
      <c r="G89" s="33" t="str">
        <f t="shared" si="37"/>
        <v>£m nominal</v>
      </c>
      <c r="H89" s="33" t="s">
        <v>103</v>
      </c>
      <c r="AU89" s="137">
        <f>CHOOSE(UserInterface!$C$22,#REF!,#REF!,#REF!,#REF!,#REF!,Scotland!AU89,Southern!AU89,#REF!)</f>
        <v>9.264760373136296</v>
      </c>
      <c r="BA89" s="34" t="str">
        <f t="shared" ca="1" si="36"/>
        <v>LicenseeSelect</v>
      </c>
      <c r="BB89" s="34" t="str">
        <f t="shared" si="34"/>
        <v>Variable inputs</v>
      </c>
      <c r="BC89" s="34" t="str">
        <f t="shared" si="35"/>
        <v>Tax</v>
      </c>
    </row>
    <row r="90" spans="2:55" x14ac:dyDescent="0.35">
      <c r="E90" s="33" t="s">
        <v>810</v>
      </c>
      <c r="G90" s="33" t="str">
        <f t="shared" si="37"/>
        <v>£m nominal</v>
      </c>
      <c r="H90" s="33" t="s">
        <v>104</v>
      </c>
      <c r="AU90" s="137">
        <f>CHOOSE(UserInterface!$C$22,#REF!,#REF!,#REF!,#REF!,#REF!,Scotland!AU90,Southern!AU90,#REF!)</f>
        <v>668.21849933633644</v>
      </c>
      <c r="BA90" s="34" t="str">
        <f t="shared" ref="BA90:BA527" ca="1" si="38">$A$1</f>
        <v>LicenseeSelect</v>
      </c>
      <c r="BB90" s="34" t="str">
        <f t="shared" si="34"/>
        <v>Variable inputs</v>
      </c>
      <c r="BC90" s="34" t="str">
        <f t="shared" si="35"/>
        <v>Tax</v>
      </c>
    </row>
    <row r="91" spans="2:55" x14ac:dyDescent="0.35">
      <c r="E91" s="33" t="s">
        <v>405</v>
      </c>
      <c r="G91" s="33" t="str">
        <f t="shared" si="37"/>
        <v>£m nominal</v>
      </c>
      <c r="H91" s="33" t="s">
        <v>97</v>
      </c>
      <c r="AU91" s="137">
        <f>CHOOSE(UserInterface!$C$22,#REF!,#REF!,#REF!,#REF!,#REF!,Scotland!AU91,Southern!AU91,#REF!)</f>
        <v>0</v>
      </c>
      <c r="AV91"/>
      <c r="AW91"/>
      <c r="AX91"/>
      <c r="AY91"/>
      <c r="BA91" s="34" t="str">
        <f t="shared" ca="1" si="36"/>
        <v>LicenseeSelect</v>
      </c>
      <c r="BB91" s="34" t="str">
        <f t="shared" si="34"/>
        <v>Variable inputs</v>
      </c>
      <c r="BC91" s="34" t="str">
        <f t="shared" si="35"/>
        <v>Tax</v>
      </c>
    </row>
    <row r="92" spans="2:55" x14ac:dyDescent="0.35">
      <c r="E92" s="33" t="s">
        <v>805</v>
      </c>
      <c r="G92" s="33" t="str">
        <f t="shared" si="37"/>
        <v>£m nominal</v>
      </c>
      <c r="H92" s="33" t="s">
        <v>98</v>
      </c>
      <c r="AU92" s="137">
        <f>CHOOSE(UserInterface!$C$22,#REF!,#REF!,#REF!,#REF!,#REF!,Scotland!AU92,Southern!AU92,#REF!)</f>
        <v>0</v>
      </c>
      <c r="AV92"/>
      <c r="AW92"/>
      <c r="AX92"/>
      <c r="AY92"/>
      <c r="BA92" s="34" t="str">
        <f t="shared" ca="1" si="36"/>
        <v>LicenseeSelect</v>
      </c>
      <c r="BB92" s="34" t="str">
        <f t="shared" si="34"/>
        <v>Variable inputs</v>
      </c>
      <c r="BC92" s="34" t="str">
        <f t="shared" si="35"/>
        <v>Tax</v>
      </c>
    </row>
    <row r="93" spans="2:55" x14ac:dyDescent="0.35">
      <c r="E93" s="33" t="s">
        <v>809</v>
      </c>
      <c r="G93" s="33" t="str">
        <f t="shared" si="37"/>
        <v>£m nominal</v>
      </c>
      <c r="J93" s="33" t="s">
        <v>13</v>
      </c>
      <c r="AT93" s="62">
        <f>CHOOSE(UserInterface!$C$22,#REF!,#REF!,#REF!,#REF!,#REF!,Scotland!AT93,Southern!AT93,#REF!)</f>
        <v>9.5605462024957468</v>
      </c>
      <c r="AU93"/>
      <c r="BA93" s="34" t="str">
        <f t="shared" ca="1" si="36"/>
        <v>LicenseeSelect</v>
      </c>
      <c r="BB93" s="34" t="str">
        <f t="shared" si="34"/>
        <v>Variable inputs</v>
      </c>
      <c r="BC93" s="34" t="str">
        <f t="shared" si="35"/>
        <v>Tax</v>
      </c>
    </row>
    <row r="94" spans="2:55" x14ac:dyDescent="0.35">
      <c r="E94" s="33" t="s">
        <v>811</v>
      </c>
      <c r="G94" s="33" t="str">
        <f t="shared" si="37"/>
        <v>£m nominal</v>
      </c>
      <c r="H94" s="33" t="s">
        <v>105</v>
      </c>
      <c r="J94" s="33" t="s">
        <v>13</v>
      </c>
      <c r="AT94" s="62">
        <f>CHOOSE(UserInterface!$C$22,#REF!,#REF!,#REF!,#REF!,#REF!,Scotland!AT94,Southern!AT94,#REF!)</f>
        <v>744.32698607057603</v>
      </c>
      <c r="BA94" s="34" t="str">
        <f t="shared" ca="1" si="38"/>
        <v>LicenseeSelect</v>
      </c>
      <c r="BB94" s="34" t="str">
        <f t="shared" si="34"/>
        <v>Variable inputs</v>
      </c>
      <c r="BC94" s="34" t="str">
        <f t="shared" si="35"/>
        <v>Tax</v>
      </c>
    </row>
    <row r="95" spans="2:55" x14ac:dyDescent="0.35">
      <c r="E95" s="33" t="s">
        <v>106</v>
      </c>
      <c r="G95" s="33" t="str">
        <f t="shared" si="37"/>
        <v>£m nominal</v>
      </c>
      <c r="H95" s="33" t="s">
        <v>107</v>
      </c>
      <c r="AU95" s="137">
        <f>CHOOSE(UserInterface!$C$22,#REF!,#REF!,#REF!,#REF!,#REF!,Scotland!AU95,Southern!AU95,#REF!)</f>
        <v>0</v>
      </c>
      <c r="BA95" s="34" t="str">
        <f t="shared" ca="1" si="38"/>
        <v>LicenseeSelect</v>
      </c>
      <c r="BB95" s="34" t="str">
        <f t="shared" si="34"/>
        <v>Variable inputs</v>
      </c>
      <c r="BC95" s="34" t="str">
        <f t="shared" si="35"/>
        <v>Tax</v>
      </c>
    </row>
    <row r="96" spans="2:55" x14ac:dyDescent="0.35"/>
    <row r="97" spans="2:56" ht="17.5" thickBot="1" x14ac:dyDescent="0.4">
      <c r="B97" s="8" t="s">
        <v>121</v>
      </c>
    </row>
    <row r="98" spans="2:56" ht="17" thickTop="1" thickBot="1" x14ac:dyDescent="0.4">
      <c r="C98" s="9" t="s">
        <v>122</v>
      </c>
    </row>
    <row r="99" spans="2:56" x14ac:dyDescent="0.35">
      <c r="E99" s="33" t="str">
        <f>CHOOSE(UserInterface!$C$22,#REF!,#REF!,#REF!,#REF!,#REF!,Scotland!E99,Southern!E99,#REF!)</f>
        <v>PCD_Baseline Network Risk Output</v>
      </c>
      <c r="F99" s="33" t="s">
        <v>124</v>
      </c>
      <c r="G99" s="33" t="str">
        <f t="shared" ref="G99:G148" si="39">price_label</f>
        <v>£m 23/24 prices</v>
      </c>
      <c r="H99" s="33" t="s">
        <v>125</v>
      </c>
      <c r="AU99" s="137">
        <f>CHOOSE(UserInterface!$C$22,#REF!,#REF!,#REF!,#REF!,#REF!,Scotland!AU99,Southern!AU99,#REF!)</f>
        <v>38.300387111161271</v>
      </c>
      <c r="AV99" s="20">
        <f>CHOOSE(UserInterface!$C$22,#REF!,#REF!,#REF!,#REF!,#REF!,Scotland!AV99,Southern!AV99,#REF!)</f>
        <v>40.124000957253045</v>
      </c>
      <c r="AW99" s="20">
        <f>CHOOSE(UserInterface!$C$22,#REF!,#REF!,#REF!,#REF!,#REF!,Scotland!AW99,Southern!AW99,#REF!)</f>
        <v>39.603526761109933</v>
      </c>
      <c r="AX99" s="20">
        <f>CHOOSE(UserInterface!$C$22,#REF!,#REF!,#REF!,#REF!,#REF!,Scotland!AX99,Southern!AX99,#REF!)</f>
        <v>35.717151714218097</v>
      </c>
      <c r="AY99" s="20">
        <f>CHOOSE(UserInterface!$C$22,#REF!,#REF!,#REF!,#REF!,#REF!,Scotland!AY99,Southern!AY99,#REF!)</f>
        <v>32.360446055022329</v>
      </c>
      <c r="BA99" s="34" t="str">
        <f t="shared" ref="BA99:BA148" ca="1" si="40">$A$1</f>
        <v>LicenseeSelect</v>
      </c>
      <c r="BB99" s="34" t="str">
        <f t="shared" ref="BB99:BB148" si="41">$A$6</f>
        <v>Variable inputs</v>
      </c>
      <c r="BC99" s="34" t="str">
        <f t="shared" ref="BC99:BC148" si="42">$B$97</f>
        <v>Variant allowances</v>
      </c>
      <c r="BD99" s="34" t="str">
        <f t="shared" ref="BD99:BD148" si="43">$C$98</f>
        <v>Variant allowances (including Real Price Effects)</v>
      </c>
    </row>
    <row r="100" spans="2:56" x14ac:dyDescent="0.35">
      <c r="E100" s="33" t="str">
        <f>CHOOSE(UserInterface!$C$22,#REF!,#REF!,#REF!,#REF!,#REF!,Scotland!E100,Southern!E100,#REF!)</f>
        <v>PCD_Cyber PCDs</v>
      </c>
      <c r="F100" s="33" t="s">
        <v>137</v>
      </c>
      <c r="G100" s="33" t="str">
        <f t="shared" si="39"/>
        <v>£m 23/24 prices</v>
      </c>
      <c r="H100" s="33" t="s">
        <v>875</v>
      </c>
      <c r="AU100" s="137">
        <f>CHOOSE(UserInterface!$C$22,#REF!,#REF!,#REF!,#REF!,#REF!,Scotland!AU100,Southern!AU100,#REF!)</f>
        <v>13.511116131550649</v>
      </c>
      <c r="AV100" s="20">
        <f>CHOOSE(UserInterface!$C$22,#REF!,#REF!,#REF!,#REF!,#REF!,Scotland!AV100,Southern!AV100,#REF!)</f>
        <v>10.589364051705404</v>
      </c>
      <c r="AW100" s="20">
        <f>CHOOSE(UserInterface!$C$22,#REF!,#REF!,#REF!,#REF!,#REF!,Scotland!AW100,Southern!AW100,#REF!)</f>
        <v>9.2591611283730035</v>
      </c>
      <c r="AX100" s="20">
        <f>CHOOSE(UserInterface!$C$22,#REF!,#REF!,#REF!,#REF!,#REF!,Scotland!AX100,Southern!AX100,#REF!)</f>
        <v>7.7562066603103004</v>
      </c>
      <c r="AY100" s="20">
        <f>CHOOSE(UserInterface!$C$22,#REF!,#REF!,#REF!,#REF!,#REF!,Scotland!AY100,Southern!AY100,#REF!)</f>
        <v>7.759988313672709</v>
      </c>
      <c r="BA100" s="34" t="str">
        <f t="shared" ca="1" si="40"/>
        <v>LicenseeSelect</v>
      </c>
      <c r="BB100" s="34" t="str">
        <f t="shared" si="41"/>
        <v>Variable inputs</v>
      </c>
      <c r="BC100" s="34" t="str">
        <f t="shared" si="42"/>
        <v>Variant allowances</v>
      </c>
      <c r="BD100" s="34" t="str">
        <f t="shared" si="43"/>
        <v>Variant allowances (including Real Price Effects)</v>
      </c>
    </row>
    <row r="101" spans="2:56" x14ac:dyDescent="0.35">
      <c r="E101" s="33" t="str">
        <f>CHOOSE(UserInterface!$C$22,#REF!,#REF!,#REF!,#REF!,#REF!,Scotland!E101,Southern!E101,#REF!)</f>
        <v>PCD_Flow Weighted Average Calorific Value Compliance (Cadent_all) / FWACV Compliance (Cadent_all)</v>
      </c>
      <c r="F101" s="33" t="s">
        <v>153</v>
      </c>
      <c r="G101" s="33" t="str">
        <f t="shared" si="39"/>
        <v>£m 23/24 prices</v>
      </c>
      <c r="H101" s="33" t="s">
        <v>732</v>
      </c>
      <c r="AU101" s="137">
        <f>CHOOSE(UserInterface!$C$22,#REF!,#REF!,#REF!,#REF!,#REF!,Scotland!AU101,Southern!AU101,#REF!)</f>
        <v>0</v>
      </c>
      <c r="AV101" s="20">
        <f>CHOOSE(UserInterface!$C$22,#REF!,#REF!,#REF!,#REF!,#REF!,Scotland!AV101,Southern!AV101,#REF!)</f>
        <v>0</v>
      </c>
      <c r="AW101" s="20">
        <f>CHOOSE(UserInterface!$C$22,#REF!,#REF!,#REF!,#REF!,#REF!,Scotland!AW101,Southern!AW101,#REF!)</f>
        <v>0</v>
      </c>
      <c r="AX101" s="20">
        <f>CHOOSE(UserInterface!$C$22,#REF!,#REF!,#REF!,#REF!,#REF!,Scotland!AX101,Southern!AX101,#REF!)</f>
        <v>0</v>
      </c>
      <c r="AY101" s="20">
        <f>CHOOSE(UserInterface!$C$22,#REF!,#REF!,#REF!,#REF!,#REF!,Scotland!AY101,Southern!AY101,#REF!)</f>
        <v>0</v>
      </c>
      <c r="BA101" s="34" t="str">
        <f t="shared" ca="1" si="40"/>
        <v>LicenseeSelect</v>
      </c>
      <c r="BB101" s="34" t="str">
        <f t="shared" si="41"/>
        <v>Variable inputs</v>
      </c>
      <c r="BC101" s="34" t="str">
        <f t="shared" si="42"/>
        <v>Variant allowances</v>
      </c>
      <c r="BD101" s="34" t="str">
        <f t="shared" si="43"/>
        <v>Variant allowances (including Real Price Effects)</v>
      </c>
    </row>
    <row r="102" spans="2:56" x14ac:dyDescent="0.35">
      <c r="E102" s="33" t="str">
        <f>CHOOSE(UserInterface!$C$22,#REF!,#REF!,#REF!,#REF!,#REF!,Scotland!E102,Southern!E102,#REF!)</f>
        <v>PCD_Grays medium pressure (Cadent_Lon)</v>
      </c>
      <c r="F102" s="33" t="s">
        <v>154</v>
      </c>
      <c r="G102" s="33" t="str">
        <f t="shared" si="39"/>
        <v>£m 23/24 prices</v>
      </c>
      <c r="H102" s="33" t="s">
        <v>734</v>
      </c>
      <c r="AU102" s="137">
        <f>CHOOSE(UserInterface!$C$22,#REF!,#REF!,#REF!,#REF!,#REF!,Scotland!AU102,Southern!AU102,#REF!)</f>
        <v>0</v>
      </c>
      <c r="AV102" s="20">
        <f>CHOOSE(UserInterface!$C$22,#REF!,#REF!,#REF!,#REF!,#REF!,Scotland!AV102,Southern!AV102,#REF!)</f>
        <v>0</v>
      </c>
      <c r="AW102" s="20">
        <f>CHOOSE(UserInterface!$C$22,#REF!,#REF!,#REF!,#REF!,#REF!,Scotland!AW102,Southern!AW102,#REF!)</f>
        <v>0</v>
      </c>
      <c r="AX102" s="20">
        <f>CHOOSE(UserInterface!$C$22,#REF!,#REF!,#REF!,#REF!,#REF!,Scotland!AX102,Southern!AX102,#REF!)</f>
        <v>0</v>
      </c>
      <c r="AY102" s="20">
        <f>CHOOSE(UserInterface!$C$22,#REF!,#REF!,#REF!,#REF!,#REF!,Scotland!AY102,Southern!AY102,#REF!)</f>
        <v>0</v>
      </c>
      <c r="BA102" s="34" t="str">
        <f t="shared" ca="1" si="40"/>
        <v>LicenseeSelect</v>
      </c>
      <c r="BB102" s="34" t="str">
        <f t="shared" si="41"/>
        <v>Variable inputs</v>
      </c>
      <c r="BC102" s="34" t="str">
        <f t="shared" si="42"/>
        <v>Variant allowances</v>
      </c>
      <c r="BD102" s="34" t="str">
        <f t="shared" si="43"/>
        <v>Variant allowances (including Real Price Effects)</v>
      </c>
    </row>
    <row r="103" spans="2:56" x14ac:dyDescent="0.35">
      <c r="E103" s="33" t="str">
        <f>CHOOSE(UserInterface!$C$22,#REF!,#REF!,#REF!,#REF!,#REF!,Scotland!E103,Southern!E103,#REF!)</f>
        <v>PCD_Welling PRS - Full Site Rebuild  (SGN_So) / Full site and system rebuilds PCD (SGN)</v>
      </c>
      <c r="F103" s="33" t="s">
        <v>132</v>
      </c>
      <c r="G103" s="33" t="str">
        <f t="shared" si="39"/>
        <v>£m 23/24 prices</v>
      </c>
      <c r="H103" s="33" t="s">
        <v>745</v>
      </c>
      <c r="AU103" s="137">
        <f>CHOOSE(UserInterface!$C$22,#REF!,#REF!,#REF!,#REF!,#REF!,Scotland!AU103,Southern!AU103,#REF!)</f>
        <v>0</v>
      </c>
      <c r="AV103" s="20">
        <f>CHOOSE(UserInterface!$C$22,#REF!,#REF!,#REF!,#REF!,#REF!,Scotland!AV103,Southern!AV103,#REF!)</f>
        <v>0</v>
      </c>
      <c r="AW103" s="20">
        <f>CHOOSE(UserInterface!$C$22,#REF!,#REF!,#REF!,#REF!,#REF!,Scotland!AW103,Southern!AW103,#REF!)</f>
        <v>0</v>
      </c>
      <c r="AX103" s="20">
        <f>CHOOSE(UserInterface!$C$22,#REF!,#REF!,#REF!,#REF!,#REF!,Scotland!AX103,Southern!AX103,#REF!)</f>
        <v>0</v>
      </c>
      <c r="AY103" s="20">
        <f>CHOOSE(UserInterface!$C$22,#REF!,#REF!,#REF!,#REF!,#REF!,Scotland!AY103,Southern!AY103,#REF!)</f>
        <v>0</v>
      </c>
      <c r="BA103" s="34" t="str">
        <f t="shared" ca="1" si="40"/>
        <v>LicenseeSelect</v>
      </c>
      <c r="BB103" s="34" t="str">
        <f t="shared" si="41"/>
        <v>Variable inputs</v>
      </c>
      <c r="BC103" s="34" t="str">
        <f t="shared" si="42"/>
        <v>Variant allowances</v>
      </c>
      <c r="BD103" s="34" t="str">
        <f t="shared" si="43"/>
        <v>Variant allowances (including Real Price Effects)</v>
      </c>
    </row>
    <row r="104" spans="2:56" x14ac:dyDescent="0.35">
      <c r="E104" s="33" t="str">
        <f>CHOOSE(UserInterface!$C$22,#REF!,#REF!,#REF!,#REF!,#REF!,Scotland!E104,Southern!E104,#REF!)</f>
        <v>PCD_London Medium Pressure PCD (Cadent_Lon)</v>
      </c>
      <c r="F104" s="33" t="s">
        <v>131</v>
      </c>
      <c r="G104" s="33" t="str">
        <f t="shared" si="39"/>
        <v>£m 23/24 prices</v>
      </c>
      <c r="H104" s="33" t="s">
        <v>885</v>
      </c>
      <c r="AU104" s="137">
        <f>CHOOSE(UserInterface!$C$22,#REF!,#REF!,#REF!,#REF!,#REF!,Scotland!AU104,Southern!AU104,#REF!)</f>
        <v>0</v>
      </c>
      <c r="AV104" s="20">
        <f>CHOOSE(UserInterface!$C$22,#REF!,#REF!,#REF!,#REF!,#REF!,Scotland!AV104,Southern!AV104,#REF!)</f>
        <v>0</v>
      </c>
      <c r="AW104" s="20">
        <f>CHOOSE(UserInterface!$C$22,#REF!,#REF!,#REF!,#REF!,#REF!,Scotland!AW104,Southern!AW104,#REF!)</f>
        <v>0</v>
      </c>
      <c r="AX104" s="20">
        <f>CHOOSE(UserInterface!$C$22,#REF!,#REF!,#REF!,#REF!,#REF!,Scotland!AX104,Southern!AX104,#REF!)</f>
        <v>0</v>
      </c>
      <c r="AY104" s="20">
        <f>CHOOSE(UserInterface!$C$22,#REF!,#REF!,#REF!,#REF!,#REF!,Scotland!AY104,Southern!AY104,#REF!)</f>
        <v>0</v>
      </c>
      <c r="BA104" s="34" t="str">
        <f t="shared" ca="1" si="40"/>
        <v>LicenseeSelect</v>
      </c>
      <c r="BB104" s="34" t="str">
        <f t="shared" si="41"/>
        <v>Variable inputs</v>
      </c>
      <c r="BC104" s="34" t="str">
        <f t="shared" si="42"/>
        <v>Variant allowances</v>
      </c>
      <c r="BD104" s="34" t="str">
        <f t="shared" si="43"/>
        <v>Variant allowances (including Real Price Effects)</v>
      </c>
    </row>
    <row r="105" spans="2:56" x14ac:dyDescent="0.35">
      <c r="E105" s="33" t="str">
        <f>CHOOSE(UserInterface!$C$22,#REF!,#REF!,#REF!,#REF!,#REF!,Scotland!E105,Southern!E105,#REF!)</f>
        <v>PCD_Tier 1 Mains Decommissioned PCD</v>
      </c>
      <c r="F105" s="33" t="s">
        <v>126</v>
      </c>
      <c r="G105" s="33" t="str">
        <f t="shared" si="39"/>
        <v>£m 23/24 prices</v>
      </c>
      <c r="H105" s="33" t="s">
        <v>127</v>
      </c>
      <c r="AU105" s="137">
        <f>CHOOSE(UserInterface!$C$22,#REF!,#REF!,#REF!,#REF!,#REF!,Scotland!AU105,Southern!AU105,#REF!)</f>
        <v>37.278303808134645</v>
      </c>
      <c r="AV105" s="20">
        <f>CHOOSE(UserInterface!$C$22,#REF!,#REF!,#REF!,#REF!,#REF!,Scotland!AV105,Southern!AV105,#REF!)</f>
        <v>37.392397888938383</v>
      </c>
      <c r="AW105" s="20">
        <f>CHOOSE(UserInterface!$C$22,#REF!,#REF!,#REF!,#REF!,#REF!,Scotland!AW105,Southern!AW105,#REF!)</f>
        <v>35.143946724139177</v>
      </c>
      <c r="AX105" s="20">
        <f>CHOOSE(UserInterface!$C$22,#REF!,#REF!,#REF!,#REF!,#REF!,Scotland!AX105,Southern!AX105,#REF!)</f>
        <v>34.242787483593546</v>
      </c>
      <c r="AY105" s="20">
        <f>CHOOSE(UserInterface!$C$22,#REF!,#REF!,#REF!,#REF!,#REF!,Scotland!AY105,Southern!AY105,#REF!)</f>
        <v>33.856655547540186</v>
      </c>
      <c r="BA105" s="34" t="str">
        <f t="shared" ca="1" si="40"/>
        <v>LicenseeSelect</v>
      </c>
      <c r="BB105" s="34" t="str">
        <f t="shared" si="41"/>
        <v>Variable inputs</v>
      </c>
      <c r="BC105" s="34" t="str">
        <f t="shared" si="42"/>
        <v>Variant allowances</v>
      </c>
      <c r="BD105" s="34" t="str">
        <f t="shared" si="43"/>
        <v>Variant allowances (including Real Price Effects)</v>
      </c>
    </row>
    <row r="106" spans="2:56" x14ac:dyDescent="0.35">
      <c r="E106" s="33" t="str">
        <f>CHOOSE(UserInterface!$C$22,#REF!,#REF!,#REF!,#REF!,#REF!,Scotland!E106,Southern!E106,#REF!)</f>
        <v>PCD_Tier 1 Services PCD / Tier 1 Services Repex PCD</v>
      </c>
      <c r="F106" s="33" t="s">
        <v>128</v>
      </c>
      <c r="G106" s="33" t="str">
        <f t="shared" si="39"/>
        <v>£m 23/24 prices</v>
      </c>
      <c r="H106" s="33" t="s">
        <v>129</v>
      </c>
      <c r="AU106" s="137">
        <f>CHOOSE(UserInterface!$C$22,#REF!,#REF!,#REF!,#REF!,#REF!,Scotland!AU106,Southern!AU106,#REF!)</f>
        <v>12.459011203220449</v>
      </c>
      <c r="AV106" s="20">
        <f>CHOOSE(UserInterface!$C$22,#REF!,#REF!,#REF!,#REF!,#REF!,Scotland!AV106,Southern!AV106,#REF!)</f>
        <v>12.498290272206242</v>
      </c>
      <c r="AW106" s="20">
        <f>CHOOSE(UserInterface!$C$22,#REF!,#REF!,#REF!,#REF!,#REF!,Scotland!AW106,Southern!AW106,#REF!)</f>
        <v>11.74754518084967</v>
      </c>
      <c r="AX106" s="20">
        <f>CHOOSE(UserInterface!$C$22,#REF!,#REF!,#REF!,#REF!,#REF!,Scotland!AX106,Southern!AX106,#REF!)</f>
        <v>11.444458819451176</v>
      </c>
      <c r="AY106" s="20">
        <f>CHOOSE(UserInterface!$C$22,#REF!,#REF!,#REF!,#REF!,#REF!,Scotland!AY106,Southern!AY106,#REF!)</f>
        <v>11.315407072584176</v>
      </c>
      <c r="BA106" s="34" t="str">
        <f t="shared" ca="1" si="40"/>
        <v>LicenseeSelect</v>
      </c>
      <c r="BB106" s="34" t="str">
        <f t="shared" si="41"/>
        <v>Variable inputs</v>
      </c>
      <c r="BC106" s="34" t="str">
        <f t="shared" si="42"/>
        <v>Variant allowances</v>
      </c>
      <c r="BD106" s="34" t="str">
        <f t="shared" si="43"/>
        <v>Variant allowances (including Real Price Effects)</v>
      </c>
    </row>
    <row r="107" spans="2:56" x14ac:dyDescent="0.35">
      <c r="E107" s="33" t="str">
        <f>CHOOSE(UserInterface!$C$22,#REF!,#REF!,#REF!,#REF!,#REF!,Scotland!E107,Southern!E107,#REF!)</f>
        <v>PCD_Tinsley viaduct diversion (Cadent_EoE)</v>
      </c>
      <c r="F107" s="33" t="s">
        <v>123</v>
      </c>
      <c r="G107" s="33" t="str">
        <f t="shared" si="39"/>
        <v>£m 23/24 prices</v>
      </c>
      <c r="H107" s="33" t="s">
        <v>738</v>
      </c>
      <c r="AU107" s="137">
        <f>CHOOSE(UserInterface!$C$22,#REF!,#REF!,#REF!,#REF!,#REF!,Scotland!AU107,Southern!AU107,#REF!)</f>
        <v>0</v>
      </c>
      <c r="AV107" s="20">
        <f>CHOOSE(UserInterface!$C$22,#REF!,#REF!,#REF!,#REF!,#REF!,Scotland!AV107,Southern!AV107,#REF!)</f>
        <v>0</v>
      </c>
      <c r="AW107" s="20">
        <f>CHOOSE(UserInterface!$C$22,#REF!,#REF!,#REF!,#REF!,#REF!,Scotland!AW107,Southern!AW107,#REF!)</f>
        <v>0</v>
      </c>
      <c r="AX107" s="20">
        <f>CHOOSE(UserInterface!$C$22,#REF!,#REF!,#REF!,#REF!,#REF!,Scotland!AX107,Southern!AX107,#REF!)</f>
        <v>0</v>
      </c>
      <c r="AY107" s="20">
        <f>CHOOSE(UserInterface!$C$22,#REF!,#REF!,#REF!,#REF!,#REF!,Scotland!AY107,Southern!AY107,#REF!)</f>
        <v>0</v>
      </c>
      <c r="BA107" s="34" t="str">
        <f t="shared" ca="1" si="40"/>
        <v>LicenseeSelect</v>
      </c>
      <c r="BB107" s="34" t="str">
        <f t="shared" si="41"/>
        <v>Variable inputs</v>
      </c>
      <c r="BC107" s="34" t="str">
        <f t="shared" si="42"/>
        <v>Variant allowances</v>
      </c>
      <c r="BD107" s="34" t="str">
        <f t="shared" si="43"/>
        <v>Variant allowances (including Real Price Effects)</v>
      </c>
    </row>
    <row r="108" spans="2:56" x14ac:dyDescent="0.35">
      <c r="E108" s="33" t="str">
        <f>CHOOSE(UserInterface!$C$22,#REF!,#REF!,#REF!,#REF!,#REF!,Scotland!E108,Southern!E108,#REF!)</f>
        <v>PCD_Iron Stubs / Tier 1 Stubs decommissioning PCD</v>
      </c>
      <c r="F108" s="33" t="s">
        <v>149</v>
      </c>
      <c r="G108" s="33" t="str">
        <f t="shared" si="39"/>
        <v>£m 23/24 prices</v>
      </c>
      <c r="H108" s="33" t="s">
        <v>888</v>
      </c>
      <c r="AU108" s="137">
        <f>CHOOSE(UserInterface!$C$22,#REF!,#REF!,#REF!,#REF!,#REF!,Scotland!AU108,Southern!AU108,#REF!)</f>
        <v>0.35484507425807871</v>
      </c>
      <c r="AV108" s="20">
        <f>CHOOSE(UserInterface!$C$22,#REF!,#REF!,#REF!,#REF!,#REF!,Scotland!AV108,Southern!AV108,#REF!)</f>
        <v>0.35129662351549795</v>
      </c>
      <c r="AW108" s="20">
        <f>CHOOSE(UserInterface!$C$22,#REF!,#REF!,#REF!,#REF!,#REF!,Scotland!AW108,Southern!AW108,#REF!)</f>
        <v>0.34778365728034294</v>
      </c>
      <c r="AX108" s="20">
        <f>CHOOSE(UserInterface!$C$22,#REF!,#REF!,#REF!,#REF!,#REF!,Scotland!AX108,Southern!AX108,#REF!)</f>
        <v>0.34430582070753951</v>
      </c>
      <c r="AY108" s="20">
        <f>CHOOSE(UserInterface!$C$22,#REF!,#REF!,#REF!,#REF!,#REF!,Scotland!AY108,Southern!AY108,#REF!)</f>
        <v>0.34086276250046416</v>
      </c>
      <c r="BA108" s="34" t="str">
        <f t="shared" ca="1" si="40"/>
        <v>LicenseeSelect</v>
      </c>
      <c r="BB108" s="34" t="str">
        <f t="shared" si="41"/>
        <v>Variable inputs</v>
      </c>
      <c r="BC108" s="34" t="str">
        <f t="shared" si="42"/>
        <v>Variant allowances</v>
      </c>
      <c r="BD108" s="34" t="str">
        <f t="shared" si="43"/>
        <v>Variant allowances (including Real Price Effects)</v>
      </c>
    </row>
    <row r="109" spans="2:56" x14ac:dyDescent="0.35">
      <c r="E109" s="33" t="str">
        <f>CHOOSE(UserInterface!$C$22,#REF!,#REF!,#REF!,#REF!,#REF!,Scotland!E109,Southern!E109,#REF!)</f>
        <v>PCD_Full Site and System Rebuilds (SGN_all)</v>
      </c>
      <c r="F109" s="33" t="s">
        <v>132</v>
      </c>
      <c r="G109" s="33" t="str">
        <f t="shared" si="39"/>
        <v>£m 23/24 prices</v>
      </c>
      <c r="H109" s="33" t="s">
        <v>745</v>
      </c>
      <c r="AU109" s="137">
        <f>CHOOSE(UserInterface!$C$22,#REF!,#REF!,#REF!,#REF!,#REF!,Scotland!AU109,Southern!AU109,#REF!)</f>
        <v>1.1643587999999998</v>
      </c>
      <c r="AV109" s="20">
        <f>CHOOSE(UserInterface!$C$22,#REF!,#REF!,#REF!,#REF!,#REF!,Scotland!AV109,Southern!AV109,#REF!)</f>
        <v>4.3803178055999989</v>
      </c>
      <c r="AW109" s="20">
        <f>CHOOSE(UserInterface!$C$22,#REF!,#REF!,#REF!,#REF!,#REF!,Scotland!AW109,Southern!AW109,#REF!)</f>
        <v>7.1419352747489988</v>
      </c>
      <c r="AX109" s="20">
        <f>CHOOSE(UserInterface!$C$22,#REF!,#REF!,#REF!,#REF!,#REF!,Scotland!AX109,Southern!AX109,#REF!)</f>
        <v>4.8862819753911895</v>
      </c>
      <c r="AY109" s="20">
        <f>CHOOSE(UserInterface!$C$22,#REF!,#REF!,#REF!,#REF!,#REF!,Scotland!AY109,Southern!AY109,#REF!)</f>
        <v>2.3208427162884049</v>
      </c>
      <c r="BA109" s="34" t="str">
        <f t="shared" ca="1" si="40"/>
        <v>LicenseeSelect</v>
      </c>
      <c r="BB109" s="34" t="str">
        <f t="shared" si="41"/>
        <v>Variable inputs</v>
      </c>
      <c r="BC109" s="34" t="str">
        <f t="shared" si="42"/>
        <v>Variant allowances</v>
      </c>
      <c r="BD109" s="34" t="str">
        <f t="shared" si="43"/>
        <v>Variant allowances (including Real Price Effects)</v>
      </c>
    </row>
    <row r="110" spans="2:56" x14ac:dyDescent="0.35">
      <c r="E110" s="33" t="str">
        <f>CHOOSE(UserInterface!$C$22,#REF!,#REF!,#REF!,#REF!,#REF!,Scotland!E110,Southern!E110,#REF!)</f>
        <v>PCD_Glenmavis (Offtake) (SGN_Sc) / Full site and system rebuilds PCD (SGN)</v>
      </c>
      <c r="F110" s="33" t="s">
        <v>132</v>
      </c>
      <c r="G110" s="33" t="str">
        <f t="shared" si="39"/>
        <v>£m 23/24 prices</v>
      </c>
      <c r="H110" s="33" t="s">
        <v>745</v>
      </c>
      <c r="AU110" s="137">
        <f>CHOOSE(UserInterface!$C$22,#REF!,#REF!,#REF!,#REF!,#REF!,Scotland!AU110,Southern!AU110,#REF!)</f>
        <v>0.34558229189582884</v>
      </c>
      <c r="AV110" s="20">
        <f>CHOOSE(UserInterface!$C$22,#REF!,#REF!,#REF!,#REF!,#REF!,Scotland!AV110,Southern!AV110,#REF!)</f>
        <v>2.0669559551177104</v>
      </c>
      <c r="AW110" s="20">
        <f>CHOOSE(UserInterface!$C$22,#REF!,#REF!,#REF!,#REF!,#REF!,Scotland!AW110,Southern!AW110,#REF!)</f>
        <v>3.0416843876523303</v>
      </c>
      <c r="AX110" s="20">
        <f>CHOOSE(UserInterface!$C$22,#REF!,#REF!,#REF!,#REF!,#REF!,Scotland!AX110,Southern!AX110,#REF!)</f>
        <v>0</v>
      </c>
      <c r="AY110" s="20">
        <f>CHOOSE(UserInterface!$C$22,#REF!,#REF!,#REF!,#REF!,#REF!,Scotland!AY110,Southern!AY110,#REF!)</f>
        <v>0</v>
      </c>
      <c r="BA110" s="34" t="str">
        <f t="shared" ca="1" si="40"/>
        <v>LicenseeSelect</v>
      </c>
      <c r="BB110" s="34" t="str">
        <f t="shared" si="41"/>
        <v>Variable inputs</v>
      </c>
      <c r="BC110" s="34" t="str">
        <f t="shared" si="42"/>
        <v>Variant allowances</v>
      </c>
      <c r="BD110" s="34" t="str">
        <f t="shared" si="43"/>
        <v>Variant allowances (including Real Price Effects)</v>
      </c>
    </row>
    <row r="111" spans="2:56" x14ac:dyDescent="0.35">
      <c r="E111" s="33" t="str">
        <f>CHOOSE(UserInterface!$C$22,#REF!,#REF!,#REF!,#REF!,#REF!,Scotland!E111,Southern!E111,#REF!)</f>
        <v>PCD_Isle of Grain (SGN_So) / Full site and system rebuilds PCD (SGN)</v>
      </c>
      <c r="F111" s="33" t="s">
        <v>132</v>
      </c>
      <c r="G111" s="33" t="str">
        <f t="shared" si="39"/>
        <v>£m 23/24 prices</v>
      </c>
      <c r="H111" s="33" t="s">
        <v>745</v>
      </c>
      <c r="AU111" s="137">
        <f>CHOOSE(UserInterface!$C$22,#REF!,#REF!,#REF!,#REF!,#REF!,Scotland!AU111,Southern!AU111,#REF!)</f>
        <v>0</v>
      </c>
      <c r="AV111" s="20">
        <f>CHOOSE(UserInterface!$C$22,#REF!,#REF!,#REF!,#REF!,#REF!,Scotland!AV111,Southern!AV111,#REF!)</f>
        <v>0</v>
      </c>
      <c r="AW111" s="20">
        <f>CHOOSE(UserInterface!$C$22,#REF!,#REF!,#REF!,#REF!,#REF!,Scotland!AW111,Southern!AW111,#REF!)</f>
        <v>0</v>
      </c>
      <c r="AX111" s="20">
        <f>CHOOSE(UserInterface!$C$22,#REF!,#REF!,#REF!,#REF!,#REF!,Scotland!AX111,Southern!AX111,#REF!)</f>
        <v>0</v>
      </c>
      <c r="AY111" s="20">
        <f>CHOOSE(UserInterface!$C$22,#REF!,#REF!,#REF!,#REF!,#REF!,Scotland!AY111,Southern!AY111,#REF!)</f>
        <v>0</v>
      </c>
      <c r="BA111" s="34" t="str">
        <f t="shared" ca="1" si="40"/>
        <v>LicenseeSelect</v>
      </c>
      <c r="BB111" s="34" t="str">
        <f t="shared" si="41"/>
        <v>Variable inputs</v>
      </c>
      <c r="BC111" s="34" t="str">
        <f t="shared" si="42"/>
        <v>Variant allowances</v>
      </c>
      <c r="BD111" s="34" t="str">
        <f t="shared" si="43"/>
        <v>Variant allowances (including Real Price Effects)</v>
      </c>
    </row>
    <row r="112" spans="2:56" x14ac:dyDescent="0.35">
      <c r="E112" s="33" t="str">
        <f>CHOOSE(UserInterface!$C$22,#REF!,#REF!,#REF!,#REF!,#REF!,Scotland!E112,Southern!E112,#REF!)</f>
        <v>PCD_EVs  / Operational Transport Emissions Reduction PCD</v>
      </c>
      <c r="F112" s="33" t="s">
        <v>162</v>
      </c>
      <c r="G112" s="33" t="str">
        <f t="shared" si="39"/>
        <v>£m 23/24 prices</v>
      </c>
      <c r="H112" s="33" t="s">
        <v>135</v>
      </c>
      <c r="AU112" s="137">
        <f>CHOOSE(UserInterface!$C$22,#REF!,#REF!,#REF!,#REF!,#REF!,Scotland!AU112,Southern!AU112,#REF!)</f>
        <v>0.56746966716000002</v>
      </c>
      <c r="AV112" s="20">
        <f>CHOOSE(UserInterface!$C$22,#REF!,#REF!,#REF!,#REF!,#REF!,Scotland!AV112,Southern!AV112,#REF!)</f>
        <v>0.63864265128840003</v>
      </c>
      <c r="AW112" s="20">
        <f>CHOOSE(UserInterface!$C$22,#REF!,#REF!,#REF!,#REF!,#REF!,Scotland!AW112,Southern!AW112,#REF!)</f>
        <v>0.7083354287675161</v>
      </c>
      <c r="AX112" s="20">
        <f>CHOOSE(UserInterface!$C$22,#REF!,#REF!,#REF!,#REF!,#REF!,Scotland!AX112,Southern!AX112,#REF!)</f>
        <v>0.77657048643192095</v>
      </c>
      <c r="AY112" s="20">
        <f>CHOOSE(UserInterface!$C$22,#REF!,#REF!,#REF!,#REF!,#REF!,Scotland!AY112,Southern!AY112,#REF!)</f>
        <v>0.84337000940016082</v>
      </c>
      <c r="BA112" s="34" t="str">
        <f t="shared" ca="1" si="40"/>
        <v>LicenseeSelect</v>
      </c>
      <c r="BB112" s="34" t="str">
        <f t="shared" si="41"/>
        <v>Variable inputs</v>
      </c>
      <c r="BC112" s="34" t="str">
        <f t="shared" si="42"/>
        <v>Variant allowances</v>
      </c>
      <c r="BD112" s="34" t="str">
        <f t="shared" si="43"/>
        <v>Variant allowances (including Real Price Effects)</v>
      </c>
    </row>
    <row r="113" spans="5:56" x14ac:dyDescent="0.35">
      <c r="E113" s="33" t="str">
        <f>CHOOSE(UserInterface!$C$22,#REF!,#REF!,#REF!,#REF!,#REF!,Scotland!E113,Southern!E113,#REF!)</f>
        <v>PCD_South London Mains (SGN_So)</v>
      </c>
      <c r="F113" s="33" t="s">
        <v>140</v>
      </c>
      <c r="G113" s="33" t="str">
        <f t="shared" si="39"/>
        <v>£m 23/24 prices</v>
      </c>
      <c r="H113" s="33" t="s">
        <v>740</v>
      </c>
      <c r="AU113" s="137">
        <f>CHOOSE(UserInterface!$C$22,#REF!,#REF!,#REF!,#REF!,#REF!,Scotland!AU113,Southern!AU113,#REF!)</f>
        <v>0</v>
      </c>
      <c r="AV113" s="20">
        <f>CHOOSE(UserInterface!$C$22,#REF!,#REF!,#REF!,#REF!,#REF!,Scotland!AV113,Southern!AV113,#REF!)</f>
        <v>0</v>
      </c>
      <c r="AW113" s="20">
        <f>CHOOSE(UserInterface!$C$22,#REF!,#REF!,#REF!,#REF!,#REF!,Scotland!AW113,Southern!AW113,#REF!)</f>
        <v>0</v>
      </c>
      <c r="AX113" s="20">
        <f>CHOOSE(UserInterface!$C$22,#REF!,#REF!,#REF!,#REF!,#REF!,Scotland!AX113,Southern!AX113,#REF!)</f>
        <v>0</v>
      </c>
      <c r="AY113" s="20">
        <f>CHOOSE(UserInterface!$C$22,#REF!,#REF!,#REF!,#REF!,#REF!,Scotland!AY113,Southern!AY113,#REF!)</f>
        <v>0</v>
      </c>
      <c r="BA113" s="34" t="str">
        <f t="shared" ca="1" si="40"/>
        <v>LicenseeSelect</v>
      </c>
      <c r="BB113" s="34" t="str">
        <f t="shared" si="41"/>
        <v>Variable inputs</v>
      </c>
      <c r="BC113" s="34" t="str">
        <f t="shared" si="42"/>
        <v>Variant allowances</v>
      </c>
      <c r="BD113" s="34" t="str">
        <f t="shared" si="43"/>
        <v>Variant allowances (including Real Price Effects)</v>
      </c>
    </row>
    <row r="114" spans="5:56" x14ac:dyDescent="0.35">
      <c r="E114" s="33" t="str">
        <f>CHOOSE(UserInterface!$C$22,#REF!,#REF!,#REF!,#REF!,#REF!,Scotland!E114,Southern!E114,#REF!)</f>
        <v>PCD_WWU.7 - HS007 (WWU_WWU) / Pipeline Replacements PCD (WWU)</v>
      </c>
      <c r="F114" s="33" t="s">
        <v>136</v>
      </c>
      <c r="G114" s="33" t="str">
        <f t="shared" si="39"/>
        <v>£m 23/24 prices</v>
      </c>
      <c r="H114" s="33" t="s">
        <v>906</v>
      </c>
      <c r="AU114" s="137">
        <f>CHOOSE(UserInterface!$C$22,#REF!,#REF!,#REF!,#REF!,#REF!,Scotland!AU114,Southern!AU114,#REF!)</f>
        <v>0</v>
      </c>
      <c r="AV114" s="20">
        <f>CHOOSE(UserInterface!$C$22,#REF!,#REF!,#REF!,#REF!,#REF!,Scotland!AV114,Southern!AV114,#REF!)</f>
        <v>0</v>
      </c>
      <c r="AW114" s="20">
        <f>CHOOSE(UserInterface!$C$22,#REF!,#REF!,#REF!,#REF!,#REF!,Scotland!AW114,Southern!AW114,#REF!)</f>
        <v>0</v>
      </c>
      <c r="AX114" s="20">
        <f>CHOOSE(UserInterface!$C$22,#REF!,#REF!,#REF!,#REF!,#REF!,Scotland!AX114,Southern!AX114,#REF!)</f>
        <v>0</v>
      </c>
      <c r="AY114" s="20">
        <f>CHOOSE(UserInterface!$C$22,#REF!,#REF!,#REF!,#REF!,#REF!,Scotland!AY114,Southern!AY114,#REF!)</f>
        <v>0</v>
      </c>
      <c r="BA114" s="34" t="str">
        <f t="shared" ca="1" si="40"/>
        <v>LicenseeSelect</v>
      </c>
      <c r="BB114" s="34" t="str">
        <f t="shared" si="41"/>
        <v>Variable inputs</v>
      </c>
      <c r="BC114" s="34" t="str">
        <f t="shared" si="42"/>
        <v>Variant allowances</v>
      </c>
      <c r="BD114" s="34" t="str">
        <f t="shared" si="43"/>
        <v>Variant allowances (including Real Price Effects)</v>
      </c>
    </row>
    <row r="115" spans="5:56" x14ac:dyDescent="0.35">
      <c r="E115" s="33" t="str">
        <f>CHOOSE(UserInterface!$C$22,#REF!,#REF!,#REF!,#REF!,#REF!,Scotland!E115,Southern!E115,#REF!)</f>
        <v>PCD_WWU.9 - HS009 (WWU_WWU) / Pipeline Replacements PCD (WWU)</v>
      </c>
      <c r="F115" s="33" t="s">
        <v>136</v>
      </c>
      <c r="G115" s="33" t="str">
        <f t="shared" si="39"/>
        <v>£m 23/24 prices</v>
      </c>
      <c r="H115" s="33" t="s">
        <v>906</v>
      </c>
      <c r="AU115" s="137">
        <f>CHOOSE(UserInterface!$C$22,#REF!,#REF!,#REF!,#REF!,#REF!,Scotland!AU115,Southern!AU115,#REF!)</f>
        <v>0</v>
      </c>
      <c r="AV115" s="20">
        <f>CHOOSE(UserInterface!$C$22,#REF!,#REF!,#REF!,#REF!,#REF!,Scotland!AV115,Southern!AV115,#REF!)</f>
        <v>0</v>
      </c>
      <c r="AW115" s="20">
        <f>CHOOSE(UserInterface!$C$22,#REF!,#REF!,#REF!,#REF!,#REF!,Scotland!AW115,Southern!AW115,#REF!)</f>
        <v>0</v>
      </c>
      <c r="AX115" s="20">
        <f>CHOOSE(UserInterface!$C$22,#REF!,#REF!,#REF!,#REF!,#REF!,Scotland!AX115,Southern!AX115,#REF!)</f>
        <v>0</v>
      </c>
      <c r="AY115" s="20">
        <f>CHOOSE(UserInterface!$C$22,#REF!,#REF!,#REF!,#REF!,#REF!,Scotland!AY115,Southern!AY115,#REF!)</f>
        <v>0</v>
      </c>
      <c r="BA115" s="34" t="str">
        <f t="shared" ca="1" si="40"/>
        <v>LicenseeSelect</v>
      </c>
      <c r="BB115" s="34" t="str">
        <f t="shared" si="41"/>
        <v>Variable inputs</v>
      </c>
      <c r="BC115" s="34" t="str">
        <f t="shared" si="42"/>
        <v>Variant allowances</v>
      </c>
      <c r="BD115" s="34" t="str">
        <f t="shared" si="43"/>
        <v>Variant allowances (including Real Price Effects)</v>
      </c>
    </row>
    <row r="116" spans="5:56" x14ac:dyDescent="0.35">
      <c r="E116" s="33" t="str">
        <f>CHOOSE(UserInterface!$C$22,#REF!,#REF!,#REF!,#REF!,#REF!,Scotland!E116,Southern!E116,#REF!)</f>
        <v>PCD_WWU.9 - HS010 (WWU_WWU) / Pipeline Replacements PCD (WWU)</v>
      </c>
      <c r="F116" s="33" t="s">
        <v>136</v>
      </c>
      <c r="G116" s="33" t="str">
        <f t="shared" si="39"/>
        <v>£m 23/24 prices</v>
      </c>
      <c r="H116" s="33" t="s">
        <v>906</v>
      </c>
      <c r="AU116" s="137">
        <f>CHOOSE(UserInterface!$C$22,#REF!,#REF!,#REF!,#REF!,#REF!,Scotland!AU116,Southern!AU116,#REF!)</f>
        <v>0</v>
      </c>
      <c r="AV116" s="20">
        <f>CHOOSE(UserInterface!$C$22,#REF!,#REF!,#REF!,#REF!,#REF!,Scotland!AV116,Southern!AV116,#REF!)</f>
        <v>0</v>
      </c>
      <c r="AW116" s="20">
        <f>CHOOSE(UserInterface!$C$22,#REF!,#REF!,#REF!,#REF!,#REF!,Scotland!AW116,Southern!AW116,#REF!)</f>
        <v>0</v>
      </c>
      <c r="AX116" s="20">
        <f>CHOOSE(UserInterface!$C$22,#REF!,#REF!,#REF!,#REF!,#REF!,Scotland!AX116,Southern!AX116,#REF!)</f>
        <v>0</v>
      </c>
      <c r="AY116" s="20">
        <f>CHOOSE(UserInterface!$C$22,#REF!,#REF!,#REF!,#REF!,#REF!,Scotland!AY116,Southern!AY116,#REF!)</f>
        <v>0</v>
      </c>
      <c r="BA116" s="34" t="str">
        <f t="shared" ca="1" si="40"/>
        <v>LicenseeSelect</v>
      </c>
      <c r="BB116" s="34" t="str">
        <f t="shared" si="41"/>
        <v>Variable inputs</v>
      </c>
      <c r="BC116" s="34" t="str">
        <f t="shared" si="42"/>
        <v>Variant allowances</v>
      </c>
      <c r="BD116" s="34" t="str">
        <f t="shared" si="43"/>
        <v>Variant allowances (including Real Price Effects)</v>
      </c>
    </row>
    <row r="117" spans="5:56" x14ac:dyDescent="0.35">
      <c r="E117" s="33" t="str">
        <f>CHOOSE(UserInterface!$C$22,#REF!,#REF!,#REF!,#REF!,#REF!,Scotland!E117,Southern!E117,#REF!)</f>
        <v>PCD_Mandated Category 3 Security (Cadent_all)</v>
      </c>
      <c r="F117" s="33" t="s">
        <v>130</v>
      </c>
      <c r="G117" s="33" t="str">
        <f t="shared" si="39"/>
        <v>£m 23/24 prices</v>
      </c>
      <c r="H117" s="33" t="s">
        <v>886</v>
      </c>
      <c r="AU117" s="137">
        <f>CHOOSE(UserInterface!$C$22,#REF!,#REF!,#REF!,#REF!,#REF!,Scotland!AU117,Southern!AU117,#REF!)</f>
        <v>0</v>
      </c>
      <c r="AV117" s="20">
        <f>CHOOSE(UserInterface!$C$22,#REF!,#REF!,#REF!,#REF!,#REF!,Scotland!AV117,Southern!AV117,#REF!)</f>
        <v>0</v>
      </c>
      <c r="AW117" s="20">
        <f>CHOOSE(UserInterface!$C$22,#REF!,#REF!,#REF!,#REF!,#REF!,Scotland!AW117,Southern!AW117,#REF!)</f>
        <v>0</v>
      </c>
      <c r="AX117" s="20">
        <f>CHOOSE(UserInterface!$C$22,#REF!,#REF!,#REF!,#REF!,#REF!,Scotland!AX117,Southern!AX117,#REF!)</f>
        <v>0</v>
      </c>
      <c r="AY117" s="20">
        <f>CHOOSE(UserInterface!$C$22,#REF!,#REF!,#REF!,#REF!,#REF!,Scotland!AY117,Southern!AY117,#REF!)</f>
        <v>0</v>
      </c>
      <c r="BA117" s="34" t="str">
        <f t="shared" ca="1" si="40"/>
        <v>LicenseeSelect</v>
      </c>
      <c r="BB117" s="34" t="str">
        <f t="shared" si="41"/>
        <v>Variable inputs</v>
      </c>
      <c r="BC117" s="34" t="str">
        <f t="shared" si="42"/>
        <v>Variant allowances</v>
      </c>
      <c r="BD117" s="34" t="str">
        <f t="shared" si="43"/>
        <v>Variant allowances (including Real Price Effects)</v>
      </c>
    </row>
    <row r="118" spans="5:56" x14ac:dyDescent="0.35">
      <c r="E118" s="33" t="str">
        <f>CHOOSE(UserInterface!$C$22,#REF!,#REF!,#REF!,#REF!,#REF!,Scotland!E118,Southern!E118,#REF!)</f>
        <v>VD_GSIUR Disconnections Volume Driver</v>
      </c>
      <c r="G118" s="33" t="str">
        <f t="shared" si="39"/>
        <v>£m 23/24 prices</v>
      </c>
      <c r="H118" s="33" t="s">
        <v>960</v>
      </c>
      <c r="AU118" s="137">
        <f>CHOOSE(UserInterface!$C$22,#REF!,#REF!,#REF!,#REF!,#REF!,Scotland!AU118,Southern!AU118,#REF!)</f>
        <v>0.23642983401317269</v>
      </c>
      <c r="AV118" s="20">
        <f>CHOOSE(UserInterface!$C$22,#REF!,#REF!,#REF!,#REF!,#REF!,Scotland!AV118,Southern!AV118,#REF!)</f>
        <v>0.23406553567304098</v>
      </c>
      <c r="AW118" s="20">
        <f>CHOOSE(UserInterface!$C$22,#REF!,#REF!,#REF!,#REF!,#REF!,Scotland!AW118,Southern!AW118,#REF!)</f>
        <v>0.23172488031631056</v>
      </c>
      <c r="AX118" s="20">
        <f>CHOOSE(UserInterface!$C$22,#REF!,#REF!,#REF!,#REF!,#REF!,Scotland!AX118,Southern!AX118,#REF!)</f>
        <v>0.22940763151314744</v>
      </c>
      <c r="AY118" s="20">
        <f>CHOOSE(UserInterface!$C$22,#REF!,#REF!,#REF!,#REF!,#REF!,Scotland!AY118,Southern!AY118,#REF!)</f>
        <v>0.22711355519801596</v>
      </c>
      <c r="BA118" s="34" t="str">
        <f t="shared" ca="1" si="40"/>
        <v>LicenseeSelect</v>
      </c>
      <c r="BB118" s="34" t="str">
        <f t="shared" si="41"/>
        <v>Variable inputs</v>
      </c>
      <c r="BC118" s="34" t="str">
        <f t="shared" si="42"/>
        <v>Variant allowances</v>
      </c>
      <c r="BD118" s="34" t="str">
        <f t="shared" si="43"/>
        <v>Variant allowances (including Real Price Effects)</v>
      </c>
    </row>
    <row r="119" spans="5:56" x14ac:dyDescent="0.35">
      <c r="E119" s="33" t="str">
        <f>CHOOSE(UserInterface!$C$22,#REF!,#REF!,#REF!,#REF!,#REF!,Scotland!E119,Southern!E119,#REF!)</f>
        <v>VD_[spare slot]</v>
      </c>
      <c r="G119" s="33" t="str">
        <f t="shared" si="39"/>
        <v>£m 23/24 prices</v>
      </c>
      <c r="AU119" s="137">
        <f>CHOOSE(UserInterface!$C$22,#REF!,#REF!,#REF!,#REF!,#REF!,Scotland!AU119,Southern!AU119,#REF!)</f>
        <v>0</v>
      </c>
      <c r="AV119" s="20">
        <f>CHOOSE(UserInterface!$C$22,#REF!,#REF!,#REF!,#REF!,#REF!,Scotland!AV119,Southern!AV119,#REF!)</f>
        <v>0</v>
      </c>
      <c r="AW119" s="20">
        <f>CHOOSE(UserInterface!$C$22,#REF!,#REF!,#REF!,#REF!,#REF!,Scotland!AW119,Southern!AW119,#REF!)</f>
        <v>0</v>
      </c>
      <c r="AX119" s="20">
        <f>CHOOSE(UserInterface!$C$22,#REF!,#REF!,#REF!,#REF!,#REF!,Scotland!AX119,Southern!AX119,#REF!)</f>
        <v>0</v>
      </c>
      <c r="AY119" s="20">
        <f>CHOOSE(UserInterface!$C$22,#REF!,#REF!,#REF!,#REF!,#REF!,Scotland!AY119,Southern!AY119,#REF!)</f>
        <v>0</v>
      </c>
      <c r="BA119" s="34" t="str">
        <f t="shared" ca="1" si="40"/>
        <v>LicenseeSelect</v>
      </c>
      <c r="BB119" s="34" t="str">
        <f t="shared" si="41"/>
        <v>Variable inputs</v>
      </c>
      <c r="BC119" s="34" t="str">
        <f t="shared" si="42"/>
        <v>Variant allowances</v>
      </c>
      <c r="BD119" s="34" t="str">
        <f t="shared" si="43"/>
        <v>Variant allowances (including Real Price Effects)</v>
      </c>
    </row>
    <row r="120" spans="5:56" x14ac:dyDescent="0.35">
      <c r="E120" s="33" t="str">
        <f>CHOOSE(UserInterface!$C$22,#REF!,#REF!,#REF!,#REF!,#REF!,Scotland!E120,Southern!E120,#REF!)</f>
        <v>VD_Tier 2A Mains and Services Replacement Volume Driver</v>
      </c>
      <c r="F120" s="33" t="s">
        <v>133</v>
      </c>
      <c r="G120" s="33" t="str">
        <f t="shared" si="39"/>
        <v>£m 23/24 prices</v>
      </c>
      <c r="H120" s="33" t="s">
        <v>144</v>
      </c>
      <c r="AU120" s="137">
        <f>CHOOSE(UserInterface!$C$22,#REF!,#REF!,#REF!,#REF!,#REF!,Scotland!AU120,Southern!AU120,#REF!)</f>
        <v>1.6249792416178273</v>
      </c>
      <c r="AV120" s="20">
        <f>CHOOSE(UserInterface!$C$22,#REF!,#REF!,#REF!,#REF!,#REF!,Scotland!AV120,Southern!AV120,#REF!)</f>
        <v>1.621156924180772</v>
      </c>
      <c r="AW120" s="20">
        <f>CHOOSE(UserInterface!$C$22,#REF!,#REF!,#REF!,#REF!,#REF!,Scotland!AW120,Southern!AW120,#REF!)</f>
        <v>1.5244649102439816</v>
      </c>
      <c r="AX120" s="20">
        <f>CHOOSE(UserInterface!$C$22,#REF!,#REF!,#REF!,#REF!,#REF!,Scotland!AX120,Southern!AX120,#REF!)</f>
        <v>1.4872780783305408</v>
      </c>
      <c r="AY120" s="20">
        <f>CHOOSE(UserInterface!$C$22,#REF!,#REF!,#REF!,#REF!,#REF!,Scotland!AY120,Southern!AY120,#REF!)</f>
        <v>1.4704102890598547</v>
      </c>
      <c r="BA120" s="34" t="str">
        <f t="shared" ca="1" si="40"/>
        <v>LicenseeSelect</v>
      </c>
      <c r="BB120" s="34" t="str">
        <f t="shared" si="41"/>
        <v>Variable inputs</v>
      </c>
      <c r="BC120" s="34" t="str">
        <f t="shared" si="42"/>
        <v>Variant allowances</v>
      </c>
      <c r="BD120" s="34" t="str">
        <f t="shared" si="43"/>
        <v>Variant allowances (including Real Price Effects)</v>
      </c>
    </row>
    <row r="121" spans="5:56" x14ac:dyDescent="0.35">
      <c r="E121" s="33" t="str">
        <f>CHOOSE(UserInterface!$C$22,#REF!,#REF!,#REF!,#REF!,#REF!,Scotland!E121,Southern!E121,#REF!)</f>
        <v>UIOLI_Net Zero and Re-opener Development Fund / Decarbonisation Project Development Fund UIOLI</v>
      </c>
      <c r="F121" s="33" t="s">
        <v>142</v>
      </c>
      <c r="G121" s="33" t="str">
        <f t="shared" si="39"/>
        <v>£m 23/24 prices</v>
      </c>
      <c r="H121" s="33" t="s">
        <v>907</v>
      </c>
      <c r="AU121" s="137">
        <f>CHOOSE(UserInterface!$C$22,#REF!,#REF!,#REF!,#REF!,#REF!,Scotland!AU121,Southern!AU121,#REF!)</f>
        <v>1.2392497899386423</v>
      </c>
      <c r="AV121" s="20">
        <f>CHOOSE(UserInterface!$C$22,#REF!,#REF!,#REF!,#REF!,#REF!,Scotland!AV121,Southern!AV121,#REF!)</f>
        <v>1.2767146539807555</v>
      </c>
      <c r="AW121" s="20">
        <f>CHOOSE(UserInterface!$C$22,#REF!,#REF!,#REF!,#REF!,#REF!,Scotland!AW121,Southern!AW121,#REF!)</f>
        <v>1.2662639920655725</v>
      </c>
      <c r="AX121" s="20">
        <f>CHOOSE(UserInterface!$C$22,#REF!,#REF!,#REF!,#REF!,#REF!,Scotland!AX121,Southern!AX121,#REF!)</f>
        <v>1.1608107225440842</v>
      </c>
      <c r="AY121" s="20">
        <f>CHOOSE(UserInterface!$C$22,#REF!,#REF!,#REF!,#REF!,#REF!,Scotland!AY121,Southern!AY121,#REF!)</f>
        <v>1.0894965187347112</v>
      </c>
      <c r="BA121" s="34" t="str">
        <f t="shared" ca="1" si="40"/>
        <v>LicenseeSelect</v>
      </c>
      <c r="BB121" s="34" t="str">
        <f t="shared" si="41"/>
        <v>Variable inputs</v>
      </c>
      <c r="BC121" s="34" t="str">
        <f t="shared" si="42"/>
        <v>Variant allowances</v>
      </c>
      <c r="BD121" s="34" t="str">
        <f t="shared" si="43"/>
        <v>Variant allowances (including Real Price Effects)</v>
      </c>
    </row>
    <row r="122" spans="5:56" x14ac:dyDescent="0.35">
      <c r="E122" s="33" t="str">
        <f>CHOOSE(UserInterface!$C$22,#REF!,#REF!,#REF!,#REF!,#REF!,Scotland!E122,Southern!E122,#REF!)</f>
        <v>UIOLI_Cyber Resilience_NGN</v>
      </c>
      <c r="F122" s="33" t="s">
        <v>137</v>
      </c>
      <c r="G122" s="33" t="str">
        <f t="shared" si="39"/>
        <v>£m 23/24 prices</v>
      </c>
      <c r="H122" s="33" t="s">
        <v>876</v>
      </c>
      <c r="AU122" s="137">
        <f>CHOOSE(UserInterface!$C$22,#REF!,#REF!,#REF!,#REF!,#REF!,Scotland!AU122,Southern!AU122,#REF!)</f>
        <v>0</v>
      </c>
      <c r="AV122" s="20">
        <f>CHOOSE(UserInterface!$C$22,#REF!,#REF!,#REF!,#REF!,#REF!,Scotland!AV122,Southern!AV122,#REF!)</f>
        <v>0</v>
      </c>
      <c r="AW122" s="20">
        <f>CHOOSE(UserInterface!$C$22,#REF!,#REF!,#REF!,#REF!,#REF!,Scotland!AW122,Southern!AW122,#REF!)</f>
        <v>0</v>
      </c>
      <c r="AX122" s="20">
        <f>CHOOSE(UserInterface!$C$22,#REF!,#REF!,#REF!,#REF!,#REF!,Scotland!AX122,Southern!AX122,#REF!)</f>
        <v>0</v>
      </c>
      <c r="AY122" s="20">
        <f>CHOOSE(UserInterface!$C$22,#REF!,#REF!,#REF!,#REF!,#REF!,Scotland!AY122,Southern!AY122,#REF!)</f>
        <v>0</v>
      </c>
      <c r="BA122" s="34" t="str">
        <f t="shared" ca="1" si="40"/>
        <v>LicenseeSelect</v>
      </c>
      <c r="BB122" s="34" t="str">
        <f t="shared" si="41"/>
        <v>Variable inputs</v>
      </c>
      <c r="BC122" s="34" t="str">
        <f t="shared" si="42"/>
        <v>Variant allowances</v>
      </c>
      <c r="BD122" s="34" t="str">
        <f t="shared" si="43"/>
        <v>Variant allowances (including Real Price Effects)</v>
      </c>
    </row>
    <row r="123" spans="5:56" x14ac:dyDescent="0.35">
      <c r="E123" s="33" t="str">
        <f>CHOOSE(UserInterface!$C$22,#REF!,#REF!,#REF!,#REF!,#REF!,Scotland!E123,Southern!E123,#REF!)</f>
        <v>UIOLI_Cyber Resilience_All except NGN and WWU</v>
      </c>
      <c r="F123" s="33" t="s">
        <v>137</v>
      </c>
      <c r="G123" s="33" t="str">
        <f t="shared" si="39"/>
        <v>£m 23/24 prices</v>
      </c>
      <c r="H123" s="33" t="s">
        <v>876</v>
      </c>
      <c r="AU123" s="137">
        <f>CHOOSE(UserInterface!$C$22,#REF!,#REF!,#REF!,#REF!,#REF!,Scotland!AU123,Southern!AU123,#REF!)</f>
        <v>0.10206121530286198</v>
      </c>
      <c r="AV123" s="20">
        <f>CHOOSE(UserInterface!$C$22,#REF!,#REF!,#REF!,#REF!,#REF!,Scotland!AV123,Southern!AV123,#REF!)</f>
        <v>0.12990934690692862</v>
      </c>
      <c r="AW123" s="20">
        <f>CHOOSE(UserInterface!$C$22,#REF!,#REF!,#REF!,#REF!,#REF!,Scotland!AW123,Southern!AW123,#REF!)</f>
        <v>0.14575828722957393</v>
      </c>
      <c r="AX123" s="20">
        <f>CHOOSE(UserInterface!$C$22,#REF!,#REF!,#REF!,#REF!,#REF!,Scotland!AX123,Southern!AX123,#REF!)</f>
        <v>0.1612772578110756</v>
      </c>
      <c r="AY123" s="20">
        <f>CHOOSE(UserInterface!$C$22,#REF!,#REF!,#REF!,#REF!,#REF!,Scotland!AY123,Southern!AY123,#REF!)</f>
        <v>0.17647127315222433</v>
      </c>
      <c r="BA123" s="34" t="str">
        <f t="shared" ca="1" si="40"/>
        <v>LicenseeSelect</v>
      </c>
      <c r="BB123" s="34" t="str">
        <f t="shared" si="41"/>
        <v>Variable inputs</v>
      </c>
      <c r="BC123" s="34" t="str">
        <f t="shared" si="42"/>
        <v>Variant allowances</v>
      </c>
      <c r="BD123" s="34" t="str">
        <f t="shared" si="43"/>
        <v>Variant allowances (including Real Price Effects)</v>
      </c>
    </row>
    <row r="124" spans="5:56" x14ac:dyDescent="0.35">
      <c r="E124" s="33" t="str">
        <f>CHOOSE(UserInterface!$C$22,#REF!,#REF!,#REF!,#REF!,#REF!,Scotland!E124,Southern!E124,#REF!)</f>
        <v>UIOLI_Biomethane connections / Biomethane Distributed Entry Reinforcement</v>
      </c>
      <c r="F124" s="33" t="s">
        <v>160</v>
      </c>
      <c r="G124" s="33" t="str">
        <f t="shared" si="39"/>
        <v>£m 23/24 prices</v>
      </c>
      <c r="H124" s="33" t="s">
        <v>882</v>
      </c>
      <c r="AU124" s="137">
        <f>CHOOSE(UserInterface!$C$22,#REF!,#REF!,#REF!,#REF!,#REF!,Scotland!AU124,Southern!AU124,#REF!)</f>
        <v>4</v>
      </c>
      <c r="AV124" s="20">
        <f>CHOOSE(UserInterface!$C$22,#REF!,#REF!,#REF!,#REF!,#REF!,Scotland!AV124,Southern!AV124,#REF!)</f>
        <v>4</v>
      </c>
      <c r="AW124" s="20">
        <f>CHOOSE(UserInterface!$C$22,#REF!,#REF!,#REF!,#REF!,#REF!,Scotland!AW124,Southern!AW124,#REF!)</f>
        <v>4</v>
      </c>
      <c r="AX124" s="20">
        <f>CHOOSE(UserInterface!$C$22,#REF!,#REF!,#REF!,#REF!,#REF!,Scotland!AX124,Southern!AX124,#REF!)</f>
        <v>4</v>
      </c>
      <c r="AY124" s="20">
        <f>CHOOSE(UserInterface!$C$22,#REF!,#REF!,#REF!,#REF!,#REF!,Scotland!AY124,Southern!AY124,#REF!)</f>
        <v>4</v>
      </c>
      <c r="BA124" s="34" t="str">
        <f t="shared" ca="1" si="40"/>
        <v>LicenseeSelect</v>
      </c>
      <c r="BB124" s="34" t="str">
        <f t="shared" si="41"/>
        <v>Variable inputs</v>
      </c>
      <c r="BC124" s="34" t="str">
        <f t="shared" si="42"/>
        <v>Variant allowances</v>
      </c>
      <c r="BD124" s="34" t="str">
        <f t="shared" si="43"/>
        <v>Variant allowances (including Real Price Effects)</v>
      </c>
    </row>
    <row r="125" spans="5:56" x14ac:dyDescent="0.35">
      <c r="E125" s="33" t="str">
        <f>CHOOSE(UserInterface!$C$22,#REF!,#REF!,#REF!,#REF!,#REF!,Scotland!E125,Southern!E125,#REF!)</f>
        <v>Re-opener_Climate change resilience work</v>
      </c>
      <c r="G125" s="33" t="str">
        <f t="shared" si="39"/>
        <v>£m 23/24 prices</v>
      </c>
      <c r="AU125" s="137">
        <f>CHOOSE(UserInterface!$C$22,#REF!,#REF!,#REF!,#REF!,#REF!,Scotland!AU125,Southern!AU125,#REF!)</f>
        <v>0</v>
      </c>
      <c r="AV125" s="20">
        <f>CHOOSE(UserInterface!$C$22,#REF!,#REF!,#REF!,#REF!,#REF!,Scotland!AV125,Southern!AV125,#REF!)</f>
        <v>0</v>
      </c>
      <c r="AW125" s="20">
        <f>CHOOSE(UserInterface!$C$22,#REF!,#REF!,#REF!,#REF!,#REF!,Scotland!AW125,Southern!AW125,#REF!)</f>
        <v>0</v>
      </c>
      <c r="AX125" s="20">
        <f>CHOOSE(UserInterface!$C$22,#REF!,#REF!,#REF!,#REF!,#REF!,Scotland!AX125,Southern!AX125,#REF!)</f>
        <v>0</v>
      </c>
      <c r="AY125" s="20">
        <f>CHOOSE(UserInterface!$C$22,#REF!,#REF!,#REF!,#REF!,#REF!,Scotland!AY125,Southern!AY125,#REF!)</f>
        <v>0</v>
      </c>
      <c r="BA125" s="34" t="str">
        <f t="shared" ca="1" si="40"/>
        <v>LicenseeSelect</v>
      </c>
      <c r="BB125" s="34" t="str">
        <f t="shared" si="41"/>
        <v>Variable inputs</v>
      </c>
      <c r="BC125" s="34" t="str">
        <f t="shared" si="42"/>
        <v>Variant allowances</v>
      </c>
      <c r="BD125" s="34" t="str">
        <f t="shared" si="43"/>
        <v>Variant allowances (including Real Price Effects)</v>
      </c>
    </row>
    <row r="126" spans="5:56" x14ac:dyDescent="0.35">
      <c r="E126" s="33" t="str">
        <f>CHOOSE(UserInterface!$C$22,#REF!,#REF!,#REF!,#REF!,#REF!,Scotland!E126,Southern!E126,#REF!)</f>
        <v>Re-opener_Coordinated Adjustment Mechanism Re-opener</v>
      </c>
      <c r="F126" s="33" t="s">
        <v>147</v>
      </c>
      <c r="G126" s="33" t="str">
        <f t="shared" si="39"/>
        <v>£m 23/24 prices</v>
      </c>
      <c r="H126" s="33" t="s">
        <v>148</v>
      </c>
      <c r="AU126" s="137">
        <f>CHOOSE(UserInterface!$C$22,#REF!,#REF!,#REF!,#REF!,#REF!,Scotland!AU126,Southern!AU126,#REF!)</f>
        <v>0</v>
      </c>
      <c r="AV126" s="20">
        <f>CHOOSE(UserInterface!$C$22,#REF!,#REF!,#REF!,#REF!,#REF!,Scotland!AV126,Southern!AV126,#REF!)</f>
        <v>0</v>
      </c>
      <c r="AW126" s="20">
        <f>CHOOSE(UserInterface!$C$22,#REF!,#REF!,#REF!,#REF!,#REF!,Scotland!AW126,Southern!AW126,#REF!)</f>
        <v>0</v>
      </c>
      <c r="AX126" s="20">
        <f>CHOOSE(UserInterface!$C$22,#REF!,#REF!,#REF!,#REF!,#REF!,Scotland!AX126,Southern!AX126,#REF!)</f>
        <v>0</v>
      </c>
      <c r="AY126" s="20">
        <f>CHOOSE(UserInterface!$C$22,#REF!,#REF!,#REF!,#REF!,#REF!,Scotland!AY126,Southern!AY126,#REF!)</f>
        <v>0</v>
      </c>
      <c r="BA126" s="34" t="str">
        <f t="shared" ca="1" si="40"/>
        <v>LicenseeSelect</v>
      </c>
      <c r="BB126" s="34" t="str">
        <f t="shared" si="41"/>
        <v>Variable inputs</v>
      </c>
      <c r="BC126" s="34" t="str">
        <f t="shared" si="42"/>
        <v>Variant allowances</v>
      </c>
      <c r="BD126" s="34" t="str">
        <f t="shared" si="43"/>
        <v>Variant allowances (including Real Price Effects)</v>
      </c>
    </row>
    <row r="127" spans="5:56" x14ac:dyDescent="0.35">
      <c r="E127" s="33" t="str">
        <f>CHOOSE(UserInterface!$C$22,#REF!,#REF!,#REF!,#REF!,#REF!,Scotland!E127,Southern!E127,#REF!)</f>
        <v>Re-opener_Cyber re-opener (Cadent_EoE) / Cyber resilience Re-Opener</v>
      </c>
      <c r="F127" s="33" t="s">
        <v>137</v>
      </c>
      <c r="G127" s="33" t="str">
        <f t="shared" si="39"/>
        <v>£m 23/24 prices</v>
      </c>
      <c r="H127" s="33" t="s">
        <v>876</v>
      </c>
      <c r="AU127" s="137">
        <f>CHOOSE(UserInterface!$C$22,#REF!,#REF!,#REF!,#REF!,#REF!,Scotland!AU127,Southern!AU127,#REF!)</f>
        <v>0</v>
      </c>
      <c r="AV127" s="20">
        <f>CHOOSE(UserInterface!$C$22,#REF!,#REF!,#REF!,#REF!,#REF!,Scotland!AV127,Southern!AV127,#REF!)</f>
        <v>0</v>
      </c>
      <c r="AW127" s="20">
        <f>CHOOSE(UserInterface!$C$22,#REF!,#REF!,#REF!,#REF!,#REF!,Scotland!AW127,Southern!AW127,#REF!)</f>
        <v>0</v>
      </c>
      <c r="AX127" s="20">
        <f>CHOOSE(UserInterface!$C$22,#REF!,#REF!,#REF!,#REF!,#REF!,Scotland!AX127,Southern!AX127,#REF!)</f>
        <v>6.1989142082518418</v>
      </c>
      <c r="AY127" s="20">
        <f>CHOOSE(UserInterface!$C$22,#REF!,#REF!,#REF!,#REF!,#REF!,Scotland!AY127,Southern!AY127,#REF!)</f>
        <v>6.1989142082518418</v>
      </c>
      <c r="BA127" s="34" t="str">
        <f t="shared" ca="1" si="40"/>
        <v>LicenseeSelect</v>
      </c>
      <c r="BB127" s="34" t="str">
        <f t="shared" si="41"/>
        <v>Variable inputs</v>
      </c>
      <c r="BC127" s="34" t="str">
        <f t="shared" si="42"/>
        <v>Variant allowances</v>
      </c>
      <c r="BD127" s="34" t="str">
        <f t="shared" si="43"/>
        <v>Variant allowances (including Real Price Effects)</v>
      </c>
    </row>
    <row r="128" spans="5:56" x14ac:dyDescent="0.35">
      <c r="E128" s="33" t="str">
        <f>CHOOSE(UserInterface!$C$22,#REF!,#REF!,#REF!,#REF!,#REF!,Scotland!E128,Southern!E128,#REF!)</f>
        <v>Re-opener_Data and digitalisation</v>
      </c>
      <c r="G128" s="33" t="str">
        <f t="shared" si="39"/>
        <v>£m 23/24 prices</v>
      </c>
      <c r="AU128" s="137">
        <f>CHOOSE(UserInterface!$C$22,#REF!,#REF!,#REF!,#REF!,#REF!,Scotland!AU128,Southern!AU128,#REF!)</f>
        <v>0</v>
      </c>
      <c r="AV128" s="20">
        <f>CHOOSE(UserInterface!$C$22,#REF!,#REF!,#REF!,#REF!,#REF!,Scotland!AV128,Southern!AV128,#REF!)</f>
        <v>0</v>
      </c>
      <c r="AW128" s="20">
        <f>CHOOSE(UserInterface!$C$22,#REF!,#REF!,#REF!,#REF!,#REF!,Scotland!AW128,Southern!AW128,#REF!)</f>
        <v>0</v>
      </c>
      <c r="AX128" s="20">
        <f>CHOOSE(UserInterface!$C$22,#REF!,#REF!,#REF!,#REF!,#REF!,Scotland!AX128,Southern!AX128,#REF!)</f>
        <v>0</v>
      </c>
      <c r="AY128" s="20">
        <f>CHOOSE(UserInterface!$C$22,#REF!,#REF!,#REF!,#REF!,#REF!,Scotland!AY128,Southern!AY128,#REF!)</f>
        <v>0</v>
      </c>
      <c r="BA128" s="34" t="str">
        <f t="shared" ca="1" si="40"/>
        <v>LicenseeSelect</v>
      </c>
      <c r="BB128" s="34" t="str">
        <f t="shared" si="41"/>
        <v>Variable inputs</v>
      </c>
      <c r="BC128" s="34" t="str">
        <f t="shared" si="42"/>
        <v>Variant allowances</v>
      </c>
      <c r="BD128" s="34" t="str">
        <f t="shared" si="43"/>
        <v>Variant allowances (including Real Price Effects)</v>
      </c>
    </row>
    <row r="129" spans="5:56" x14ac:dyDescent="0.35">
      <c r="E129" s="33" t="str">
        <f>CHOOSE(UserInterface!$C$22,#REF!,#REF!,#REF!,#REF!,#REF!,Scotland!E129,Southern!E129,#REF!)</f>
        <v>Re-opener_Digitalisation re-opener</v>
      </c>
      <c r="F129" s="33" t="s">
        <v>161</v>
      </c>
      <c r="G129" s="33" t="str">
        <f t="shared" si="39"/>
        <v>£m 23/24 prices</v>
      </c>
      <c r="H129" s="33" t="s">
        <v>879</v>
      </c>
      <c r="AU129" s="137">
        <f>CHOOSE(UserInterface!$C$22,#REF!,#REF!,#REF!,#REF!,#REF!,Scotland!AU129,Southern!AU129,#REF!)</f>
        <v>0</v>
      </c>
      <c r="AV129" s="20">
        <f>CHOOSE(UserInterface!$C$22,#REF!,#REF!,#REF!,#REF!,#REF!,Scotland!AV129,Southern!AV129,#REF!)</f>
        <v>0</v>
      </c>
      <c r="AW129" s="20">
        <f>CHOOSE(UserInterface!$C$22,#REF!,#REF!,#REF!,#REF!,#REF!,Scotland!AW129,Southern!AW129,#REF!)</f>
        <v>0</v>
      </c>
      <c r="AX129" s="20">
        <f>CHOOSE(UserInterface!$C$22,#REF!,#REF!,#REF!,#REF!,#REF!,Scotland!AX129,Southern!AX129,#REF!)</f>
        <v>0</v>
      </c>
      <c r="AY129" s="20">
        <f>CHOOSE(UserInterface!$C$22,#REF!,#REF!,#REF!,#REF!,#REF!,Scotland!AY129,Southern!AY129,#REF!)</f>
        <v>0</v>
      </c>
      <c r="BA129" s="34" t="str">
        <f t="shared" ca="1" si="40"/>
        <v>LicenseeSelect</v>
      </c>
      <c r="BB129" s="34" t="str">
        <f t="shared" si="41"/>
        <v>Variable inputs</v>
      </c>
      <c r="BC129" s="34" t="str">
        <f t="shared" si="42"/>
        <v>Variant allowances</v>
      </c>
      <c r="BD129" s="34" t="str">
        <f t="shared" si="43"/>
        <v>Variant allowances (including Real Price Effects)</v>
      </c>
    </row>
    <row r="130" spans="5:56" x14ac:dyDescent="0.35">
      <c r="E130" s="33" t="str">
        <f>CHOOSE(UserInterface!$C$22,#REF!,#REF!,#REF!,#REF!,#REF!,Scotland!E130,Southern!E130,#REF!)</f>
        <v>Re-opener_Diversions and Loss of Development Claims Re-opener</v>
      </c>
      <c r="F130" s="33" t="s">
        <v>158</v>
      </c>
      <c r="G130" s="33" t="str">
        <f t="shared" si="39"/>
        <v>£m 23/24 prices</v>
      </c>
      <c r="H130" s="33" t="s">
        <v>159</v>
      </c>
      <c r="AU130" s="137">
        <f>CHOOSE(UserInterface!$C$22,#REF!,#REF!,#REF!,#REF!,#REF!,Scotland!AU130,Southern!AU130,#REF!)</f>
        <v>1.984</v>
      </c>
      <c r="AV130" s="20">
        <f>CHOOSE(UserInterface!$C$22,#REF!,#REF!,#REF!,#REF!,#REF!,Scotland!AV130,Southern!AV130,#REF!)</f>
        <v>1.984</v>
      </c>
      <c r="AW130" s="20">
        <f>CHOOSE(UserInterface!$C$22,#REF!,#REF!,#REF!,#REF!,#REF!,Scotland!AW130,Southern!AW130,#REF!)</f>
        <v>1.984</v>
      </c>
      <c r="AX130" s="20">
        <f>CHOOSE(UserInterface!$C$22,#REF!,#REF!,#REF!,#REF!,#REF!,Scotland!AX130,Southern!AX130,#REF!)</f>
        <v>1.984</v>
      </c>
      <c r="AY130" s="20">
        <f>CHOOSE(UserInterface!$C$22,#REF!,#REF!,#REF!,#REF!,#REF!,Scotland!AY130,Southern!AY130,#REF!)</f>
        <v>1.984</v>
      </c>
      <c r="BA130" s="34" t="str">
        <f t="shared" ca="1" si="40"/>
        <v>LicenseeSelect</v>
      </c>
      <c r="BB130" s="34" t="str">
        <f t="shared" si="41"/>
        <v>Variable inputs</v>
      </c>
      <c r="BC130" s="34" t="str">
        <f t="shared" si="42"/>
        <v>Variant allowances</v>
      </c>
      <c r="BD130" s="34" t="str">
        <f t="shared" si="43"/>
        <v>Variant allowances (including Real Price Effects)</v>
      </c>
    </row>
    <row r="131" spans="5:56" x14ac:dyDescent="0.35">
      <c r="E131" s="33" t="str">
        <f>CHOOSE(UserInterface!$C$22,#REF!,#REF!,#REF!,#REF!,#REF!,Scotland!E131,Southern!E131,#REF!)</f>
        <v>Re-opener_Heat Policy re-opener</v>
      </c>
      <c r="F131" s="33" t="s">
        <v>151</v>
      </c>
      <c r="G131" s="33" t="str">
        <f t="shared" si="39"/>
        <v>£m 23/24 prices</v>
      </c>
      <c r="H131" s="33" t="s">
        <v>150</v>
      </c>
      <c r="AU131" s="137">
        <f>CHOOSE(UserInterface!$C$22,#REF!,#REF!,#REF!,#REF!,#REF!,Scotland!AU131,Southern!AU131,#REF!)</f>
        <v>0</v>
      </c>
      <c r="AV131" s="20">
        <f>CHOOSE(UserInterface!$C$22,#REF!,#REF!,#REF!,#REF!,#REF!,Scotland!AV131,Southern!AV131,#REF!)</f>
        <v>0</v>
      </c>
      <c r="AW131" s="20">
        <f>CHOOSE(UserInterface!$C$22,#REF!,#REF!,#REF!,#REF!,#REF!,Scotland!AW131,Southern!AW131,#REF!)</f>
        <v>0</v>
      </c>
      <c r="AX131" s="20">
        <f>CHOOSE(UserInterface!$C$22,#REF!,#REF!,#REF!,#REF!,#REF!,Scotland!AX131,Southern!AX131,#REF!)</f>
        <v>0</v>
      </c>
      <c r="AY131" s="20">
        <f>CHOOSE(UserInterface!$C$22,#REF!,#REF!,#REF!,#REF!,#REF!,Scotland!AY131,Southern!AY131,#REF!)</f>
        <v>0</v>
      </c>
      <c r="BA131" s="34" t="str">
        <f t="shared" ca="1" si="40"/>
        <v>LicenseeSelect</v>
      </c>
      <c r="BB131" s="34" t="str">
        <f t="shared" si="41"/>
        <v>Variable inputs</v>
      </c>
      <c r="BC131" s="34" t="str">
        <f t="shared" si="42"/>
        <v>Variant allowances</v>
      </c>
      <c r="BD131" s="34" t="str">
        <f t="shared" si="43"/>
        <v>Variant allowances (including Real Price Effects)</v>
      </c>
    </row>
    <row r="132" spans="5:56" x14ac:dyDescent="0.35">
      <c r="E132" s="33" t="str">
        <f>CHOOSE(UserInterface!$C$22,#REF!,#REF!,#REF!,#REF!,#REF!,Scotland!E132,Southern!E132,#REF!)</f>
        <v>Re-opener_HSE Policy Re-opener</v>
      </c>
      <c r="F132" s="33" t="s">
        <v>134</v>
      </c>
      <c r="G132" s="33" t="str">
        <f t="shared" si="39"/>
        <v>£m 23/24 prices</v>
      </c>
      <c r="H132" s="33" t="s">
        <v>146</v>
      </c>
      <c r="AU132" s="137">
        <f>CHOOSE(UserInterface!$C$22,#REF!,#REF!,#REF!,#REF!,#REF!,Scotland!AU132,Southern!AU132,#REF!)</f>
        <v>0</v>
      </c>
      <c r="AV132" s="20">
        <f>CHOOSE(UserInterface!$C$22,#REF!,#REF!,#REF!,#REF!,#REF!,Scotland!AV132,Southern!AV132,#REF!)</f>
        <v>0</v>
      </c>
      <c r="AW132" s="20">
        <f>CHOOSE(UserInterface!$C$22,#REF!,#REF!,#REF!,#REF!,#REF!,Scotland!AW132,Southern!AW132,#REF!)</f>
        <v>0</v>
      </c>
      <c r="AX132" s="20">
        <f>CHOOSE(UserInterface!$C$22,#REF!,#REF!,#REF!,#REF!,#REF!,Scotland!AX132,Southern!AX132,#REF!)</f>
        <v>0</v>
      </c>
      <c r="AY132" s="20">
        <f>CHOOSE(UserInterface!$C$22,#REF!,#REF!,#REF!,#REF!,#REF!,Scotland!AY132,Southern!AY132,#REF!)</f>
        <v>0</v>
      </c>
      <c r="BA132" s="34" t="str">
        <f t="shared" ca="1" si="40"/>
        <v>LicenseeSelect</v>
      </c>
      <c r="BB132" s="34" t="str">
        <f t="shared" si="41"/>
        <v>Variable inputs</v>
      </c>
      <c r="BC132" s="34" t="str">
        <f t="shared" si="42"/>
        <v>Variant allowances</v>
      </c>
      <c r="BD132" s="34" t="str">
        <f t="shared" si="43"/>
        <v>Variant allowances (including Real Price Effects)</v>
      </c>
    </row>
    <row r="133" spans="5:56" x14ac:dyDescent="0.35">
      <c r="E133" s="33" t="str">
        <f>CHOOSE(UserInterface!$C$22,#REF!,#REF!,#REF!,#REF!,#REF!,Scotland!E133,Southern!E133,#REF!)</f>
        <v>Re-opener_London Subways and Tunnels</v>
      </c>
      <c r="F133" s="33" t="s">
        <v>141</v>
      </c>
      <c r="G133" s="33" t="str">
        <f t="shared" si="39"/>
        <v>£m 23/24 prices</v>
      </c>
      <c r="H133" s="33" t="s">
        <v>739</v>
      </c>
      <c r="AU133" s="137">
        <f>CHOOSE(UserInterface!$C$22,#REF!,#REF!,#REF!,#REF!,#REF!,Scotland!AU133,Southern!AU133,#REF!)</f>
        <v>0</v>
      </c>
      <c r="AV133" s="20">
        <f>CHOOSE(UserInterface!$C$22,#REF!,#REF!,#REF!,#REF!,#REF!,Scotland!AV133,Southern!AV133,#REF!)</f>
        <v>0</v>
      </c>
      <c r="AW133" s="20">
        <f>CHOOSE(UserInterface!$C$22,#REF!,#REF!,#REF!,#REF!,#REF!,Scotland!AW133,Southern!AW133,#REF!)</f>
        <v>0</v>
      </c>
      <c r="AX133" s="20">
        <f>CHOOSE(UserInterface!$C$22,#REF!,#REF!,#REF!,#REF!,#REF!,Scotland!AX133,Southern!AX133,#REF!)</f>
        <v>0</v>
      </c>
      <c r="AY133" s="20">
        <f>CHOOSE(UserInterface!$C$22,#REF!,#REF!,#REF!,#REF!,#REF!,Scotland!AY133,Southern!AY133,#REF!)</f>
        <v>0</v>
      </c>
      <c r="BA133" s="34" t="str">
        <f t="shared" ca="1" si="40"/>
        <v>LicenseeSelect</v>
      </c>
      <c r="BB133" s="34" t="str">
        <f t="shared" si="41"/>
        <v>Variable inputs</v>
      </c>
      <c r="BC133" s="34" t="str">
        <f t="shared" si="42"/>
        <v>Variant allowances</v>
      </c>
      <c r="BD133" s="34" t="str">
        <f t="shared" si="43"/>
        <v>Variant allowances (including Real Price Effects)</v>
      </c>
    </row>
    <row r="134" spans="5:56" x14ac:dyDescent="0.35">
      <c r="E134" s="33" t="str">
        <f>CHOOSE(UserInterface!$C$22,#REF!,#REF!,#REF!,#REF!,#REF!,Scotland!E134,Southern!E134,#REF!)</f>
        <v>Re-opener_Net Zero Pre-construction Works and Small Net Zero Projects Re-opener / Small Decarbonisation Projects Re-opener</v>
      </c>
      <c r="F134" s="33" t="s">
        <v>139</v>
      </c>
      <c r="G134" s="33" t="str">
        <f t="shared" si="39"/>
        <v>£m 23/24 prices</v>
      </c>
      <c r="H134" s="33" t="s">
        <v>908</v>
      </c>
      <c r="AU134" s="137">
        <f>CHOOSE(UserInterface!$C$22,#REF!,#REF!,#REF!,#REF!,#REF!,Scotland!AU134,Southern!AU134,#REF!)</f>
        <v>0</v>
      </c>
      <c r="AV134" s="20">
        <f>CHOOSE(UserInterface!$C$22,#REF!,#REF!,#REF!,#REF!,#REF!,Scotland!AV134,Southern!AV134,#REF!)</f>
        <v>0</v>
      </c>
      <c r="AW134" s="20">
        <f>CHOOSE(UserInterface!$C$22,#REF!,#REF!,#REF!,#REF!,#REF!,Scotland!AW134,Southern!AW134,#REF!)</f>
        <v>0</v>
      </c>
      <c r="AX134" s="20">
        <f>CHOOSE(UserInterface!$C$22,#REF!,#REF!,#REF!,#REF!,#REF!,Scotland!AX134,Southern!AX134,#REF!)</f>
        <v>0</v>
      </c>
      <c r="AY134" s="20">
        <f>CHOOSE(UserInterface!$C$22,#REF!,#REF!,#REF!,#REF!,#REF!,Scotland!AY134,Southern!AY134,#REF!)</f>
        <v>0</v>
      </c>
      <c r="BA134" s="34" t="str">
        <f t="shared" ca="1" si="40"/>
        <v>LicenseeSelect</v>
      </c>
      <c r="BB134" s="34" t="str">
        <f t="shared" si="41"/>
        <v>Variable inputs</v>
      </c>
      <c r="BC134" s="34" t="str">
        <f t="shared" si="42"/>
        <v>Variant allowances</v>
      </c>
      <c r="BD134" s="34" t="str">
        <f t="shared" si="43"/>
        <v>Variant allowances (including Real Price Effects)</v>
      </c>
    </row>
    <row r="135" spans="5:56" x14ac:dyDescent="0.35">
      <c r="E135" s="33" t="str">
        <f>CHOOSE(UserInterface!$C$22,#REF!,#REF!,#REF!,#REF!,#REF!,Scotland!E135,Southern!E135,#REF!)</f>
        <v>Re-opener_Net zero re-opener / Decarbonisation and Environmental Policy Re-opener</v>
      </c>
      <c r="F135" s="33" t="s">
        <v>152</v>
      </c>
      <c r="G135" s="33" t="str">
        <f t="shared" si="39"/>
        <v>£m 23/24 prices</v>
      </c>
      <c r="H135" s="33" t="s">
        <v>909</v>
      </c>
      <c r="AU135" s="137">
        <f>CHOOSE(UserInterface!$C$22,#REF!,#REF!,#REF!,#REF!,#REF!,Scotland!AU135,Southern!AU135,#REF!)</f>
        <v>0</v>
      </c>
      <c r="AV135" s="20">
        <f>CHOOSE(UserInterface!$C$22,#REF!,#REF!,#REF!,#REF!,#REF!,Scotland!AV135,Southern!AV135,#REF!)</f>
        <v>0</v>
      </c>
      <c r="AW135" s="20">
        <f>CHOOSE(UserInterface!$C$22,#REF!,#REF!,#REF!,#REF!,#REF!,Scotland!AW135,Southern!AW135,#REF!)</f>
        <v>0</v>
      </c>
      <c r="AX135" s="20">
        <f>CHOOSE(UserInterface!$C$22,#REF!,#REF!,#REF!,#REF!,#REF!,Scotland!AX135,Southern!AX135,#REF!)</f>
        <v>0</v>
      </c>
      <c r="AY135" s="20">
        <f>CHOOSE(UserInterface!$C$22,#REF!,#REF!,#REF!,#REF!,#REF!,Scotland!AY135,Southern!AY135,#REF!)</f>
        <v>0</v>
      </c>
      <c r="BA135" s="34" t="str">
        <f t="shared" ca="1" si="40"/>
        <v>LicenseeSelect</v>
      </c>
      <c r="BB135" s="34" t="str">
        <f t="shared" si="41"/>
        <v>Variable inputs</v>
      </c>
      <c r="BC135" s="34" t="str">
        <f t="shared" si="42"/>
        <v>Variant allowances</v>
      </c>
      <c r="BD135" s="34" t="str">
        <f t="shared" si="43"/>
        <v>Variant allowances (including Real Price Effects)</v>
      </c>
    </row>
    <row r="136" spans="5:56" x14ac:dyDescent="0.35">
      <c r="E136" s="33" t="str">
        <f>CHOOSE(UserInterface!$C$22,#REF!,#REF!,#REF!,#REF!,#REF!,Scotland!E136,Southern!E136,#REF!)</f>
        <v>Re-opener_New Large Load Connections Re-opener</v>
      </c>
      <c r="F136" s="33" t="s">
        <v>143</v>
      </c>
      <c r="G136" s="33" t="str">
        <f t="shared" si="39"/>
        <v>£m 23/24 prices</v>
      </c>
      <c r="H136" s="33" t="s">
        <v>157</v>
      </c>
      <c r="AU136" s="137">
        <f>CHOOSE(UserInterface!$C$22,#REF!,#REF!,#REF!,#REF!,#REF!,Scotland!AU136,Southern!AU136,#REF!)</f>
        <v>0</v>
      </c>
      <c r="AV136" s="20">
        <f>CHOOSE(UserInterface!$C$22,#REF!,#REF!,#REF!,#REF!,#REF!,Scotland!AV136,Southern!AV136,#REF!)</f>
        <v>0</v>
      </c>
      <c r="AW136" s="20">
        <f>CHOOSE(UserInterface!$C$22,#REF!,#REF!,#REF!,#REF!,#REF!,Scotland!AW136,Southern!AW136,#REF!)</f>
        <v>0</v>
      </c>
      <c r="AX136" s="20">
        <f>CHOOSE(UserInterface!$C$22,#REF!,#REF!,#REF!,#REF!,#REF!,Scotland!AX136,Southern!AX136,#REF!)</f>
        <v>0</v>
      </c>
      <c r="AY136" s="20">
        <f>CHOOSE(UserInterface!$C$22,#REF!,#REF!,#REF!,#REF!,#REF!,Scotland!AY136,Southern!AY136,#REF!)</f>
        <v>0</v>
      </c>
      <c r="BA136" s="34" t="str">
        <f t="shared" ca="1" si="40"/>
        <v>LicenseeSelect</v>
      </c>
      <c r="BB136" s="34" t="str">
        <f t="shared" si="41"/>
        <v>Variable inputs</v>
      </c>
      <c r="BC136" s="34" t="str">
        <f t="shared" si="42"/>
        <v>Variant allowances</v>
      </c>
      <c r="BD136" s="34" t="str">
        <f t="shared" si="43"/>
        <v>Variant allowances (including Real Price Effects)</v>
      </c>
    </row>
    <row r="137" spans="5:56" x14ac:dyDescent="0.35">
      <c r="E137" s="33" t="str">
        <f>CHOOSE(UserInterface!$C$22,#REF!,#REF!,#REF!,#REF!,#REF!,Scotland!E137,Southern!E137,#REF!)</f>
        <v>Re-opener_Resilience re-opener / Resilience Activity Re-opener</v>
      </c>
      <c r="F137" s="33" t="s">
        <v>138</v>
      </c>
      <c r="G137" s="33" t="str">
        <f t="shared" si="39"/>
        <v>£m 23/24 prices</v>
      </c>
      <c r="H137" s="33" t="s">
        <v>720</v>
      </c>
      <c r="AU137" s="137">
        <f>CHOOSE(UserInterface!$C$22,#REF!,#REF!,#REF!,#REF!,#REF!,Scotland!AU137,Southern!AU137,#REF!)</f>
        <v>0</v>
      </c>
      <c r="AV137" s="20">
        <f>CHOOSE(UserInterface!$C$22,#REF!,#REF!,#REF!,#REF!,#REF!,Scotland!AV137,Southern!AV137,#REF!)</f>
        <v>0</v>
      </c>
      <c r="AW137" s="20">
        <f>CHOOSE(UserInterface!$C$22,#REF!,#REF!,#REF!,#REF!,#REF!,Scotland!AW137,Southern!AW137,#REF!)</f>
        <v>0</v>
      </c>
      <c r="AX137" s="20">
        <f>CHOOSE(UserInterface!$C$22,#REF!,#REF!,#REF!,#REF!,#REF!,Scotland!AX137,Southern!AX137,#REF!)</f>
        <v>0</v>
      </c>
      <c r="AY137" s="20">
        <f>CHOOSE(UserInterface!$C$22,#REF!,#REF!,#REF!,#REF!,#REF!,Scotland!AY137,Southern!AY137,#REF!)</f>
        <v>0</v>
      </c>
      <c r="BA137" s="34" t="str">
        <f t="shared" ca="1" si="40"/>
        <v>LicenseeSelect</v>
      </c>
      <c r="BB137" s="34" t="str">
        <f t="shared" si="41"/>
        <v>Variable inputs</v>
      </c>
      <c r="BC137" s="34" t="str">
        <f t="shared" si="42"/>
        <v>Variant allowances</v>
      </c>
      <c r="BD137" s="34" t="str">
        <f t="shared" si="43"/>
        <v>Variant allowances (including Real Price Effects)</v>
      </c>
    </row>
    <row r="138" spans="5:56" x14ac:dyDescent="0.35">
      <c r="E138" s="33" t="str">
        <f>CHOOSE(UserInterface!$C$22,#REF!,#REF!,#REF!,#REF!,#REF!,Scotland!E138,Southern!E138,#REF!)</f>
        <v>Re-opener_Specified Streetworks Costs Re-opener</v>
      </c>
      <c r="F138" s="33" t="s">
        <v>145</v>
      </c>
      <c r="G138" s="33" t="str">
        <f t="shared" si="39"/>
        <v>£m 23/24 prices</v>
      </c>
      <c r="H138" s="33" t="s">
        <v>155</v>
      </c>
      <c r="AU138" s="137">
        <f>CHOOSE(UserInterface!$C$22,#REF!,#REF!,#REF!,#REF!,#REF!,Scotland!AU138,Southern!AU138,#REF!)</f>
        <v>0</v>
      </c>
      <c r="AV138" s="20">
        <f>CHOOSE(UserInterface!$C$22,#REF!,#REF!,#REF!,#REF!,#REF!,Scotland!AV138,Southern!AV138,#REF!)</f>
        <v>0</v>
      </c>
      <c r="AW138" s="20">
        <f>CHOOSE(UserInterface!$C$22,#REF!,#REF!,#REF!,#REF!,#REF!,Scotland!AW138,Southern!AW138,#REF!)</f>
        <v>0</v>
      </c>
      <c r="AX138" s="20">
        <f>CHOOSE(UserInterface!$C$22,#REF!,#REF!,#REF!,#REF!,#REF!,Scotland!AX138,Southern!AX138,#REF!)</f>
        <v>0</v>
      </c>
      <c r="AY138" s="20">
        <f>CHOOSE(UserInterface!$C$22,#REF!,#REF!,#REF!,#REF!,#REF!,Scotland!AY138,Southern!AY138,#REF!)</f>
        <v>0</v>
      </c>
      <c r="BA138" s="34" t="str">
        <f t="shared" ca="1" si="40"/>
        <v>LicenseeSelect</v>
      </c>
      <c r="BB138" s="34" t="str">
        <f t="shared" si="41"/>
        <v>Variable inputs</v>
      </c>
      <c r="BC138" s="34" t="str">
        <f t="shared" si="42"/>
        <v>Variant allowances</v>
      </c>
      <c r="BD138" s="34" t="str">
        <f t="shared" si="43"/>
        <v>Variant allowances (including Real Price Effects)</v>
      </c>
    </row>
    <row r="139" spans="5:56" x14ac:dyDescent="0.35">
      <c r="E139" s="33" t="str">
        <f>CHOOSE(UserInterface!$C$22,#REF!,#REF!,#REF!,#REF!,#REF!,Scotland!E139,Southern!E139,#REF!)</f>
        <v>Re-opener_Physical Security Re-opener</v>
      </c>
      <c r="F139" s="33" t="s">
        <v>138</v>
      </c>
      <c r="G139" s="33" t="str">
        <f t="shared" si="39"/>
        <v>£m 23/24 prices</v>
      </c>
      <c r="H139" s="33" t="s">
        <v>720</v>
      </c>
      <c r="AU139" s="137">
        <f>CHOOSE(UserInterface!$C$22,#REF!,#REF!,#REF!,#REF!,#REF!,Scotland!AU139,Southern!AU139,#REF!)</f>
        <v>0</v>
      </c>
      <c r="AV139" s="20">
        <f>CHOOSE(UserInterface!$C$22,#REF!,#REF!,#REF!,#REF!,#REF!,Scotland!AV139,Southern!AV139,#REF!)</f>
        <v>0</v>
      </c>
      <c r="AW139" s="20">
        <f>CHOOSE(UserInterface!$C$22,#REF!,#REF!,#REF!,#REF!,#REF!,Scotland!AW139,Southern!AW139,#REF!)</f>
        <v>0</v>
      </c>
      <c r="AX139" s="20">
        <f>CHOOSE(UserInterface!$C$22,#REF!,#REF!,#REF!,#REF!,#REF!,Scotland!AX139,Southern!AX139,#REF!)</f>
        <v>0</v>
      </c>
      <c r="AY139" s="20">
        <f>CHOOSE(UserInterface!$C$22,#REF!,#REF!,#REF!,#REF!,#REF!,Scotland!AY139,Southern!AY139,#REF!)</f>
        <v>0</v>
      </c>
      <c r="BA139" s="34" t="str">
        <f t="shared" ca="1" si="40"/>
        <v>LicenseeSelect</v>
      </c>
      <c r="BB139" s="34" t="str">
        <f t="shared" si="41"/>
        <v>Variable inputs</v>
      </c>
      <c r="BC139" s="34" t="str">
        <f t="shared" si="42"/>
        <v>Variant allowances</v>
      </c>
      <c r="BD139" s="34" t="str">
        <f t="shared" si="43"/>
        <v>Variant allowances (including Real Price Effects)</v>
      </c>
    </row>
    <row r="140" spans="5:56" x14ac:dyDescent="0.35">
      <c r="E140" s="33" t="str">
        <f>CHOOSE(UserInterface!$C$22,#REF!,#REF!,#REF!,#REF!,#REF!,Scotland!E140,Southern!E140,#REF!)</f>
        <v>Re-opener_East Coast Hydrogen NZASP Re-Opener (EoE and NGN) / GD2/GD3 Crossover Adjustment</v>
      </c>
      <c r="F140" s="33" t="s">
        <v>921</v>
      </c>
      <c r="G140" s="33" t="str">
        <f t="shared" si="39"/>
        <v>£m 23/24 prices</v>
      </c>
      <c r="H140" s="33" t="s">
        <v>910</v>
      </c>
      <c r="AU140" s="137">
        <f>CHOOSE(UserInterface!$C$22,#REF!,#REF!,#REF!,#REF!,#REF!,Scotland!AU140,Southern!AU140,#REF!)</f>
        <v>0</v>
      </c>
      <c r="AV140" s="20">
        <f>CHOOSE(UserInterface!$C$22,#REF!,#REF!,#REF!,#REF!,#REF!,Scotland!AV140,Southern!AV140,#REF!)</f>
        <v>0</v>
      </c>
      <c r="AW140" s="20">
        <f>CHOOSE(UserInterface!$C$22,#REF!,#REF!,#REF!,#REF!,#REF!,Scotland!AW140,Southern!AW140,#REF!)</f>
        <v>0</v>
      </c>
      <c r="AX140" s="20">
        <f>CHOOSE(UserInterface!$C$22,#REF!,#REF!,#REF!,#REF!,#REF!,Scotland!AX140,Southern!AX140,#REF!)</f>
        <v>0</v>
      </c>
      <c r="AY140" s="20">
        <f>CHOOSE(UserInterface!$C$22,#REF!,#REF!,#REF!,#REF!,#REF!,Scotland!AY140,Southern!AY140,#REF!)</f>
        <v>0</v>
      </c>
      <c r="BA140" s="34" t="str">
        <f t="shared" ca="1" si="40"/>
        <v>LicenseeSelect</v>
      </c>
      <c r="BB140" s="34" t="str">
        <f t="shared" si="41"/>
        <v>Variable inputs</v>
      </c>
      <c r="BC140" s="34" t="str">
        <f t="shared" si="42"/>
        <v>Variant allowances</v>
      </c>
      <c r="BD140" s="34" t="str">
        <f t="shared" si="43"/>
        <v>Variant allowances (including Real Price Effects)</v>
      </c>
    </row>
    <row r="141" spans="5:56" x14ac:dyDescent="0.35">
      <c r="E141" s="33" t="str">
        <f>CHOOSE(UserInterface!$C$22,#REF!,#REF!,#REF!,#REF!,#REF!,Scotland!E141,Southern!E141,#REF!)</f>
        <v>Re-opener_Complex Distributions Systems Re-opener</v>
      </c>
      <c r="F141" s="33" t="s">
        <v>156</v>
      </c>
      <c r="G141" s="33" t="str">
        <f t="shared" si="39"/>
        <v>£m 23/24 prices</v>
      </c>
      <c r="H141" s="33" t="s">
        <v>883</v>
      </c>
      <c r="AU141" s="137">
        <f>CHOOSE(UserInterface!$C$22,#REF!,#REF!,#REF!,#REF!,#REF!,Scotland!AU141,Southern!AU141,#REF!)</f>
        <v>0</v>
      </c>
      <c r="AV141" s="20">
        <f>CHOOSE(UserInterface!$C$22,#REF!,#REF!,#REF!,#REF!,#REF!,Scotland!AV141,Southern!AV141,#REF!)</f>
        <v>3.1877999999999997</v>
      </c>
      <c r="AW141" s="20">
        <f>CHOOSE(UserInterface!$C$22,#REF!,#REF!,#REF!,#REF!,#REF!,Scotland!AW141,Southern!AW141,#REF!)</f>
        <v>3.1877999999999997</v>
      </c>
      <c r="AX141" s="20">
        <f>CHOOSE(UserInterface!$C$22,#REF!,#REF!,#REF!,#REF!,#REF!,Scotland!AX141,Southern!AX141,#REF!)</f>
        <v>3.1877999999999997</v>
      </c>
      <c r="AY141" s="20">
        <f>CHOOSE(UserInterface!$C$22,#REF!,#REF!,#REF!,#REF!,#REF!,Scotland!AY141,Southern!AY141,#REF!)</f>
        <v>3.1877999999999997</v>
      </c>
      <c r="BA141" s="34" t="str">
        <f t="shared" ca="1" si="40"/>
        <v>LicenseeSelect</v>
      </c>
      <c r="BB141" s="34" t="str">
        <f t="shared" si="41"/>
        <v>Variable inputs</v>
      </c>
      <c r="BC141" s="34" t="str">
        <f t="shared" si="42"/>
        <v>Variant allowances</v>
      </c>
      <c r="BD141" s="34" t="str">
        <f t="shared" si="43"/>
        <v>Variant allowances (including Real Price Effects)</v>
      </c>
    </row>
    <row r="142" spans="5:56" x14ac:dyDescent="0.35">
      <c r="E142" s="33" t="str">
        <f>CHOOSE(UserInterface!$C$22,#REF!,#REF!,#REF!,#REF!,#REF!,Scotland!E142,Southern!E142,#REF!)</f>
        <v>Re-opener_Mandated Category 3 Security Re-opener</v>
      </c>
      <c r="G142" s="33" t="str">
        <f t="shared" si="39"/>
        <v>£m 23/24 prices</v>
      </c>
      <c r="AU142" s="137">
        <f>CHOOSE(UserInterface!$C$22,#REF!,#REF!,#REF!,#REF!,#REF!,Scotland!AU142,Southern!AU142,#REF!)</f>
        <v>0</v>
      </c>
      <c r="AV142" s="20">
        <f>CHOOSE(UserInterface!$C$22,#REF!,#REF!,#REF!,#REF!,#REF!,Scotland!AV142,Southern!AV142,#REF!)</f>
        <v>0</v>
      </c>
      <c r="AW142" s="20">
        <f>CHOOSE(UserInterface!$C$22,#REF!,#REF!,#REF!,#REF!,#REF!,Scotland!AW142,Southern!AW142,#REF!)</f>
        <v>0</v>
      </c>
      <c r="AX142" s="20">
        <f>CHOOSE(UserInterface!$C$22,#REF!,#REF!,#REF!,#REF!,#REF!,Scotland!AX142,Southern!AX142,#REF!)</f>
        <v>0</v>
      </c>
      <c r="AY142" s="20">
        <f>CHOOSE(UserInterface!$C$22,#REF!,#REF!,#REF!,#REF!,#REF!,Scotland!AY142,Southern!AY142,#REF!)</f>
        <v>0</v>
      </c>
      <c r="BA142" s="34" t="str">
        <f t="shared" ca="1" si="40"/>
        <v>LicenseeSelect</v>
      </c>
      <c r="BB142" s="34" t="str">
        <f t="shared" si="41"/>
        <v>Variable inputs</v>
      </c>
      <c r="BC142" s="34" t="str">
        <f t="shared" si="42"/>
        <v>Variant allowances</v>
      </c>
      <c r="BD142" s="34" t="str">
        <f t="shared" si="43"/>
        <v>Variant allowances (including Real Price Effects)</v>
      </c>
    </row>
    <row r="143" spans="5:56" x14ac:dyDescent="0.35">
      <c r="E143" s="33" t="str">
        <f>CHOOSE(UserInterface!$C$22,#REF!,#REF!,#REF!,#REF!,#REF!,Scotland!E143,Southern!E143,#REF!)</f>
        <v>Re-opener_General Reinforcement</v>
      </c>
      <c r="G143" s="33" t="str">
        <f t="shared" si="39"/>
        <v>£m 23/24 prices</v>
      </c>
      <c r="AU143" s="137">
        <f>CHOOSE(UserInterface!$C$22,#REF!,#REF!,#REF!,#REF!,#REF!,Scotland!AU143,Southern!AU143,#REF!)</f>
        <v>0</v>
      </c>
      <c r="AV143" s="20">
        <f>CHOOSE(UserInterface!$C$22,#REF!,#REF!,#REF!,#REF!,#REF!,Scotland!AV143,Southern!AV143,#REF!)</f>
        <v>0</v>
      </c>
      <c r="AW143" s="20">
        <f>CHOOSE(UserInterface!$C$22,#REF!,#REF!,#REF!,#REF!,#REF!,Scotland!AW143,Southern!AW143,#REF!)</f>
        <v>0</v>
      </c>
      <c r="AX143" s="20">
        <f>CHOOSE(UserInterface!$C$22,#REF!,#REF!,#REF!,#REF!,#REF!,Scotland!AX143,Southern!AX143,#REF!)</f>
        <v>0</v>
      </c>
      <c r="AY143" s="20">
        <f>CHOOSE(UserInterface!$C$22,#REF!,#REF!,#REF!,#REF!,#REF!,Scotland!AY143,Southern!AY143,#REF!)</f>
        <v>0</v>
      </c>
      <c r="BA143" s="34" t="str">
        <f t="shared" ca="1" si="40"/>
        <v>LicenseeSelect</v>
      </c>
      <c r="BB143" s="34" t="str">
        <f t="shared" si="41"/>
        <v>Variable inputs</v>
      </c>
      <c r="BC143" s="34" t="str">
        <f t="shared" si="42"/>
        <v>Variant allowances</v>
      </c>
      <c r="BD143" s="34" t="str">
        <f t="shared" si="43"/>
        <v>Variant allowances (including Real Price Effects)</v>
      </c>
    </row>
    <row r="144" spans="5:56" x14ac:dyDescent="0.35">
      <c r="E144" s="33" t="str">
        <f>CHOOSE(UserInterface!$C$22,#REF!,#REF!,#REF!,#REF!,#REF!,Scotland!E144,Southern!E144,#REF!)</f>
        <v>Spare 2</v>
      </c>
      <c r="G144" s="33" t="str">
        <f t="shared" si="39"/>
        <v>£m 23/24 prices</v>
      </c>
      <c r="AU144" s="137">
        <f>CHOOSE(UserInterface!$C$22,#REF!,#REF!,#REF!,#REF!,#REF!,Scotland!AU144,Southern!AU144,#REF!)</f>
        <v>0</v>
      </c>
      <c r="AV144" s="20">
        <f>CHOOSE(UserInterface!$C$22,#REF!,#REF!,#REF!,#REF!,#REF!,Scotland!AV144,Southern!AV144,#REF!)</f>
        <v>0</v>
      </c>
      <c r="AW144" s="20">
        <f>CHOOSE(UserInterface!$C$22,#REF!,#REF!,#REF!,#REF!,#REF!,Scotland!AW144,Southern!AW144,#REF!)</f>
        <v>0</v>
      </c>
      <c r="AX144" s="20">
        <f>CHOOSE(UserInterface!$C$22,#REF!,#REF!,#REF!,#REF!,#REF!,Scotland!AX144,Southern!AX144,#REF!)</f>
        <v>0</v>
      </c>
      <c r="AY144" s="20">
        <f>CHOOSE(UserInterface!$C$22,#REF!,#REF!,#REF!,#REF!,#REF!,Scotland!AY144,Southern!AY144,#REF!)</f>
        <v>0</v>
      </c>
      <c r="BA144" s="34" t="str">
        <f t="shared" ca="1" si="40"/>
        <v>LicenseeSelect</v>
      </c>
      <c r="BB144" s="34" t="str">
        <f t="shared" si="41"/>
        <v>Variable inputs</v>
      </c>
      <c r="BC144" s="34" t="str">
        <f t="shared" si="42"/>
        <v>Variant allowances</v>
      </c>
      <c r="BD144" s="34" t="str">
        <f t="shared" si="43"/>
        <v>Variant allowances (including Real Price Effects)</v>
      </c>
    </row>
    <row r="145" spans="1:56" x14ac:dyDescent="0.35">
      <c r="E145" s="33" t="str">
        <f>CHOOSE(UserInterface!$C$22,#REF!,#REF!,#REF!,#REF!,#REF!,Scotland!E145,Southern!E145,#REF!)</f>
        <v>Spare 3</v>
      </c>
      <c r="G145" s="33" t="str">
        <f t="shared" si="39"/>
        <v>£m 23/24 prices</v>
      </c>
      <c r="AU145" s="137">
        <f>CHOOSE(UserInterface!$C$22,#REF!,#REF!,#REF!,#REF!,#REF!,Scotland!AU145,Southern!AU145,#REF!)</f>
        <v>0</v>
      </c>
      <c r="AV145" s="20">
        <f>CHOOSE(UserInterface!$C$22,#REF!,#REF!,#REF!,#REF!,#REF!,Scotland!AV145,Southern!AV145,#REF!)</f>
        <v>0</v>
      </c>
      <c r="AW145" s="20">
        <f>CHOOSE(UserInterface!$C$22,#REF!,#REF!,#REF!,#REF!,#REF!,Scotland!AW145,Southern!AW145,#REF!)</f>
        <v>0</v>
      </c>
      <c r="AX145" s="20">
        <f>CHOOSE(UserInterface!$C$22,#REF!,#REF!,#REF!,#REF!,#REF!,Scotland!AX145,Southern!AX145,#REF!)</f>
        <v>0</v>
      </c>
      <c r="AY145" s="20">
        <f>CHOOSE(UserInterface!$C$22,#REF!,#REF!,#REF!,#REF!,#REF!,Scotland!AY145,Southern!AY145,#REF!)</f>
        <v>0</v>
      </c>
      <c r="BA145" s="34" t="str">
        <f t="shared" ca="1" si="40"/>
        <v>LicenseeSelect</v>
      </c>
      <c r="BB145" s="34" t="str">
        <f t="shared" si="41"/>
        <v>Variable inputs</v>
      </c>
      <c r="BC145" s="34" t="str">
        <f t="shared" si="42"/>
        <v>Variant allowances</v>
      </c>
      <c r="BD145" s="34" t="str">
        <f t="shared" si="43"/>
        <v>Variant allowances (including Real Price Effects)</v>
      </c>
    </row>
    <row r="146" spans="1:56" x14ac:dyDescent="0.35">
      <c r="E146" s="33" t="str">
        <f>CHOOSE(UserInterface!$C$22,#REF!,#REF!,#REF!,#REF!,#REF!,Scotland!E146,Southern!E146,#REF!)</f>
        <v>Spare 4</v>
      </c>
      <c r="G146" s="33" t="str">
        <f t="shared" si="39"/>
        <v>£m 23/24 prices</v>
      </c>
      <c r="AU146" s="137">
        <f>CHOOSE(UserInterface!$C$22,#REF!,#REF!,#REF!,#REF!,#REF!,Scotland!AU146,Southern!AU146,#REF!)</f>
        <v>0</v>
      </c>
      <c r="AV146" s="20">
        <f>CHOOSE(UserInterface!$C$22,#REF!,#REF!,#REF!,#REF!,#REF!,Scotland!AV146,Southern!AV146,#REF!)</f>
        <v>0</v>
      </c>
      <c r="AW146" s="20">
        <f>CHOOSE(UserInterface!$C$22,#REF!,#REF!,#REF!,#REF!,#REF!,Scotland!AW146,Southern!AW146,#REF!)</f>
        <v>0</v>
      </c>
      <c r="AX146" s="20">
        <f>CHOOSE(UserInterface!$C$22,#REF!,#REF!,#REF!,#REF!,#REF!,Scotland!AX146,Southern!AX146,#REF!)</f>
        <v>0</v>
      </c>
      <c r="AY146" s="20">
        <f>CHOOSE(UserInterface!$C$22,#REF!,#REF!,#REF!,#REF!,#REF!,Scotland!AY146,Southern!AY146,#REF!)</f>
        <v>0</v>
      </c>
      <c r="BA146" s="34" t="str">
        <f t="shared" ca="1" si="40"/>
        <v>LicenseeSelect</v>
      </c>
      <c r="BB146" s="34" t="str">
        <f t="shared" si="41"/>
        <v>Variable inputs</v>
      </c>
      <c r="BC146" s="34" t="str">
        <f t="shared" si="42"/>
        <v>Variant allowances</v>
      </c>
      <c r="BD146" s="34" t="str">
        <f t="shared" si="43"/>
        <v>Variant allowances (including Real Price Effects)</v>
      </c>
    </row>
    <row r="147" spans="1:56" x14ac:dyDescent="0.35">
      <c r="E147" s="33" t="str">
        <f>CHOOSE(UserInterface!$C$22,#REF!,#REF!,#REF!,#REF!,#REF!,Scotland!E147,Southern!E147,#REF!)</f>
        <v>Spare 5</v>
      </c>
      <c r="G147" s="33" t="str">
        <f t="shared" si="39"/>
        <v>£m 23/24 prices</v>
      </c>
      <c r="AU147" s="137">
        <f>CHOOSE(UserInterface!$C$22,#REF!,#REF!,#REF!,#REF!,#REF!,Scotland!AU147,Southern!AU147,#REF!)</f>
        <v>0</v>
      </c>
      <c r="AV147" s="20">
        <f>CHOOSE(UserInterface!$C$22,#REF!,#REF!,#REF!,#REF!,#REF!,Scotland!AV147,Southern!AV147,#REF!)</f>
        <v>0</v>
      </c>
      <c r="AW147" s="20">
        <f>CHOOSE(UserInterface!$C$22,#REF!,#REF!,#REF!,#REF!,#REF!,Scotland!AW147,Southern!AW147,#REF!)</f>
        <v>0</v>
      </c>
      <c r="AX147" s="20">
        <f>CHOOSE(UserInterface!$C$22,#REF!,#REF!,#REF!,#REF!,#REF!,Scotland!AX147,Southern!AX147,#REF!)</f>
        <v>0</v>
      </c>
      <c r="AY147" s="20">
        <f>CHOOSE(UserInterface!$C$22,#REF!,#REF!,#REF!,#REF!,#REF!,Scotland!AY147,Southern!AY147,#REF!)</f>
        <v>0</v>
      </c>
      <c r="BA147" s="34" t="str">
        <f t="shared" ca="1" si="40"/>
        <v>LicenseeSelect</v>
      </c>
      <c r="BB147" s="34" t="str">
        <f t="shared" si="41"/>
        <v>Variable inputs</v>
      </c>
      <c r="BC147" s="34" t="str">
        <f t="shared" si="42"/>
        <v>Variant allowances</v>
      </c>
      <c r="BD147" s="34" t="str">
        <f t="shared" si="43"/>
        <v>Variant allowances (including Real Price Effects)</v>
      </c>
    </row>
    <row r="148" spans="1:56" x14ac:dyDescent="0.35">
      <c r="E148" s="33" t="str">
        <f>CHOOSE(UserInterface!$C$22,#REF!,#REF!,#REF!,#REF!,#REF!,Scotland!E148,Southern!E148,#REF!)</f>
        <v>Spare 6</v>
      </c>
      <c r="G148" s="33" t="str">
        <f t="shared" si="39"/>
        <v>£m 23/24 prices</v>
      </c>
      <c r="AU148" s="137">
        <f>CHOOSE(UserInterface!$C$22,#REF!,#REF!,#REF!,#REF!,#REF!,Scotland!AU148,Southern!AU148,#REF!)</f>
        <v>0</v>
      </c>
      <c r="AV148" s="20">
        <f>CHOOSE(UserInterface!$C$22,#REF!,#REF!,#REF!,#REF!,#REF!,Scotland!AV148,Southern!AV148,#REF!)</f>
        <v>0</v>
      </c>
      <c r="AW148" s="20">
        <f>CHOOSE(UserInterface!$C$22,#REF!,#REF!,#REF!,#REF!,#REF!,Scotland!AW148,Southern!AW148,#REF!)</f>
        <v>0</v>
      </c>
      <c r="AX148" s="20">
        <f>CHOOSE(UserInterface!$C$22,#REF!,#REF!,#REF!,#REF!,#REF!,Scotland!AX148,Southern!AX148,#REF!)</f>
        <v>0</v>
      </c>
      <c r="AY148" s="20">
        <f>CHOOSE(UserInterface!$C$22,#REF!,#REF!,#REF!,#REF!,#REF!,Scotland!AY148,Southern!AY148,#REF!)</f>
        <v>0</v>
      </c>
      <c r="BA148" s="34" t="str">
        <f t="shared" ca="1" si="40"/>
        <v>LicenseeSelect</v>
      </c>
      <c r="BB148" s="34" t="str">
        <f t="shared" si="41"/>
        <v>Variable inputs</v>
      </c>
      <c r="BC148" s="34" t="str">
        <f t="shared" si="42"/>
        <v>Variant allowances</v>
      </c>
      <c r="BD148" s="34" t="str">
        <f t="shared" si="43"/>
        <v>Variant allowances (including Real Price Effects)</v>
      </c>
    </row>
    <row r="149" spans="1:56" customFormat="1" ht="14.5" x14ac:dyDescent="0.35">
      <c r="AT149" s="60"/>
      <c r="BA149" s="34"/>
    </row>
    <row r="150" spans="1:56" ht="20" collapsed="1" thickBot="1" x14ac:dyDescent="0.4">
      <c r="A150" s="7" t="s">
        <v>173</v>
      </c>
    </row>
    <row r="151" spans="1:56" customFormat="1" ht="18" thickTop="1" thickBot="1" x14ac:dyDescent="0.4">
      <c r="B151" s="8" t="s">
        <v>121</v>
      </c>
      <c r="AT151" s="61"/>
    </row>
    <row r="152" spans="1:56" ht="17" thickTop="1" thickBot="1" x14ac:dyDescent="0.4">
      <c r="C152" s="9" t="s">
        <v>163</v>
      </c>
      <c r="AU152" s="33" t="str">
        <f>CHOOSE(UserInterface!$C$22,#REF!,#REF!,#REF!,#REF!,#REF!,Scotland!AU152,Southern!AU152,#REF!)</f>
        <v>TIM applies</v>
      </c>
      <c r="AV152" s="33" t="str">
        <f>CHOOSE(UserInterface!$C$22,#REF!,#REF!,#REF!,#REF!,#REF!,Scotland!AV152,Southern!AV152,#REF!)</f>
        <v>RPEs apply</v>
      </c>
      <c r="AW152" s="33" t="str">
        <f>CHOOSE(UserInterface!$C$22,#REF!,#REF!,#REF!,#REF!,#REF!,Scotland!AW152,Southern!AW152,#REF!)</f>
        <v>Cap rate</v>
      </c>
    </row>
    <row r="153" spans="1:56" x14ac:dyDescent="0.35">
      <c r="E153" s="33" t="str">
        <f>CHOOSE(UserInterface!$C$22,#REF!,#REF!,#REF!,#REF!,#REF!,Scotland!E153,Southern!E153,#REF!)</f>
        <v>PCD_Baseline Network Risk Output</v>
      </c>
      <c r="F153" s="33" t="str">
        <f t="shared" ref="F153" si="44">F99</f>
        <v>SpC 3.1</v>
      </c>
      <c r="G153" s="33" t="s">
        <v>236</v>
      </c>
      <c r="H153" s="33" t="str">
        <f t="shared" ref="H153" si="45">H99</f>
        <v>NARMt</v>
      </c>
      <c r="AU153" s="139" t="b">
        <f>CHOOSE(UserInterface!$C$22,#REF!,#REF!,#REF!,#REF!,#REF!,Scotland!AU153,Southern!AU153,#REF!)</f>
        <v>1</v>
      </c>
      <c r="AV153" s="22" t="b">
        <f>CHOOSE(UserInterface!$C$22,#REF!,#REF!,#REF!,#REF!,#REF!,Scotland!AV153,Southern!AV153,#REF!)</f>
        <v>1</v>
      </c>
      <c r="AW153" s="24">
        <f>CHOOSE(UserInterface!$C$22,#REF!,#REF!,#REF!,#REF!,#REF!,Scotland!AW153,Southern!AW153,#REF!)</f>
        <v>1</v>
      </c>
      <c r="AX153"/>
      <c r="BA153" s="34" t="str">
        <f t="shared" ref="BA153:BA202" ca="1" si="46">$A$1</f>
        <v>LicenseeSelect</v>
      </c>
      <c r="BB153" s="34" t="str">
        <f t="shared" ref="BB153:BB202" si="47">$A$150</f>
        <v>Fixed Inputs</v>
      </c>
      <c r="BC153" s="34" t="str">
        <f t="shared" ref="BC153:BC177" si="48">$B$151</f>
        <v>Variant allowances</v>
      </c>
      <c r="BD153" s="34" t="str">
        <f t="shared" ref="BD153:BD202" si="49">$C$152</f>
        <v>Variant attributes</v>
      </c>
    </row>
    <row r="154" spans="1:56" x14ac:dyDescent="0.35">
      <c r="E154" s="33" t="str">
        <f>CHOOSE(UserInterface!$C$22,#REF!,#REF!,#REF!,#REF!,#REF!,Scotland!E154,Southern!E154,#REF!)</f>
        <v>PCD_Cyber PCDs</v>
      </c>
      <c r="F154" s="33" t="str">
        <f t="shared" ref="F154" si="50">F100</f>
        <v>SpC 3.2</v>
      </c>
      <c r="G154" s="33" t="s">
        <v>236</v>
      </c>
      <c r="H154" s="33" t="str">
        <f t="shared" ref="H154" si="51">H100</f>
        <v>CYt</v>
      </c>
      <c r="AU154" s="139" t="b">
        <f>CHOOSE(UserInterface!$C$22,#REF!,#REF!,#REF!,#REF!,#REF!,Scotland!AU154,Southern!AU154,#REF!)</f>
        <v>1</v>
      </c>
      <c r="AV154" s="22" t="b">
        <f>CHOOSE(UserInterface!$C$22,#REF!,#REF!,#REF!,#REF!,#REF!,Scotland!AV154,Southern!AV154,#REF!)</f>
        <v>1</v>
      </c>
      <c r="AW154" s="24">
        <f>CHOOSE(UserInterface!$C$22,#REF!,#REF!,#REF!,#REF!,#REF!,Scotland!AW154,Southern!AW154,#REF!)</f>
        <v>1</v>
      </c>
      <c r="AX154"/>
      <c r="BA154" s="34" t="str">
        <f t="shared" ca="1" si="46"/>
        <v>LicenseeSelect</v>
      </c>
      <c r="BB154" s="34" t="str">
        <f t="shared" si="47"/>
        <v>Fixed Inputs</v>
      </c>
      <c r="BC154" s="34" t="str">
        <f t="shared" si="48"/>
        <v>Variant allowances</v>
      </c>
      <c r="BD154" s="34" t="str">
        <f t="shared" si="49"/>
        <v>Variant attributes</v>
      </c>
    </row>
    <row r="155" spans="1:56" x14ac:dyDescent="0.35">
      <c r="E155" s="33" t="str">
        <f>CHOOSE(UserInterface!$C$22,#REF!,#REF!,#REF!,#REF!,#REF!,Scotland!E155,Southern!E155,#REF!)</f>
        <v>PCD_Flow Weighted Average Calorific Value Compliance (Cadent_all) / FWACV Compliance (Cadent_all)</v>
      </c>
      <c r="F155" s="33" t="str">
        <f t="shared" ref="F155" si="52">F101</f>
        <v>SpC 3.23</v>
      </c>
      <c r="G155" s="33" t="s">
        <v>236</v>
      </c>
      <c r="H155" s="33" t="str">
        <f t="shared" ref="H155" si="53">H101</f>
        <v>FLOt</v>
      </c>
      <c r="AU155" s="139" t="b">
        <f>CHOOSE(UserInterface!$C$22,#REF!,#REF!,#REF!,#REF!,#REF!,Scotland!AU155,Southern!AU155,#REF!)</f>
        <v>1</v>
      </c>
      <c r="AV155" s="22" t="b">
        <f>CHOOSE(UserInterface!$C$22,#REF!,#REF!,#REF!,#REF!,#REF!,Scotland!AV155,Southern!AV155,#REF!)</f>
        <v>1</v>
      </c>
      <c r="AW155" s="24">
        <f>CHOOSE(UserInterface!$C$22,#REF!,#REF!,#REF!,#REF!,#REF!,Scotland!AW155,Southern!AW155,#REF!)</f>
        <v>1</v>
      </c>
      <c r="AX155"/>
      <c r="BA155" s="34" t="str">
        <f t="shared" ca="1" si="46"/>
        <v>LicenseeSelect</v>
      </c>
      <c r="BB155" s="34" t="str">
        <f t="shared" si="47"/>
        <v>Fixed Inputs</v>
      </c>
      <c r="BC155" s="34" t="str">
        <f t="shared" si="48"/>
        <v>Variant allowances</v>
      </c>
      <c r="BD155" s="34" t="str">
        <f t="shared" si="49"/>
        <v>Variant attributes</v>
      </c>
    </row>
    <row r="156" spans="1:56" x14ac:dyDescent="0.35">
      <c r="E156" s="33" t="str">
        <f>CHOOSE(UserInterface!$C$22,#REF!,#REF!,#REF!,#REF!,#REF!,Scotland!E156,Southern!E156,#REF!)</f>
        <v>PCD_Grays medium pressure (Cadent_Lon)</v>
      </c>
      <c r="F156" s="33" t="str">
        <f t="shared" ref="F156" si="54">F102</f>
        <v>SpC 3.24</v>
      </c>
      <c r="G156" s="33" t="s">
        <v>236</v>
      </c>
      <c r="H156" s="33" t="str">
        <f t="shared" ref="H156" si="55">H102</f>
        <v>GMPt</v>
      </c>
      <c r="AU156" s="139" t="b">
        <f>CHOOSE(UserInterface!$C$22,#REF!,#REF!,#REF!,#REF!,#REF!,Scotland!AU156,Southern!AU156,#REF!)</f>
        <v>1</v>
      </c>
      <c r="AV156" s="22" t="b">
        <f>CHOOSE(UserInterface!$C$22,#REF!,#REF!,#REF!,#REF!,#REF!,Scotland!AV156,Southern!AV156,#REF!)</f>
        <v>1</v>
      </c>
      <c r="AW156" s="24">
        <f>CHOOSE(UserInterface!$C$22,#REF!,#REF!,#REF!,#REF!,#REF!,Scotland!AW156,Southern!AW156,#REF!)</f>
        <v>1</v>
      </c>
      <c r="AX156"/>
      <c r="BA156" s="34" t="str">
        <f t="shared" ca="1" si="46"/>
        <v>LicenseeSelect</v>
      </c>
      <c r="BB156" s="34" t="str">
        <f t="shared" si="47"/>
        <v>Fixed Inputs</v>
      </c>
      <c r="BC156" s="34" t="str">
        <f t="shared" si="48"/>
        <v>Variant allowances</v>
      </c>
      <c r="BD156" s="34" t="str">
        <f t="shared" si="49"/>
        <v>Variant attributes</v>
      </c>
    </row>
    <row r="157" spans="1:56" x14ac:dyDescent="0.35">
      <c r="E157" s="33" t="str">
        <f>CHOOSE(UserInterface!$C$22,#REF!,#REF!,#REF!,#REF!,#REF!,Scotland!E157,Southern!E157,#REF!)</f>
        <v>PCD_Welling PRS - Full Site Rebuild  (SGN_So) / Full site and system rebuilds PCD (SGN)</v>
      </c>
      <c r="F157" s="33" t="str">
        <f t="shared" ref="F157" si="56">F103</f>
        <v>SpC 3.28</v>
      </c>
      <c r="G157" s="33" t="s">
        <v>236</v>
      </c>
      <c r="H157" s="33" t="str">
        <f t="shared" ref="H157" si="57">H103</f>
        <v>FSRt</v>
      </c>
      <c r="AU157" s="139" t="b">
        <f>CHOOSE(UserInterface!$C$22,#REF!,#REF!,#REF!,#REF!,#REF!,Scotland!AU157,Southern!AU157,#REF!)</f>
        <v>1</v>
      </c>
      <c r="AV157" s="22" t="b">
        <f>CHOOSE(UserInterface!$C$22,#REF!,#REF!,#REF!,#REF!,#REF!,Scotland!AV157,Southern!AV157,#REF!)</f>
        <v>1</v>
      </c>
      <c r="AW157" s="24">
        <f>CHOOSE(UserInterface!$C$22,#REF!,#REF!,#REF!,#REF!,#REF!,Scotland!AW157,Southern!AW157,#REF!)</f>
        <v>1</v>
      </c>
      <c r="AX157"/>
      <c r="BA157" s="34" t="str">
        <f t="shared" ca="1" si="46"/>
        <v>LicenseeSelect</v>
      </c>
      <c r="BB157" s="34" t="str">
        <f t="shared" si="47"/>
        <v>Fixed Inputs</v>
      </c>
      <c r="BC157" s="34" t="str">
        <f t="shared" si="48"/>
        <v>Variant allowances</v>
      </c>
      <c r="BD157" s="34" t="str">
        <f t="shared" si="49"/>
        <v>Variant attributes</v>
      </c>
    </row>
    <row r="158" spans="1:56" x14ac:dyDescent="0.35">
      <c r="E158" s="33" t="str">
        <f>CHOOSE(UserInterface!$C$22,#REF!,#REF!,#REF!,#REF!,#REF!,Scotland!E158,Southern!E158,#REF!)</f>
        <v>PCD_London Medium Pressure PCD (Cadent_Lon)</v>
      </c>
      <c r="F158" s="33" t="str">
        <f t="shared" ref="F158" si="58">F104</f>
        <v>SpC 3.29</v>
      </c>
      <c r="G158" s="33" t="s">
        <v>236</v>
      </c>
      <c r="H158" s="33" t="str">
        <f t="shared" ref="H158" si="59">H104</f>
        <v>LMPt</v>
      </c>
      <c r="AU158" s="139" t="b">
        <f>CHOOSE(UserInterface!$C$22,#REF!,#REF!,#REF!,#REF!,#REF!,Scotland!AU158,Southern!AU158,#REF!)</f>
        <v>1</v>
      </c>
      <c r="AV158" s="22" t="b">
        <f>CHOOSE(UserInterface!$C$22,#REF!,#REF!,#REF!,#REF!,#REF!,Scotland!AV158,Southern!AV158,#REF!)</f>
        <v>1</v>
      </c>
      <c r="AW158" s="24">
        <f>CHOOSE(UserInterface!$C$22,#REF!,#REF!,#REF!,#REF!,#REF!,Scotland!AW158,Southern!AW158,#REF!)</f>
        <v>1</v>
      </c>
      <c r="AX158"/>
      <c r="BA158" s="34" t="str">
        <f t="shared" ca="1" si="46"/>
        <v>LicenseeSelect</v>
      </c>
      <c r="BB158" s="34" t="str">
        <f t="shared" si="47"/>
        <v>Fixed Inputs</v>
      </c>
      <c r="BC158" s="34" t="str">
        <f t="shared" si="48"/>
        <v>Variant allowances</v>
      </c>
      <c r="BD158" s="34" t="str">
        <f t="shared" si="49"/>
        <v>Variant attributes</v>
      </c>
    </row>
    <row r="159" spans="1:56" x14ac:dyDescent="0.35">
      <c r="E159" s="33" t="str">
        <f>CHOOSE(UserInterface!$C$22,#REF!,#REF!,#REF!,#REF!,#REF!,Scotland!E159,Southern!E159,#REF!)</f>
        <v>PCD_Tier 1 Mains Decommissioned PCD</v>
      </c>
      <c r="F159" s="33" t="str">
        <f t="shared" ref="F159" si="60">F105</f>
        <v>SpC 3.10</v>
      </c>
      <c r="G159" s="33" t="s">
        <v>236</v>
      </c>
      <c r="H159" s="33" t="str">
        <f t="shared" ref="H159" si="61">H105</f>
        <v>T1MDt</v>
      </c>
      <c r="AU159" s="139" t="b">
        <f>CHOOSE(UserInterface!$C$22,#REF!,#REF!,#REF!,#REF!,#REF!,Scotland!AU159,Southern!AU159,#REF!)</f>
        <v>1</v>
      </c>
      <c r="AV159" s="22" t="b">
        <f>CHOOSE(UserInterface!$C$22,#REF!,#REF!,#REF!,#REF!,#REF!,Scotland!AV159,Southern!AV159,#REF!)</f>
        <v>1</v>
      </c>
      <c r="AW159" s="24">
        <f>CHOOSE(UserInterface!$C$22,#REF!,#REF!,#REF!,#REF!,#REF!,Scotland!AW159,Southern!AW159,#REF!)</f>
        <v>1</v>
      </c>
      <c r="AX159"/>
      <c r="BA159" s="34" t="str">
        <f t="shared" ca="1" si="46"/>
        <v>LicenseeSelect</v>
      </c>
      <c r="BB159" s="34" t="str">
        <f t="shared" si="47"/>
        <v>Fixed Inputs</v>
      </c>
      <c r="BC159" s="34" t="str">
        <f t="shared" si="48"/>
        <v>Variant allowances</v>
      </c>
      <c r="BD159" s="34" t="str">
        <f t="shared" si="49"/>
        <v>Variant attributes</v>
      </c>
    </row>
    <row r="160" spans="1:56" x14ac:dyDescent="0.35">
      <c r="E160" s="33" t="str">
        <f>CHOOSE(UserInterface!$C$22,#REF!,#REF!,#REF!,#REF!,#REF!,Scotland!E160,Southern!E160,#REF!)</f>
        <v>PCD_Tier 1 Services PCD / Tier 1 Services Repex PCD</v>
      </c>
      <c r="F160" s="33" t="str">
        <f t="shared" ref="F160" si="62">F106</f>
        <v>SpC 3.11</v>
      </c>
      <c r="G160" s="33" t="s">
        <v>236</v>
      </c>
      <c r="H160" s="33" t="str">
        <f t="shared" ref="H160" si="63">H106</f>
        <v>T1SRt</v>
      </c>
      <c r="AU160" s="139" t="b">
        <f>CHOOSE(UserInterface!$C$22,#REF!,#REF!,#REF!,#REF!,#REF!,Scotland!AU160,Southern!AU160,#REF!)</f>
        <v>1</v>
      </c>
      <c r="AV160" s="22" t="b">
        <f>CHOOSE(UserInterface!$C$22,#REF!,#REF!,#REF!,#REF!,#REF!,Scotland!AV160,Southern!AV160,#REF!)</f>
        <v>1</v>
      </c>
      <c r="AW160" s="24">
        <f>CHOOSE(UserInterface!$C$22,#REF!,#REF!,#REF!,#REF!,#REF!,Scotland!AW160,Southern!AW160,#REF!)</f>
        <v>1</v>
      </c>
      <c r="AX160"/>
      <c r="BA160" s="34" t="str">
        <f t="shared" ca="1" si="46"/>
        <v>LicenseeSelect</v>
      </c>
      <c r="BB160" s="34" t="str">
        <f t="shared" si="47"/>
        <v>Fixed Inputs</v>
      </c>
      <c r="BC160" s="34" t="str">
        <f t="shared" si="48"/>
        <v>Variant allowances</v>
      </c>
      <c r="BD160" s="34" t="str">
        <f t="shared" si="49"/>
        <v>Variant attributes</v>
      </c>
    </row>
    <row r="161" spans="5:56" x14ac:dyDescent="0.35">
      <c r="E161" s="33" t="str">
        <f>CHOOSE(UserInterface!$C$22,#REF!,#REF!,#REF!,#REF!,#REF!,Scotland!E161,Southern!E161,#REF!)</f>
        <v>PCD_Tinsley viaduct diversion (Cadent_EoE)</v>
      </c>
      <c r="F161" s="33" t="str">
        <f t="shared" ref="F161" si="64">F107</f>
        <v>SpC 3.25</v>
      </c>
      <c r="G161" s="33" t="s">
        <v>236</v>
      </c>
      <c r="H161" s="33" t="str">
        <f t="shared" ref="H161" si="65">H107</f>
        <v>TVDt</v>
      </c>
      <c r="AU161" s="139" t="b">
        <f>CHOOSE(UserInterface!$C$22,#REF!,#REF!,#REF!,#REF!,#REF!,Scotland!AU161,Southern!AU161,#REF!)</f>
        <v>1</v>
      </c>
      <c r="AV161" s="22" t="b">
        <f>CHOOSE(UserInterface!$C$22,#REF!,#REF!,#REF!,#REF!,#REF!,Scotland!AV161,Southern!AV161,#REF!)</f>
        <v>1</v>
      </c>
      <c r="AW161" s="24">
        <f>CHOOSE(UserInterface!$C$22,#REF!,#REF!,#REF!,#REF!,#REF!,Scotland!AW161,Southern!AW161,#REF!)</f>
        <v>1</v>
      </c>
      <c r="AX161"/>
      <c r="BA161" s="34" t="str">
        <f t="shared" ca="1" si="46"/>
        <v>LicenseeSelect</v>
      </c>
      <c r="BB161" s="34" t="str">
        <f t="shared" si="47"/>
        <v>Fixed Inputs</v>
      </c>
      <c r="BC161" s="34" t="str">
        <f t="shared" si="48"/>
        <v>Variant allowances</v>
      </c>
      <c r="BD161" s="34" t="str">
        <f t="shared" si="49"/>
        <v>Variant attributes</v>
      </c>
    </row>
    <row r="162" spans="5:56" x14ac:dyDescent="0.35">
      <c r="E162" s="33" t="str">
        <f>CHOOSE(UserInterface!$C$22,#REF!,#REF!,#REF!,#REF!,#REF!,Scotland!E162,Southern!E162,#REF!)</f>
        <v>PCD_Iron Stubs / Tier 1 Stubs decommissioning PCD</v>
      </c>
      <c r="F162" s="33" t="str">
        <f t="shared" ref="F162" si="66">F108</f>
        <v>SpC 3.19</v>
      </c>
      <c r="G162" s="33" t="s">
        <v>236</v>
      </c>
      <c r="H162" s="33" t="str">
        <f t="shared" ref="H162" si="67">H108</f>
        <v>STBDt</v>
      </c>
      <c r="AU162" s="139" t="b">
        <f>CHOOSE(UserInterface!$C$22,#REF!,#REF!,#REF!,#REF!,#REF!,Scotland!AU162,Southern!AU162,#REF!)</f>
        <v>1</v>
      </c>
      <c r="AV162" s="22" t="b">
        <f>CHOOSE(UserInterface!$C$22,#REF!,#REF!,#REF!,#REF!,#REF!,Scotland!AV162,Southern!AV162,#REF!)</f>
        <v>1</v>
      </c>
      <c r="AW162" s="24">
        <f>CHOOSE(UserInterface!$C$22,#REF!,#REF!,#REF!,#REF!,#REF!,Scotland!AW162,Southern!AW162,#REF!)</f>
        <v>1</v>
      </c>
      <c r="AX162"/>
      <c r="BA162" s="34" t="str">
        <f t="shared" ca="1" si="46"/>
        <v>LicenseeSelect</v>
      </c>
      <c r="BB162" s="34" t="str">
        <f t="shared" si="47"/>
        <v>Fixed Inputs</v>
      </c>
      <c r="BC162" s="34" t="str">
        <f t="shared" si="48"/>
        <v>Variant allowances</v>
      </c>
      <c r="BD162" s="34" t="str">
        <f t="shared" si="49"/>
        <v>Variant attributes</v>
      </c>
    </row>
    <row r="163" spans="5:56" x14ac:dyDescent="0.35">
      <c r="E163" s="33" t="str">
        <f>CHOOSE(UserInterface!$C$22,#REF!,#REF!,#REF!,#REF!,#REF!,Scotland!E163,Southern!E163,#REF!)</f>
        <v>PCD_Full Site and System Rebuilds (SGN_all)</v>
      </c>
      <c r="F163" s="33" t="str">
        <f t="shared" ref="F163" si="68">F109</f>
        <v>SpC 3.28</v>
      </c>
      <c r="G163" s="33" t="s">
        <v>236</v>
      </c>
      <c r="H163" s="33" t="str">
        <f t="shared" ref="H163" si="69">H109</f>
        <v>FSRt</v>
      </c>
      <c r="AU163" s="139" t="b">
        <f>CHOOSE(UserInterface!$C$22,#REF!,#REF!,#REF!,#REF!,#REF!,Scotland!AU163,Southern!AU163,#REF!)</f>
        <v>1</v>
      </c>
      <c r="AV163" s="22" t="b">
        <f>CHOOSE(UserInterface!$C$22,#REF!,#REF!,#REF!,#REF!,#REF!,Scotland!AV163,Southern!AV163,#REF!)</f>
        <v>1</v>
      </c>
      <c r="AW163" s="24">
        <f>CHOOSE(UserInterface!$C$22,#REF!,#REF!,#REF!,#REF!,#REF!,Scotland!AW163,Southern!AW163,#REF!)</f>
        <v>1</v>
      </c>
      <c r="AX163"/>
      <c r="BA163" s="34" t="str">
        <f t="shared" ca="1" si="46"/>
        <v>LicenseeSelect</v>
      </c>
      <c r="BB163" s="34" t="str">
        <f t="shared" si="47"/>
        <v>Fixed Inputs</v>
      </c>
      <c r="BC163" s="34" t="str">
        <f t="shared" si="48"/>
        <v>Variant allowances</v>
      </c>
      <c r="BD163" s="34" t="str">
        <f t="shared" si="49"/>
        <v>Variant attributes</v>
      </c>
    </row>
    <row r="164" spans="5:56" x14ac:dyDescent="0.35">
      <c r="E164" s="33" t="str">
        <f>CHOOSE(UserInterface!$C$22,#REF!,#REF!,#REF!,#REF!,#REF!,Scotland!E164,Southern!E164,#REF!)</f>
        <v>PCD_Glenmavis (Offtake) (SGN_Sc) / Full site and system rebuilds PCD (SGN)</v>
      </c>
      <c r="F164" s="33" t="str">
        <f t="shared" ref="F164" si="70">F110</f>
        <v>SpC 3.28</v>
      </c>
      <c r="G164" s="33" t="s">
        <v>236</v>
      </c>
      <c r="H164" s="33" t="str">
        <f t="shared" ref="H164" si="71">H110</f>
        <v>FSRt</v>
      </c>
      <c r="AU164" s="139" t="b">
        <f>CHOOSE(UserInterface!$C$22,#REF!,#REF!,#REF!,#REF!,#REF!,Scotland!AU164,Southern!AU164,#REF!)</f>
        <v>1</v>
      </c>
      <c r="AV164" s="22" t="b">
        <f>CHOOSE(UserInterface!$C$22,#REF!,#REF!,#REF!,#REF!,#REF!,Scotland!AV164,Southern!AV164,#REF!)</f>
        <v>1</v>
      </c>
      <c r="AW164" s="24">
        <f>CHOOSE(UserInterface!$C$22,#REF!,#REF!,#REF!,#REF!,#REF!,Scotland!AW164,Southern!AW164,#REF!)</f>
        <v>1</v>
      </c>
      <c r="AX164"/>
      <c r="BA164" s="34" t="str">
        <f t="shared" ca="1" si="46"/>
        <v>LicenseeSelect</v>
      </c>
      <c r="BB164" s="34" t="str">
        <f t="shared" si="47"/>
        <v>Fixed Inputs</v>
      </c>
      <c r="BC164" s="34" t="str">
        <f t="shared" si="48"/>
        <v>Variant allowances</v>
      </c>
      <c r="BD164" s="34" t="str">
        <f t="shared" si="49"/>
        <v>Variant attributes</v>
      </c>
    </row>
    <row r="165" spans="5:56" x14ac:dyDescent="0.35">
      <c r="E165" s="33" t="str">
        <f>CHOOSE(UserInterface!$C$22,#REF!,#REF!,#REF!,#REF!,#REF!,Scotland!E165,Southern!E165,#REF!)</f>
        <v>PCD_Isle of Grain (SGN_So) / Full site and system rebuilds PCD (SGN)</v>
      </c>
      <c r="F165" s="33" t="str">
        <f t="shared" ref="F165" si="72">F111</f>
        <v>SpC 3.28</v>
      </c>
      <c r="G165" s="33" t="s">
        <v>236</v>
      </c>
      <c r="H165" s="33" t="str">
        <f t="shared" ref="H165" si="73">H111</f>
        <v>FSRt</v>
      </c>
      <c r="AU165" s="139" t="b">
        <f>CHOOSE(UserInterface!$C$22,#REF!,#REF!,#REF!,#REF!,#REF!,Scotland!AU165,Southern!AU165,#REF!)</f>
        <v>1</v>
      </c>
      <c r="AV165" s="22" t="b">
        <f>CHOOSE(UserInterface!$C$22,#REF!,#REF!,#REF!,#REF!,#REF!,Scotland!AV165,Southern!AV165,#REF!)</f>
        <v>1</v>
      </c>
      <c r="AW165" s="24">
        <f>CHOOSE(UserInterface!$C$22,#REF!,#REF!,#REF!,#REF!,#REF!,Scotland!AW165,Southern!AW165,#REF!)</f>
        <v>1</v>
      </c>
      <c r="AX165"/>
      <c r="BA165" s="34" t="str">
        <f t="shared" ca="1" si="46"/>
        <v>LicenseeSelect</v>
      </c>
      <c r="BB165" s="34" t="str">
        <f t="shared" si="47"/>
        <v>Fixed Inputs</v>
      </c>
      <c r="BC165" s="34" t="str">
        <f t="shared" si="48"/>
        <v>Variant allowances</v>
      </c>
      <c r="BD165" s="34" t="str">
        <f t="shared" si="49"/>
        <v>Variant attributes</v>
      </c>
    </row>
    <row r="166" spans="5:56" x14ac:dyDescent="0.35">
      <c r="E166" s="33" t="str">
        <f>CHOOSE(UserInterface!$C$22,#REF!,#REF!,#REF!,#REF!,#REF!,Scotland!E166,Southern!E166,#REF!)</f>
        <v>PCD_EVs  / Operational Transport Emissions Reduction PCD</v>
      </c>
      <c r="F166" s="33" t="str">
        <f t="shared" ref="F166" si="74">F112</f>
        <v>SpC 3.9</v>
      </c>
      <c r="G166" s="33" t="s">
        <v>236</v>
      </c>
      <c r="H166" s="33" t="str">
        <f t="shared" ref="H166" si="75">H112</f>
        <v>OTCt</v>
      </c>
      <c r="AU166" s="139" t="b">
        <f>CHOOSE(UserInterface!$C$22,#REF!,#REF!,#REF!,#REF!,#REF!,Scotland!AU166,Southern!AU166,#REF!)</f>
        <v>1</v>
      </c>
      <c r="AV166" s="22" t="b">
        <f>CHOOSE(UserInterface!$C$22,#REF!,#REF!,#REF!,#REF!,#REF!,Scotland!AV166,Southern!AV166,#REF!)</f>
        <v>1</v>
      </c>
      <c r="AW166" s="24">
        <f>CHOOSE(UserInterface!$C$22,#REF!,#REF!,#REF!,#REF!,#REF!,Scotland!AW166,Southern!AW166,#REF!)</f>
        <v>1</v>
      </c>
      <c r="AX166"/>
      <c r="BA166" s="34" t="str">
        <f t="shared" ca="1" si="46"/>
        <v>LicenseeSelect</v>
      </c>
      <c r="BB166" s="34" t="str">
        <f t="shared" si="47"/>
        <v>Fixed Inputs</v>
      </c>
      <c r="BC166" s="34" t="str">
        <f t="shared" si="48"/>
        <v>Variant allowances</v>
      </c>
      <c r="BD166" s="34" t="str">
        <f t="shared" si="49"/>
        <v>Variant attributes</v>
      </c>
    </row>
    <row r="167" spans="5:56" x14ac:dyDescent="0.35">
      <c r="E167" s="33" t="str">
        <f>CHOOSE(UserInterface!$C$22,#REF!,#REF!,#REF!,#REF!,#REF!,Scotland!E167,Southern!E167,#REF!)</f>
        <v>PCD_South London Mains (SGN_So)</v>
      </c>
      <c r="F167" s="33" t="str">
        <f t="shared" ref="F167" si="76">F113</f>
        <v>SpC 3.27</v>
      </c>
      <c r="G167" s="33" t="s">
        <v>236</v>
      </c>
      <c r="H167" s="33" t="str">
        <f t="shared" ref="H167" si="77">H113</f>
        <v>SLMt</v>
      </c>
      <c r="AU167" s="139" t="b">
        <f>CHOOSE(UserInterface!$C$22,#REF!,#REF!,#REF!,#REF!,#REF!,Scotland!AU167,Southern!AU167,#REF!)</f>
        <v>1</v>
      </c>
      <c r="AV167" s="22" t="b">
        <f>CHOOSE(UserInterface!$C$22,#REF!,#REF!,#REF!,#REF!,#REF!,Scotland!AV167,Southern!AV167,#REF!)</f>
        <v>1</v>
      </c>
      <c r="AW167" s="24">
        <f>CHOOSE(UserInterface!$C$22,#REF!,#REF!,#REF!,#REF!,#REF!,Scotland!AW167,Southern!AW167,#REF!)</f>
        <v>1</v>
      </c>
      <c r="AX167"/>
      <c r="BA167" s="34" t="str">
        <f t="shared" ca="1" si="46"/>
        <v>LicenseeSelect</v>
      </c>
      <c r="BB167" s="34" t="str">
        <f t="shared" si="47"/>
        <v>Fixed Inputs</v>
      </c>
      <c r="BC167" s="34" t="str">
        <f t="shared" si="48"/>
        <v>Variant allowances</v>
      </c>
      <c r="BD167" s="34" t="str">
        <f t="shared" si="49"/>
        <v>Variant attributes</v>
      </c>
    </row>
    <row r="168" spans="5:56" x14ac:dyDescent="0.35">
      <c r="E168" s="33" t="str">
        <f>CHOOSE(UserInterface!$C$22,#REF!,#REF!,#REF!,#REF!,#REF!,Scotland!E168,Southern!E168,#REF!)</f>
        <v>PCD_WWU.7 - HS007 (WWU_WWU) / Pipeline Replacements PCD (WWU)</v>
      </c>
      <c r="F168" s="33" t="str">
        <f t="shared" ref="F168" si="78">F114</f>
        <v>SpC 3.31</v>
      </c>
      <c r="G168" s="33" t="s">
        <v>236</v>
      </c>
      <c r="H168" s="33" t="str">
        <f t="shared" ref="H168" si="79">H114</f>
        <v>PREt</v>
      </c>
      <c r="AU168" s="139" t="b">
        <f>CHOOSE(UserInterface!$C$22,#REF!,#REF!,#REF!,#REF!,#REF!,Scotland!AU168,Southern!AU168,#REF!)</f>
        <v>1</v>
      </c>
      <c r="AV168" s="22" t="b">
        <f>CHOOSE(UserInterface!$C$22,#REF!,#REF!,#REF!,#REF!,#REF!,Scotland!AV168,Southern!AV168,#REF!)</f>
        <v>1</v>
      </c>
      <c r="AW168" s="24">
        <f>CHOOSE(UserInterface!$C$22,#REF!,#REF!,#REF!,#REF!,#REF!,Scotland!AW168,Southern!AW168,#REF!)</f>
        <v>1</v>
      </c>
      <c r="AX168"/>
      <c r="BA168" s="34" t="str">
        <f t="shared" ca="1" si="46"/>
        <v>LicenseeSelect</v>
      </c>
      <c r="BB168" s="34" t="str">
        <f t="shared" si="47"/>
        <v>Fixed Inputs</v>
      </c>
      <c r="BC168" s="34" t="str">
        <f t="shared" si="48"/>
        <v>Variant allowances</v>
      </c>
      <c r="BD168" s="34" t="str">
        <f t="shared" si="49"/>
        <v>Variant attributes</v>
      </c>
    </row>
    <row r="169" spans="5:56" x14ac:dyDescent="0.35">
      <c r="E169" s="33" t="str">
        <f>CHOOSE(UserInterface!$C$22,#REF!,#REF!,#REF!,#REF!,#REF!,Scotland!E169,Southern!E169,#REF!)</f>
        <v>PCD_WWU.9 - HS009 (WWU_WWU) / Pipeline Replacements PCD (WWU)</v>
      </c>
      <c r="F169" s="33" t="str">
        <f t="shared" ref="F169" si="80">F115</f>
        <v>SpC 3.31</v>
      </c>
      <c r="G169" s="33" t="s">
        <v>236</v>
      </c>
      <c r="H169" s="33" t="str">
        <f t="shared" ref="H169" si="81">H115</f>
        <v>PREt</v>
      </c>
      <c r="AU169" s="139" t="b">
        <f>CHOOSE(UserInterface!$C$22,#REF!,#REF!,#REF!,#REF!,#REF!,Scotland!AU169,Southern!AU169,#REF!)</f>
        <v>1</v>
      </c>
      <c r="AV169" s="22" t="b">
        <f>CHOOSE(UserInterface!$C$22,#REF!,#REF!,#REF!,#REF!,#REF!,Scotland!AV169,Southern!AV169,#REF!)</f>
        <v>1</v>
      </c>
      <c r="AW169" s="24">
        <f>CHOOSE(UserInterface!$C$22,#REF!,#REF!,#REF!,#REF!,#REF!,Scotland!AW169,Southern!AW169,#REF!)</f>
        <v>1</v>
      </c>
      <c r="AX169"/>
      <c r="BA169" s="34" t="str">
        <f t="shared" ca="1" si="46"/>
        <v>LicenseeSelect</v>
      </c>
      <c r="BB169" s="34" t="str">
        <f t="shared" si="47"/>
        <v>Fixed Inputs</v>
      </c>
      <c r="BC169" s="34" t="str">
        <f t="shared" si="48"/>
        <v>Variant allowances</v>
      </c>
      <c r="BD169" s="34" t="str">
        <f t="shared" si="49"/>
        <v>Variant attributes</v>
      </c>
    </row>
    <row r="170" spans="5:56" x14ac:dyDescent="0.35">
      <c r="E170" s="33" t="str">
        <f>CHOOSE(UserInterface!$C$22,#REF!,#REF!,#REF!,#REF!,#REF!,Scotland!E170,Southern!E170,#REF!)</f>
        <v>PCD_WWU.9 - HS010 (WWU_WWU) / Pipeline Replacements PCD (WWU)</v>
      </c>
      <c r="F170" s="33" t="str">
        <f t="shared" ref="F170" si="82">F116</f>
        <v>SpC 3.31</v>
      </c>
      <c r="G170" s="33" t="s">
        <v>236</v>
      </c>
      <c r="H170" s="33" t="str">
        <f t="shared" ref="H170" si="83">H116</f>
        <v>PREt</v>
      </c>
      <c r="AU170" s="139" t="b">
        <f>CHOOSE(UserInterface!$C$22,#REF!,#REF!,#REF!,#REF!,#REF!,Scotland!AU170,Southern!AU170,#REF!)</f>
        <v>1</v>
      </c>
      <c r="AV170" s="22" t="b">
        <f>CHOOSE(UserInterface!$C$22,#REF!,#REF!,#REF!,#REF!,#REF!,Scotland!AV170,Southern!AV170,#REF!)</f>
        <v>1</v>
      </c>
      <c r="AW170" s="24">
        <f>CHOOSE(UserInterface!$C$22,#REF!,#REF!,#REF!,#REF!,#REF!,Scotland!AW170,Southern!AW170,#REF!)</f>
        <v>1</v>
      </c>
      <c r="AX170"/>
      <c r="BA170" s="34" t="str">
        <f t="shared" ca="1" si="46"/>
        <v>LicenseeSelect</v>
      </c>
      <c r="BB170" s="34" t="str">
        <f t="shared" si="47"/>
        <v>Fixed Inputs</v>
      </c>
      <c r="BC170" s="34" t="str">
        <f t="shared" si="48"/>
        <v>Variant allowances</v>
      </c>
      <c r="BD170" s="34" t="str">
        <f t="shared" si="49"/>
        <v>Variant attributes</v>
      </c>
    </row>
    <row r="171" spans="5:56" x14ac:dyDescent="0.35">
      <c r="E171" s="33" t="str">
        <f>CHOOSE(UserInterface!$C$22,#REF!,#REF!,#REF!,#REF!,#REF!,Scotland!E171,Southern!E171,#REF!)</f>
        <v>PCD_Mandated Category 3 Security (Cadent_all)</v>
      </c>
      <c r="F171" s="33" t="str">
        <f t="shared" ref="F171" si="84">F117</f>
        <v>SpC 3.30</v>
      </c>
      <c r="G171" s="33" t="s">
        <v>236</v>
      </c>
      <c r="H171" s="33" t="str">
        <f t="shared" ref="H171" si="85">H117</f>
        <v>MDSt</v>
      </c>
      <c r="AU171" s="139" t="b">
        <f>CHOOSE(UserInterface!$C$22,#REF!,#REF!,#REF!,#REF!,#REF!,Scotland!AU171,Southern!AU171,#REF!)</f>
        <v>1</v>
      </c>
      <c r="AV171" s="22" t="b">
        <f>CHOOSE(UserInterface!$C$22,#REF!,#REF!,#REF!,#REF!,#REF!,Scotland!AV171,Southern!AV171,#REF!)</f>
        <v>1</v>
      </c>
      <c r="AW171" s="24">
        <f>CHOOSE(UserInterface!$C$22,#REF!,#REF!,#REF!,#REF!,#REF!,Scotland!AW171,Southern!AW171,#REF!)</f>
        <v>1</v>
      </c>
      <c r="AX171"/>
      <c r="BA171" s="34" t="str">
        <f t="shared" ca="1" si="46"/>
        <v>LicenseeSelect</v>
      </c>
      <c r="BB171" s="34" t="str">
        <f t="shared" si="47"/>
        <v>Fixed Inputs</v>
      </c>
      <c r="BC171" s="34" t="str">
        <f t="shared" si="48"/>
        <v>Variant allowances</v>
      </c>
      <c r="BD171" s="34" t="str">
        <f t="shared" si="49"/>
        <v>Variant attributes</v>
      </c>
    </row>
    <row r="172" spans="5:56" x14ac:dyDescent="0.35">
      <c r="E172" s="33" t="str">
        <f>CHOOSE(UserInterface!$C$22,#REF!,#REF!,#REF!,#REF!,#REF!,Scotland!E172,Southern!E172,#REF!)</f>
        <v>VD_GSIUR Disconnections Volume Driver</v>
      </c>
      <c r="F172" s="33">
        <f t="shared" ref="F172" si="86">F118</f>
        <v>0</v>
      </c>
      <c r="G172" s="33" t="s">
        <v>236</v>
      </c>
      <c r="H172" s="33" t="str">
        <f t="shared" ref="H172" si="87">H118</f>
        <v>GDVDt</v>
      </c>
      <c r="AU172" s="139" t="b">
        <f>CHOOSE(UserInterface!$C$22,#REF!,#REF!,#REF!,#REF!,#REF!,Scotland!AU172,Southern!AU172,#REF!)</f>
        <v>1</v>
      </c>
      <c r="AV172" s="22" t="b">
        <f>CHOOSE(UserInterface!$C$22,#REF!,#REF!,#REF!,#REF!,#REF!,Scotland!AV172,Southern!AV172,#REF!)</f>
        <v>0</v>
      </c>
      <c r="AW172" s="24">
        <f>CHOOSE(UserInterface!$C$22,#REF!,#REF!,#REF!,#REF!,#REF!,Scotland!AW172,Southern!AW172,#REF!)</f>
        <v>1</v>
      </c>
      <c r="AX172"/>
      <c r="BA172" s="34" t="str">
        <f t="shared" ca="1" si="46"/>
        <v>LicenseeSelect</v>
      </c>
      <c r="BB172" s="34" t="str">
        <f t="shared" si="47"/>
        <v>Fixed Inputs</v>
      </c>
      <c r="BC172" s="34" t="str">
        <f t="shared" si="48"/>
        <v>Variant allowances</v>
      </c>
      <c r="BD172" s="34" t="str">
        <f t="shared" si="49"/>
        <v>Variant attributes</v>
      </c>
    </row>
    <row r="173" spans="5:56" x14ac:dyDescent="0.35">
      <c r="E173" s="33" t="str">
        <f>CHOOSE(UserInterface!$C$22,#REF!,#REF!,#REF!,#REF!,#REF!,Scotland!E173,Southern!E173,#REF!)</f>
        <v>VD_[spare slot]</v>
      </c>
      <c r="F173" s="33">
        <f t="shared" ref="F173" si="88">F119</f>
        <v>0</v>
      </c>
      <c r="G173" s="33" t="s">
        <v>236</v>
      </c>
      <c r="H173" s="33">
        <f t="shared" ref="H173" si="89">H119</f>
        <v>0</v>
      </c>
      <c r="AU173" s="139" t="b">
        <f>CHOOSE(UserInterface!$C$22,#REF!,#REF!,#REF!,#REF!,#REF!,Scotland!AU173,Southern!AU173,#REF!)</f>
        <v>1</v>
      </c>
      <c r="AV173" s="22" t="b">
        <f>CHOOSE(UserInterface!$C$22,#REF!,#REF!,#REF!,#REF!,#REF!,Scotland!AV173,Southern!AV173,#REF!)</f>
        <v>1</v>
      </c>
      <c r="AW173" s="24">
        <f>CHOOSE(UserInterface!$C$22,#REF!,#REF!,#REF!,#REF!,#REF!,Scotland!AW173,Southern!AW173,#REF!)</f>
        <v>1</v>
      </c>
      <c r="AX173"/>
      <c r="BA173" s="34" t="str">
        <f t="shared" ca="1" si="46"/>
        <v>LicenseeSelect</v>
      </c>
      <c r="BB173" s="34" t="str">
        <f t="shared" si="47"/>
        <v>Fixed Inputs</v>
      </c>
      <c r="BC173" s="34" t="str">
        <f t="shared" si="48"/>
        <v>Variant allowances</v>
      </c>
      <c r="BD173" s="34" t="str">
        <f t="shared" si="49"/>
        <v>Variant attributes</v>
      </c>
    </row>
    <row r="174" spans="5:56" x14ac:dyDescent="0.35">
      <c r="E174" s="33" t="str">
        <f>CHOOSE(UserInterface!$C$22,#REF!,#REF!,#REF!,#REF!,#REF!,Scotland!E174,Southern!E174,#REF!)</f>
        <v>VD_Tier 2A Mains and Services Replacement Volume Driver</v>
      </c>
      <c r="F174" s="33" t="str">
        <f t="shared" ref="F174" si="90">F120</f>
        <v>SpC 3.12</v>
      </c>
      <c r="G174" s="33" t="s">
        <v>236</v>
      </c>
      <c r="H174" s="33" t="str">
        <f t="shared" ref="H174" si="91">H120</f>
        <v>REt</v>
      </c>
      <c r="AU174" s="139" t="b">
        <f>CHOOSE(UserInterface!$C$22,#REF!,#REF!,#REF!,#REF!,#REF!,Scotland!AU174,Southern!AU174,#REF!)</f>
        <v>0</v>
      </c>
      <c r="AV174" s="22" t="b">
        <f>CHOOSE(UserInterface!$C$22,#REF!,#REF!,#REF!,#REF!,#REF!,Scotland!AV174,Southern!AV174,#REF!)</f>
        <v>0</v>
      </c>
      <c r="AW174" s="24">
        <f>CHOOSE(UserInterface!$C$22,#REF!,#REF!,#REF!,#REF!,#REF!,Scotland!AW174,Southern!AW174,#REF!)</f>
        <v>1</v>
      </c>
      <c r="AX174"/>
      <c r="BA174" s="34" t="str">
        <f t="shared" ca="1" si="46"/>
        <v>LicenseeSelect</v>
      </c>
      <c r="BB174" s="34" t="str">
        <f t="shared" si="47"/>
        <v>Fixed Inputs</v>
      </c>
      <c r="BC174" s="34" t="str">
        <f t="shared" si="48"/>
        <v>Variant allowances</v>
      </c>
      <c r="BD174" s="34" t="str">
        <f t="shared" si="49"/>
        <v>Variant attributes</v>
      </c>
    </row>
    <row r="175" spans="5:56" x14ac:dyDescent="0.35">
      <c r="E175" s="33" t="str">
        <f>CHOOSE(UserInterface!$C$22,#REF!,#REF!,#REF!,#REF!,#REF!,Scotland!E175,Southern!E175,#REF!)</f>
        <v>UIOLI_Net Zero and Re-opener Development Fund / Decarbonisation Project Development Fund UIOLI</v>
      </c>
      <c r="F175" s="33" t="str">
        <f t="shared" ref="F175" si="92">F121</f>
        <v>SpC 3.5</v>
      </c>
      <c r="G175" s="33" t="s">
        <v>236</v>
      </c>
      <c r="H175" s="33" t="str">
        <f t="shared" ref="H175" si="93">H121</f>
        <v>DPDt</v>
      </c>
      <c r="AU175" s="139" t="b">
        <f>CHOOSE(UserInterface!$C$22,#REF!,#REF!,#REF!,#REF!,#REF!,Scotland!AU175,Southern!AU175,#REF!)</f>
        <v>0</v>
      </c>
      <c r="AV175" s="22" t="b">
        <f>CHOOSE(UserInterface!$C$22,#REF!,#REF!,#REF!,#REF!,#REF!,Scotland!AV175,Southern!AV175,#REF!)</f>
        <v>0</v>
      </c>
      <c r="AW175" s="24">
        <f>CHOOSE(UserInterface!$C$22,#REF!,#REF!,#REF!,#REF!,#REF!,Scotland!AW175,Southern!AW175,#REF!)</f>
        <v>2</v>
      </c>
      <c r="AX175"/>
      <c r="BA175" s="34" t="str">
        <f t="shared" ca="1" si="46"/>
        <v>LicenseeSelect</v>
      </c>
      <c r="BB175" s="34" t="str">
        <f t="shared" si="47"/>
        <v>Fixed Inputs</v>
      </c>
      <c r="BC175" s="34" t="str">
        <f t="shared" si="48"/>
        <v>Variant allowances</v>
      </c>
      <c r="BD175" s="34" t="str">
        <f t="shared" si="49"/>
        <v>Variant attributes</v>
      </c>
    </row>
    <row r="176" spans="5:56" x14ac:dyDescent="0.35">
      <c r="E176" s="33" t="str">
        <f>CHOOSE(UserInterface!$C$22,#REF!,#REF!,#REF!,#REF!,#REF!,Scotland!E176,Southern!E176,#REF!)</f>
        <v>UIOLI_Cyber Resilience_NGN</v>
      </c>
      <c r="F176" s="33" t="str">
        <f t="shared" ref="F176" si="94">F122</f>
        <v>SpC 3.2</v>
      </c>
      <c r="G176" s="33" t="s">
        <v>236</v>
      </c>
      <c r="H176" s="33" t="str">
        <f t="shared" ref="H176" si="95">H122</f>
        <v>CYREt</v>
      </c>
      <c r="AU176" s="139" t="b">
        <f>CHOOSE(UserInterface!$C$22,#REF!,#REF!,#REF!,#REF!,#REF!,Scotland!AU176,Southern!AU176,#REF!)</f>
        <v>0</v>
      </c>
      <c r="AV176" s="22" t="b">
        <f>CHOOSE(UserInterface!$C$22,#REF!,#REF!,#REF!,#REF!,#REF!,Scotland!AV176,Southern!AV176,#REF!)</f>
        <v>0</v>
      </c>
      <c r="AW176" s="24">
        <f>CHOOSE(UserInterface!$C$22,#REF!,#REF!,#REF!,#REF!,#REF!,Scotland!AW176,Southern!AW176,#REF!)</f>
        <v>2</v>
      </c>
      <c r="AX176"/>
      <c r="BA176" s="34" t="str">
        <f t="shared" ca="1" si="46"/>
        <v>LicenseeSelect</v>
      </c>
      <c r="BB176" s="34" t="str">
        <f t="shared" si="47"/>
        <v>Fixed Inputs</v>
      </c>
      <c r="BC176" s="34" t="str">
        <f t="shared" si="48"/>
        <v>Variant allowances</v>
      </c>
      <c r="BD176" s="34" t="str">
        <f t="shared" si="49"/>
        <v>Variant attributes</v>
      </c>
    </row>
    <row r="177" spans="5:56" x14ac:dyDescent="0.35">
      <c r="E177" s="33" t="str">
        <f>CHOOSE(UserInterface!$C$22,#REF!,#REF!,#REF!,#REF!,#REF!,Scotland!E177,Southern!E177,#REF!)</f>
        <v>UIOLI_Cyber Resilience_All except NGN and WWU</v>
      </c>
      <c r="F177" s="33" t="str">
        <f t="shared" ref="F177" si="96">F123</f>
        <v>SpC 3.2</v>
      </c>
      <c r="G177" s="33" t="s">
        <v>236</v>
      </c>
      <c r="H177" s="33" t="str">
        <f t="shared" ref="H177" si="97">H123</f>
        <v>CYREt</v>
      </c>
      <c r="AU177" s="139" t="b">
        <f>CHOOSE(UserInterface!$C$22,#REF!,#REF!,#REF!,#REF!,#REF!,Scotland!AU177,Southern!AU177,#REF!)</f>
        <v>0</v>
      </c>
      <c r="AV177" s="22" t="b">
        <f>CHOOSE(UserInterface!$C$22,#REF!,#REF!,#REF!,#REF!,#REF!,Scotland!AV177,Southern!AV177,#REF!)</f>
        <v>0</v>
      </c>
      <c r="AW177" s="24">
        <f>CHOOSE(UserInterface!$C$22,#REF!,#REF!,#REF!,#REF!,#REF!,Scotland!AW177,Southern!AW177,#REF!)</f>
        <v>2</v>
      </c>
      <c r="AX177"/>
      <c r="BA177" s="34" t="str">
        <f t="shared" ca="1" si="46"/>
        <v>LicenseeSelect</v>
      </c>
      <c r="BB177" s="34" t="str">
        <f t="shared" si="47"/>
        <v>Fixed Inputs</v>
      </c>
      <c r="BC177" s="34" t="str">
        <f t="shared" si="48"/>
        <v>Variant allowances</v>
      </c>
      <c r="BD177" s="34" t="str">
        <f t="shared" si="49"/>
        <v>Variant attributes</v>
      </c>
    </row>
    <row r="178" spans="5:56" x14ac:dyDescent="0.35">
      <c r="E178" s="33" t="str">
        <f>CHOOSE(UserInterface!$C$22,#REF!,#REF!,#REF!,#REF!,#REF!,Scotland!E178,Southern!E178,#REF!)</f>
        <v>UIOLI_Biomethane connections / Biomethane Distributed Entry Reinforcement</v>
      </c>
      <c r="F178" s="33" t="str">
        <f t="shared" ref="F178" si="98">F124</f>
        <v>SpC 3.21</v>
      </c>
      <c r="G178" s="33" t="s">
        <v>236</v>
      </c>
      <c r="H178" s="33" t="str">
        <f t="shared" ref="H178" si="99">H124</f>
        <v>BDERt</v>
      </c>
      <c r="AU178" s="139" t="b">
        <f>CHOOSE(UserInterface!$C$22,#REF!,#REF!,#REF!,#REF!,#REF!,Scotland!AU178,Southern!AU178,#REF!)</f>
        <v>0</v>
      </c>
      <c r="AV178" s="22" t="b">
        <f>CHOOSE(UserInterface!$C$22,#REF!,#REF!,#REF!,#REF!,#REF!,Scotland!AV178,Southern!AV178,#REF!)</f>
        <v>0</v>
      </c>
      <c r="AW178" s="24">
        <f>CHOOSE(UserInterface!$C$22,#REF!,#REF!,#REF!,#REF!,#REF!,Scotland!AW178,Southern!AW178,#REF!)</f>
        <v>2</v>
      </c>
      <c r="AX178"/>
      <c r="BA178" s="34" t="str">
        <f t="shared" ca="1" si="46"/>
        <v>LicenseeSelect</v>
      </c>
      <c r="BB178" s="34" t="str">
        <f t="shared" si="47"/>
        <v>Fixed Inputs</v>
      </c>
      <c r="BC178" s="34" t="str">
        <f t="shared" ref="BC178:BC202" si="100">$B$151</f>
        <v>Variant allowances</v>
      </c>
      <c r="BD178" s="34" t="str">
        <f t="shared" si="49"/>
        <v>Variant attributes</v>
      </c>
    </row>
    <row r="179" spans="5:56" x14ac:dyDescent="0.35">
      <c r="E179" s="33" t="str">
        <f>CHOOSE(UserInterface!$C$22,#REF!,#REF!,#REF!,#REF!,#REF!,Scotland!E179,Southern!E179,#REF!)</f>
        <v>Re-opener_Climate change resilience work</v>
      </c>
      <c r="F179" s="33">
        <f t="shared" ref="F179" si="101">F125</f>
        <v>0</v>
      </c>
      <c r="G179" s="33" t="s">
        <v>236</v>
      </c>
      <c r="H179" s="33">
        <f t="shared" ref="H179" si="102">H125</f>
        <v>0</v>
      </c>
      <c r="AU179" s="139" t="b">
        <f>CHOOSE(UserInterface!$C$22,#REF!,#REF!,#REF!,#REF!,#REF!,Scotland!AU179,Southern!AU179,#REF!)</f>
        <v>0</v>
      </c>
      <c r="AV179" s="22" t="b">
        <f>CHOOSE(UserInterface!$C$22,#REF!,#REF!,#REF!,#REF!,#REF!,Scotland!AV179,Southern!AV179,#REF!)</f>
        <v>0</v>
      </c>
      <c r="AW179" s="24">
        <f>CHOOSE(UserInterface!$C$22,#REF!,#REF!,#REF!,#REF!,#REF!,Scotland!AW179,Southern!AW179,#REF!)</f>
        <v>2</v>
      </c>
      <c r="AX179"/>
      <c r="BA179" s="34" t="str">
        <f t="shared" ca="1" si="46"/>
        <v>LicenseeSelect</v>
      </c>
      <c r="BB179" s="34" t="str">
        <f t="shared" si="47"/>
        <v>Fixed Inputs</v>
      </c>
      <c r="BC179" s="34" t="str">
        <f t="shared" si="100"/>
        <v>Variant allowances</v>
      </c>
      <c r="BD179" s="34" t="str">
        <f t="shared" si="49"/>
        <v>Variant attributes</v>
      </c>
    </row>
    <row r="180" spans="5:56" x14ac:dyDescent="0.35">
      <c r="E180" s="33" t="str">
        <f>CHOOSE(UserInterface!$C$22,#REF!,#REF!,#REF!,#REF!,#REF!,Scotland!E180,Southern!E180,#REF!)</f>
        <v>Re-opener_Coordinated Adjustment Mechanism Re-opener</v>
      </c>
      <c r="F180" s="33" t="str">
        <f t="shared" ref="F180" si="103">F126</f>
        <v>SpC 3.8</v>
      </c>
      <c r="G180" s="33" t="s">
        <v>236</v>
      </c>
      <c r="H180" s="33" t="str">
        <f t="shared" ref="H180" si="104">H126</f>
        <v>CAMt</v>
      </c>
      <c r="AU180" s="139" t="b">
        <f>CHOOSE(UserInterface!$C$22,#REF!,#REF!,#REF!,#REF!,#REF!,Scotland!AU180,Southern!AU180,#REF!)</f>
        <v>0</v>
      </c>
      <c r="AV180" s="22" t="b">
        <f>CHOOSE(UserInterface!$C$22,#REF!,#REF!,#REF!,#REF!,#REF!,Scotland!AV180,Southern!AV180,#REF!)</f>
        <v>0</v>
      </c>
      <c r="AW180" s="24">
        <f>CHOOSE(UserInterface!$C$22,#REF!,#REF!,#REF!,#REF!,#REF!,Scotland!AW180,Southern!AW180,#REF!)</f>
        <v>2</v>
      </c>
      <c r="AX180"/>
      <c r="BA180" s="34" t="str">
        <f t="shared" ca="1" si="46"/>
        <v>LicenseeSelect</v>
      </c>
      <c r="BB180" s="34" t="str">
        <f t="shared" si="47"/>
        <v>Fixed Inputs</v>
      </c>
      <c r="BC180" s="34" t="str">
        <f t="shared" si="100"/>
        <v>Variant allowances</v>
      </c>
      <c r="BD180" s="34" t="str">
        <f t="shared" si="49"/>
        <v>Variant attributes</v>
      </c>
    </row>
    <row r="181" spans="5:56" x14ac:dyDescent="0.35">
      <c r="E181" s="33" t="str">
        <f>CHOOSE(UserInterface!$C$22,#REF!,#REF!,#REF!,#REF!,#REF!,Scotland!E181,Southern!E181,#REF!)</f>
        <v>Re-opener_Cyber re-opener (Cadent_EoE) / Cyber resilience Re-Opener</v>
      </c>
      <c r="F181" s="33" t="str">
        <f t="shared" ref="F181" si="105">F127</f>
        <v>SpC 3.2</v>
      </c>
      <c r="G181" s="33" t="s">
        <v>236</v>
      </c>
      <c r="H181" s="33" t="str">
        <f t="shared" ref="H181" si="106">H127</f>
        <v>CYREt</v>
      </c>
      <c r="AU181" s="139" t="b">
        <f>CHOOSE(UserInterface!$C$22,#REF!,#REF!,#REF!,#REF!,#REF!,Scotland!AU181,Southern!AU181,#REF!)</f>
        <v>0</v>
      </c>
      <c r="AV181" s="22" t="b">
        <f>CHOOSE(UserInterface!$C$22,#REF!,#REF!,#REF!,#REF!,#REF!,Scotland!AV181,Southern!AV181,#REF!)</f>
        <v>0</v>
      </c>
      <c r="AW181" s="24">
        <f>CHOOSE(UserInterface!$C$22,#REF!,#REF!,#REF!,#REF!,#REF!,Scotland!AW181,Southern!AW181,#REF!)</f>
        <v>2</v>
      </c>
      <c r="AX181"/>
      <c r="BA181" s="34" t="str">
        <f t="shared" ca="1" si="46"/>
        <v>LicenseeSelect</v>
      </c>
      <c r="BB181" s="34" t="str">
        <f t="shared" si="47"/>
        <v>Fixed Inputs</v>
      </c>
      <c r="BC181" s="34" t="str">
        <f t="shared" si="100"/>
        <v>Variant allowances</v>
      </c>
      <c r="BD181" s="34" t="str">
        <f t="shared" si="49"/>
        <v>Variant attributes</v>
      </c>
    </row>
    <row r="182" spans="5:56" x14ac:dyDescent="0.35">
      <c r="E182" s="33" t="str">
        <f>CHOOSE(UserInterface!$C$22,#REF!,#REF!,#REF!,#REF!,#REF!,Scotland!E182,Southern!E182,#REF!)</f>
        <v>Re-opener_Data and digitalisation</v>
      </c>
      <c r="F182" s="33">
        <f t="shared" ref="F182" si="107">F128</f>
        <v>0</v>
      </c>
      <c r="G182" s="33" t="s">
        <v>236</v>
      </c>
      <c r="H182" s="33">
        <f t="shared" ref="H182" si="108">H128</f>
        <v>0</v>
      </c>
      <c r="AU182" s="139" t="b">
        <f>CHOOSE(UserInterface!$C$22,#REF!,#REF!,#REF!,#REF!,#REF!,Scotland!AU182,Southern!AU182,#REF!)</f>
        <v>0</v>
      </c>
      <c r="AV182" s="22" t="b">
        <f>CHOOSE(UserInterface!$C$22,#REF!,#REF!,#REF!,#REF!,#REF!,Scotland!AV182,Southern!AV182,#REF!)</f>
        <v>0</v>
      </c>
      <c r="AW182" s="24">
        <f>CHOOSE(UserInterface!$C$22,#REF!,#REF!,#REF!,#REF!,#REF!,Scotland!AW182,Southern!AW182,#REF!)</f>
        <v>2</v>
      </c>
      <c r="AX182"/>
      <c r="BA182" s="34" t="str">
        <f t="shared" ca="1" si="46"/>
        <v>LicenseeSelect</v>
      </c>
      <c r="BB182" s="34" t="str">
        <f t="shared" si="47"/>
        <v>Fixed Inputs</v>
      </c>
      <c r="BC182" s="34" t="str">
        <f t="shared" si="100"/>
        <v>Variant allowances</v>
      </c>
      <c r="BD182" s="34" t="str">
        <f t="shared" si="49"/>
        <v>Variant attributes</v>
      </c>
    </row>
    <row r="183" spans="5:56" x14ac:dyDescent="0.35">
      <c r="E183" s="33" t="str">
        <f>CHOOSE(UserInterface!$C$22,#REF!,#REF!,#REF!,#REF!,#REF!,Scotland!E183,Southern!E183,#REF!)</f>
        <v>Re-opener_Digitalisation re-opener</v>
      </c>
      <c r="F183" s="33" t="str">
        <f t="shared" ref="F183" si="109">F129</f>
        <v>SpC 3.7</v>
      </c>
      <c r="G183" s="33" t="s">
        <v>236</v>
      </c>
      <c r="H183" s="33" t="str">
        <f t="shared" ref="H183" si="110">H129</f>
        <v>DIGITt</v>
      </c>
      <c r="AU183" s="139" t="b">
        <f>CHOOSE(UserInterface!$C$22,#REF!,#REF!,#REF!,#REF!,#REF!,Scotland!AU183,Southern!AU183,#REF!)</f>
        <v>0</v>
      </c>
      <c r="AV183" s="22" t="b">
        <f>CHOOSE(UserInterface!$C$22,#REF!,#REF!,#REF!,#REF!,#REF!,Scotland!AV183,Southern!AV183,#REF!)</f>
        <v>0</v>
      </c>
      <c r="AW183" s="24">
        <f>CHOOSE(UserInterface!$C$22,#REF!,#REF!,#REF!,#REF!,#REF!,Scotland!AW183,Southern!AW183,#REF!)</f>
        <v>2</v>
      </c>
      <c r="AX183"/>
      <c r="BA183" s="34" t="str">
        <f t="shared" ca="1" si="46"/>
        <v>LicenseeSelect</v>
      </c>
      <c r="BB183" s="34" t="str">
        <f t="shared" si="47"/>
        <v>Fixed Inputs</v>
      </c>
      <c r="BC183" s="34" t="str">
        <f t="shared" si="100"/>
        <v>Variant allowances</v>
      </c>
      <c r="BD183" s="34" t="str">
        <f t="shared" si="49"/>
        <v>Variant attributes</v>
      </c>
    </row>
    <row r="184" spans="5:56" x14ac:dyDescent="0.35">
      <c r="E184" s="33" t="str">
        <f>CHOOSE(UserInterface!$C$22,#REF!,#REF!,#REF!,#REF!,#REF!,Scotland!E184,Southern!E184,#REF!)</f>
        <v>Re-opener_Diversions and Loss of Development Claims Re-opener</v>
      </c>
      <c r="F184" s="33" t="str">
        <f t="shared" ref="F184" si="111">F130</f>
        <v>SpC 3.15</v>
      </c>
      <c r="G184" s="33" t="s">
        <v>236</v>
      </c>
      <c r="H184" s="33" t="str">
        <f t="shared" ref="H184" si="112">H130</f>
        <v>DIVt</v>
      </c>
      <c r="AU184" s="139" t="b">
        <f>CHOOSE(UserInterface!$C$22,#REF!,#REF!,#REF!,#REF!,#REF!,Scotland!AU184,Southern!AU184,#REF!)</f>
        <v>0</v>
      </c>
      <c r="AV184" s="22" t="b">
        <f>CHOOSE(UserInterface!$C$22,#REF!,#REF!,#REF!,#REF!,#REF!,Scotland!AV184,Southern!AV184,#REF!)</f>
        <v>0</v>
      </c>
      <c r="AW184" s="24">
        <f>CHOOSE(UserInterface!$C$22,#REF!,#REF!,#REF!,#REF!,#REF!,Scotland!AW184,Southern!AW184,#REF!)</f>
        <v>2</v>
      </c>
      <c r="AX184"/>
      <c r="BA184" s="34" t="str">
        <f t="shared" ca="1" si="46"/>
        <v>LicenseeSelect</v>
      </c>
      <c r="BB184" s="34" t="str">
        <f t="shared" si="47"/>
        <v>Fixed Inputs</v>
      </c>
      <c r="BC184" s="34" t="str">
        <f t="shared" si="100"/>
        <v>Variant allowances</v>
      </c>
      <c r="BD184" s="34" t="str">
        <f t="shared" si="49"/>
        <v>Variant attributes</v>
      </c>
    </row>
    <row r="185" spans="5:56" x14ac:dyDescent="0.35">
      <c r="E185" s="33" t="str">
        <f>CHOOSE(UserInterface!$C$22,#REF!,#REF!,#REF!,#REF!,#REF!,Scotland!E185,Southern!E185,#REF!)</f>
        <v>Re-opener_Heat Policy re-opener</v>
      </c>
      <c r="F185" s="33" t="str">
        <f t="shared" ref="F185" si="113">F131</f>
        <v>SpC 3.14</v>
      </c>
      <c r="G185" s="33" t="s">
        <v>236</v>
      </c>
      <c r="H185" s="33" t="str">
        <f t="shared" ref="H185" si="114">H131</f>
        <v>HPRAt</v>
      </c>
      <c r="AU185" s="139" t="b">
        <f>CHOOSE(UserInterface!$C$22,#REF!,#REF!,#REF!,#REF!,#REF!,Scotland!AU185,Southern!AU185,#REF!)</f>
        <v>0</v>
      </c>
      <c r="AV185" s="22" t="b">
        <f>CHOOSE(UserInterface!$C$22,#REF!,#REF!,#REF!,#REF!,#REF!,Scotland!AV185,Southern!AV185,#REF!)</f>
        <v>0</v>
      </c>
      <c r="AW185" s="24">
        <f>CHOOSE(UserInterface!$C$22,#REF!,#REF!,#REF!,#REF!,#REF!,Scotland!AW185,Southern!AW185,#REF!)</f>
        <v>2</v>
      </c>
      <c r="AX185"/>
      <c r="BA185" s="34" t="str">
        <f t="shared" ca="1" si="46"/>
        <v>LicenseeSelect</v>
      </c>
      <c r="BB185" s="34" t="str">
        <f t="shared" si="47"/>
        <v>Fixed Inputs</v>
      </c>
      <c r="BC185" s="34" t="str">
        <f t="shared" si="100"/>
        <v>Variant allowances</v>
      </c>
      <c r="BD185" s="34" t="str">
        <f t="shared" si="49"/>
        <v>Variant attributes</v>
      </c>
    </row>
    <row r="186" spans="5:56" x14ac:dyDescent="0.35">
      <c r="E186" s="33" t="str">
        <f>CHOOSE(UserInterface!$C$22,#REF!,#REF!,#REF!,#REF!,#REF!,Scotland!E186,Southern!E186,#REF!)</f>
        <v>Re-opener_HSE Policy Re-opener</v>
      </c>
      <c r="F186" s="33" t="str">
        <f t="shared" ref="F186" si="115">F132</f>
        <v>SpC 3.13</v>
      </c>
      <c r="G186" s="33" t="s">
        <v>236</v>
      </c>
      <c r="H186" s="33" t="str">
        <f t="shared" ref="H186" si="116">H132</f>
        <v>REPt</v>
      </c>
      <c r="AU186" s="139" t="b">
        <f>CHOOSE(UserInterface!$C$22,#REF!,#REF!,#REF!,#REF!,#REF!,Scotland!AU186,Southern!AU186,#REF!)</f>
        <v>0</v>
      </c>
      <c r="AV186" s="22" t="b">
        <f>CHOOSE(UserInterface!$C$22,#REF!,#REF!,#REF!,#REF!,#REF!,Scotland!AV186,Southern!AV186,#REF!)</f>
        <v>0</v>
      </c>
      <c r="AW186" s="24">
        <f>CHOOSE(UserInterface!$C$22,#REF!,#REF!,#REF!,#REF!,#REF!,Scotland!AW186,Southern!AW186,#REF!)</f>
        <v>2</v>
      </c>
      <c r="AX186"/>
      <c r="BA186" s="34" t="str">
        <f t="shared" ca="1" si="46"/>
        <v>LicenseeSelect</v>
      </c>
      <c r="BB186" s="34" t="str">
        <f t="shared" si="47"/>
        <v>Fixed Inputs</v>
      </c>
      <c r="BC186" s="34" t="str">
        <f t="shared" si="100"/>
        <v>Variant allowances</v>
      </c>
      <c r="BD186" s="34" t="str">
        <f t="shared" si="49"/>
        <v>Variant attributes</v>
      </c>
    </row>
    <row r="187" spans="5:56" x14ac:dyDescent="0.35">
      <c r="E187" s="33" t="str">
        <f>CHOOSE(UserInterface!$C$22,#REF!,#REF!,#REF!,#REF!,#REF!,Scotland!E187,Southern!E187,#REF!)</f>
        <v>Re-opener_London Subways and Tunnels</v>
      </c>
      <c r="F187" s="33" t="str">
        <f t="shared" ref="F187" si="117">F133</f>
        <v>SpC 3.26</v>
      </c>
      <c r="G187" s="33" t="s">
        <v>236</v>
      </c>
      <c r="H187" s="33" t="str">
        <f t="shared" ref="H187" si="118">H133</f>
        <v>LSTt</v>
      </c>
      <c r="AU187" s="139" t="b">
        <f>CHOOSE(UserInterface!$C$22,#REF!,#REF!,#REF!,#REF!,#REF!,Scotland!AU187,Southern!AU187,#REF!)</f>
        <v>0</v>
      </c>
      <c r="AV187" s="22" t="b">
        <f>CHOOSE(UserInterface!$C$22,#REF!,#REF!,#REF!,#REF!,#REF!,Scotland!AV187,Southern!AV187,#REF!)</f>
        <v>0</v>
      </c>
      <c r="AW187" s="24">
        <f>CHOOSE(UserInterface!$C$22,#REF!,#REF!,#REF!,#REF!,#REF!,Scotland!AW187,Southern!AW187,#REF!)</f>
        <v>2</v>
      </c>
      <c r="AX187"/>
      <c r="BA187" s="34" t="str">
        <f t="shared" ca="1" si="46"/>
        <v>LicenseeSelect</v>
      </c>
      <c r="BB187" s="34" t="str">
        <f t="shared" si="47"/>
        <v>Fixed Inputs</v>
      </c>
      <c r="BC187" s="34" t="str">
        <f t="shared" si="100"/>
        <v>Variant allowances</v>
      </c>
      <c r="BD187" s="34" t="str">
        <f t="shared" si="49"/>
        <v>Variant attributes</v>
      </c>
    </row>
    <row r="188" spans="5:56" x14ac:dyDescent="0.35">
      <c r="E188" s="33" t="str">
        <f>CHOOSE(UserInterface!$C$22,#REF!,#REF!,#REF!,#REF!,#REF!,Scotland!E188,Southern!E188,#REF!)</f>
        <v>Re-opener_Net Zero Pre-construction Works and Small Net Zero Projects Re-opener / Small Decarbonisation Projects Re-opener</v>
      </c>
      <c r="F188" s="33" t="str">
        <f t="shared" ref="F188" si="119">F134</f>
        <v>SpC 3.4</v>
      </c>
      <c r="G188" s="33" t="s">
        <v>236</v>
      </c>
      <c r="H188" s="33" t="str">
        <f t="shared" ref="H188" si="120">H134</f>
        <v>SDPt</v>
      </c>
      <c r="AU188" s="139" t="b">
        <f>CHOOSE(UserInterface!$C$22,#REF!,#REF!,#REF!,#REF!,#REF!,Scotland!AU188,Southern!AU188,#REF!)</f>
        <v>0</v>
      </c>
      <c r="AV188" s="22" t="b">
        <f>CHOOSE(UserInterface!$C$22,#REF!,#REF!,#REF!,#REF!,#REF!,Scotland!AV188,Southern!AV188,#REF!)</f>
        <v>0</v>
      </c>
      <c r="AW188" s="24">
        <f>CHOOSE(UserInterface!$C$22,#REF!,#REF!,#REF!,#REF!,#REF!,Scotland!AW188,Southern!AW188,#REF!)</f>
        <v>2</v>
      </c>
      <c r="AX188"/>
      <c r="BA188" s="34" t="str">
        <f t="shared" ca="1" si="46"/>
        <v>LicenseeSelect</v>
      </c>
      <c r="BB188" s="34" t="str">
        <f t="shared" si="47"/>
        <v>Fixed Inputs</v>
      </c>
      <c r="BC188" s="34" t="str">
        <f t="shared" si="100"/>
        <v>Variant allowances</v>
      </c>
      <c r="BD188" s="34" t="str">
        <f t="shared" si="49"/>
        <v>Variant attributes</v>
      </c>
    </row>
    <row r="189" spans="5:56" x14ac:dyDescent="0.35">
      <c r="E189" s="33" t="str">
        <f>CHOOSE(UserInterface!$C$22,#REF!,#REF!,#REF!,#REF!,#REF!,Scotland!E189,Southern!E189,#REF!)</f>
        <v>Re-opener_Net zero re-opener / Decarbonisation and Environmental Policy Re-opener</v>
      </c>
      <c r="F189" s="33" t="str">
        <f t="shared" ref="F189" si="121">F135</f>
        <v>SpC 3.6</v>
      </c>
      <c r="G189" s="33" t="s">
        <v>236</v>
      </c>
      <c r="H189" s="33" t="str">
        <f t="shared" ref="H189" si="122">H135</f>
        <v>DEPt</v>
      </c>
      <c r="AU189" s="139" t="b">
        <f>CHOOSE(UserInterface!$C$22,#REF!,#REF!,#REF!,#REF!,#REF!,Scotland!AU189,Southern!AU189,#REF!)</f>
        <v>0</v>
      </c>
      <c r="AV189" s="22" t="b">
        <f>CHOOSE(UserInterface!$C$22,#REF!,#REF!,#REF!,#REF!,#REF!,Scotland!AV189,Southern!AV189,#REF!)</f>
        <v>0</v>
      </c>
      <c r="AW189" s="24">
        <f>CHOOSE(UserInterface!$C$22,#REF!,#REF!,#REF!,#REF!,#REF!,Scotland!AW189,Southern!AW189,#REF!)</f>
        <v>2</v>
      </c>
      <c r="AX189"/>
      <c r="BA189" s="34" t="str">
        <f t="shared" ca="1" si="46"/>
        <v>LicenseeSelect</v>
      </c>
      <c r="BB189" s="34" t="str">
        <f t="shared" si="47"/>
        <v>Fixed Inputs</v>
      </c>
      <c r="BC189" s="34" t="str">
        <f t="shared" si="100"/>
        <v>Variant allowances</v>
      </c>
      <c r="BD189" s="34" t="str">
        <f t="shared" si="49"/>
        <v>Variant attributes</v>
      </c>
    </row>
    <row r="190" spans="5:56" x14ac:dyDescent="0.35">
      <c r="E190" s="33" t="str">
        <f>CHOOSE(UserInterface!$C$22,#REF!,#REF!,#REF!,#REF!,#REF!,Scotland!E190,Southern!E190,#REF!)</f>
        <v>Re-opener_New Large Load Connections Re-opener</v>
      </c>
      <c r="F190" s="33" t="str">
        <f t="shared" ref="F190" si="123">F136</f>
        <v>SpC 3.16</v>
      </c>
      <c r="G190" s="33" t="s">
        <v>236</v>
      </c>
      <c r="H190" s="33" t="str">
        <f t="shared" ref="H190" si="124">H136</f>
        <v>NLLRt</v>
      </c>
      <c r="AU190" s="139" t="b">
        <f>CHOOSE(UserInterface!$C$22,#REF!,#REF!,#REF!,#REF!,#REF!,Scotland!AU190,Southern!AU190,#REF!)</f>
        <v>0</v>
      </c>
      <c r="AV190" s="22" t="b">
        <f>CHOOSE(UserInterface!$C$22,#REF!,#REF!,#REF!,#REF!,#REF!,Scotland!AV190,Southern!AV190,#REF!)</f>
        <v>0</v>
      </c>
      <c r="AW190" s="24">
        <f>CHOOSE(UserInterface!$C$22,#REF!,#REF!,#REF!,#REF!,#REF!,Scotland!AW190,Southern!AW190,#REF!)</f>
        <v>2</v>
      </c>
      <c r="AX190"/>
      <c r="BA190" s="34" t="str">
        <f t="shared" ca="1" si="46"/>
        <v>LicenseeSelect</v>
      </c>
      <c r="BB190" s="34" t="str">
        <f t="shared" si="47"/>
        <v>Fixed Inputs</v>
      </c>
      <c r="BC190" s="34" t="str">
        <f t="shared" si="100"/>
        <v>Variant allowances</v>
      </c>
      <c r="BD190" s="34" t="str">
        <f t="shared" si="49"/>
        <v>Variant attributes</v>
      </c>
    </row>
    <row r="191" spans="5:56" x14ac:dyDescent="0.35">
      <c r="E191" s="33" t="str">
        <f>CHOOSE(UserInterface!$C$22,#REF!,#REF!,#REF!,#REF!,#REF!,Scotland!E191,Southern!E191,#REF!)</f>
        <v>Re-opener_Resilience re-opener / Resilience Activity Re-opener</v>
      </c>
      <c r="F191" s="33" t="str">
        <f t="shared" ref="F191" si="125">F137</f>
        <v>SpC 3.3</v>
      </c>
      <c r="G191" s="33" t="s">
        <v>236</v>
      </c>
      <c r="H191" s="33" t="str">
        <f t="shared" ref="H191" si="126">H137</f>
        <v>RESREt</v>
      </c>
      <c r="AU191" s="139" t="b">
        <f>CHOOSE(UserInterface!$C$22,#REF!,#REF!,#REF!,#REF!,#REF!,Scotland!AU191,Southern!AU191,#REF!)</f>
        <v>0</v>
      </c>
      <c r="AV191" s="22" t="b">
        <f>CHOOSE(UserInterface!$C$22,#REF!,#REF!,#REF!,#REF!,#REF!,Scotland!AV191,Southern!AV191,#REF!)</f>
        <v>0</v>
      </c>
      <c r="AW191" s="24">
        <f>CHOOSE(UserInterface!$C$22,#REF!,#REF!,#REF!,#REF!,#REF!,Scotland!AW191,Southern!AW191,#REF!)</f>
        <v>2</v>
      </c>
      <c r="AX191"/>
      <c r="BA191" s="34" t="str">
        <f t="shared" ca="1" si="46"/>
        <v>LicenseeSelect</v>
      </c>
      <c r="BB191" s="34" t="str">
        <f t="shared" si="47"/>
        <v>Fixed Inputs</v>
      </c>
      <c r="BC191" s="34" t="str">
        <f t="shared" si="100"/>
        <v>Variant allowances</v>
      </c>
      <c r="BD191" s="34" t="str">
        <f t="shared" si="49"/>
        <v>Variant attributes</v>
      </c>
    </row>
    <row r="192" spans="5:56" x14ac:dyDescent="0.35">
      <c r="E192" s="33" t="str">
        <f>CHOOSE(UserInterface!$C$22,#REF!,#REF!,#REF!,#REF!,#REF!,Scotland!E192,Southern!E192,#REF!)</f>
        <v>Re-opener_Specified Streetworks Costs Re-opener</v>
      </c>
      <c r="F192" s="33" t="str">
        <f t="shared" ref="F192" si="127">F138</f>
        <v>SpC 3.17</v>
      </c>
      <c r="G192" s="33" t="s">
        <v>236</v>
      </c>
      <c r="H192" s="33" t="str">
        <f t="shared" ref="H192" si="128">H138</f>
        <v>STWt</v>
      </c>
      <c r="AU192" s="139" t="b">
        <f>CHOOSE(UserInterface!$C$22,#REF!,#REF!,#REF!,#REF!,#REF!,Scotland!AU192,Southern!AU192,#REF!)</f>
        <v>0</v>
      </c>
      <c r="AV192" s="22" t="b">
        <f>CHOOSE(UserInterface!$C$22,#REF!,#REF!,#REF!,#REF!,#REF!,Scotland!AV192,Southern!AV192,#REF!)</f>
        <v>0</v>
      </c>
      <c r="AW192" s="24">
        <f>CHOOSE(UserInterface!$C$22,#REF!,#REF!,#REF!,#REF!,#REF!,Scotland!AW192,Southern!AW192,#REF!)</f>
        <v>2</v>
      </c>
      <c r="AX192"/>
      <c r="BA192" s="34" t="str">
        <f t="shared" ca="1" si="46"/>
        <v>LicenseeSelect</v>
      </c>
      <c r="BB192" s="34" t="str">
        <f t="shared" si="47"/>
        <v>Fixed Inputs</v>
      </c>
      <c r="BC192" s="34" t="str">
        <f t="shared" si="100"/>
        <v>Variant allowances</v>
      </c>
      <c r="BD192" s="34" t="str">
        <f t="shared" si="49"/>
        <v>Variant attributes</v>
      </c>
    </row>
    <row r="193" spans="3:56" x14ac:dyDescent="0.35">
      <c r="E193" s="33" t="str">
        <f>CHOOSE(UserInterface!$C$22,#REF!,#REF!,#REF!,#REF!,#REF!,Scotland!E193,Southern!E193,#REF!)</f>
        <v>Re-opener_Physical Security Re-opener</v>
      </c>
      <c r="F193" s="33" t="str">
        <f t="shared" ref="F193" si="129">F139</f>
        <v>SpC 3.3</v>
      </c>
      <c r="G193" s="33" t="s">
        <v>236</v>
      </c>
      <c r="H193" s="33" t="str">
        <f t="shared" ref="H193" si="130">H139</f>
        <v>RESREt</v>
      </c>
      <c r="AU193" s="139" t="b">
        <f>CHOOSE(UserInterface!$C$22,#REF!,#REF!,#REF!,#REF!,#REF!,Scotland!AU193,Southern!AU193,#REF!)</f>
        <v>0</v>
      </c>
      <c r="AV193" s="22" t="b">
        <f>CHOOSE(UserInterface!$C$22,#REF!,#REF!,#REF!,#REF!,#REF!,Scotland!AV193,Southern!AV193,#REF!)</f>
        <v>0</v>
      </c>
      <c r="AW193" s="24">
        <f>CHOOSE(UserInterface!$C$22,#REF!,#REF!,#REF!,#REF!,#REF!,Scotland!AW193,Southern!AW193,#REF!)</f>
        <v>2</v>
      </c>
      <c r="AX193"/>
      <c r="BA193" s="34" t="str">
        <f t="shared" ca="1" si="46"/>
        <v>LicenseeSelect</v>
      </c>
      <c r="BB193" s="34" t="str">
        <f t="shared" si="47"/>
        <v>Fixed Inputs</v>
      </c>
      <c r="BC193" s="34" t="str">
        <f t="shared" si="100"/>
        <v>Variant allowances</v>
      </c>
      <c r="BD193" s="34" t="str">
        <f t="shared" si="49"/>
        <v>Variant attributes</v>
      </c>
    </row>
    <row r="194" spans="3:56" x14ac:dyDescent="0.35">
      <c r="E194" s="33" t="str">
        <f>CHOOSE(UserInterface!$C$22,#REF!,#REF!,#REF!,#REF!,#REF!,Scotland!E194,Southern!E194,#REF!)</f>
        <v>Re-opener_East Coast Hydrogen NZASP Re-Opener (EoE and NGN) / GD2/GD3 Crossover Adjustment</v>
      </c>
      <c r="F194" s="33" t="str">
        <f t="shared" ref="F194" si="131">F140</f>
        <v>SpC 3.32</v>
      </c>
      <c r="G194" s="33" t="s">
        <v>236</v>
      </c>
      <c r="H194" s="33" t="str">
        <f t="shared" ref="H194" si="132">H140</f>
        <v xml:space="preserve">GD2ACAt </v>
      </c>
      <c r="AU194" s="139" t="b">
        <f>CHOOSE(UserInterface!$C$22,#REF!,#REF!,#REF!,#REF!,#REF!,Scotland!AU194,Southern!AU194,#REF!)</f>
        <v>0</v>
      </c>
      <c r="AV194" s="22" t="b">
        <f>CHOOSE(UserInterface!$C$22,#REF!,#REF!,#REF!,#REF!,#REF!,Scotland!AV194,Southern!AV194,#REF!)</f>
        <v>0</v>
      </c>
      <c r="AW194" s="24">
        <f>CHOOSE(UserInterface!$C$22,#REF!,#REF!,#REF!,#REF!,#REF!,Scotland!AW194,Southern!AW194,#REF!)</f>
        <v>2</v>
      </c>
      <c r="AX194"/>
      <c r="BA194" s="34" t="str">
        <f t="shared" ca="1" si="46"/>
        <v>LicenseeSelect</v>
      </c>
      <c r="BB194" s="34" t="str">
        <f t="shared" si="47"/>
        <v>Fixed Inputs</v>
      </c>
      <c r="BC194" s="34" t="str">
        <f t="shared" si="100"/>
        <v>Variant allowances</v>
      </c>
      <c r="BD194" s="34" t="str">
        <f t="shared" si="49"/>
        <v>Variant attributes</v>
      </c>
    </row>
    <row r="195" spans="3:56" x14ac:dyDescent="0.35">
      <c r="E195" s="33" t="str">
        <f>CHOOSE(UserInterface!$C$22,#REF!,#REF!,#REF!,#REF!,#REF!,Scotland!E195,Southern!E195,#REF!)</f>
        <v>Re-opener_Complex Distributions Systems Re-opener</v>
      </c>
      <c r="F195" s="33" t="str">
        <f t="shared" ref="F195" si="133">F141</f>
        <v>SpC 3.22</v>
      </c>
      <c r="G195" s="33" t="s">
        <v>236</v>
      </c>
      <c r="H195" s="33" t="str">
        <f t="shared" ref="H195" si="134">H141</f>
        <v>CDSt</v>
      </c>
      <c r="AU195" s="139" t="b">
        <f>CHOOSE(UserInterface!$C$22,#REF!,#REF!,#REF!,#REF!,#REF!,Scotland!AU195,Southern!AU195,#REF!)</f>
        <v>0</v>
      </c>
      <c r="AV195" s="22" t="b">
        <f>CHOOSE(UserInterface!$C$22,#REF!,#REF!,#REF!,#REF!,#REF!,Scotland!AV195,Southern!AV195,#REF!)</f>
        <v>0</v>
      </c>
      <c r="AW195" s="24">
        <f>CHOOSE(UserInterface!$C$22,#REF!,#REF!,#REF!,#REF!,#REF!,Scotland!AW195,Southern!AW195,#REF!)</f>
        <v>2</v>
      </c>
      <c r="AX195"/>
      <c r="BA195" s="34" t="str">
        <f t="shared" ca="1" si="46"/>
        <v>LicenseeSelect</v>
      </c>
      <c r="BB195" s="34" t="str">
        <f t="shared" si="47"/>
        <v>Fixed Inputs</v>
      </c>
      <c r="BC195" s="34" t="str">
        <f t="shared" si="100"/>
        <v>Variant allowances</v>
      </c>
      <c r="BD195" s="34" t="str">
        <f t="shared" si="49"/>
        <v>Variant attributes</v>
      </c>
    </row>
    <row r="196" spans="3:56" x14ac:dyDescent="0.35">
      <c r="E196" s="33" t="str">
        <f>CHOOSE(UserInterface!$C$22,#REF!,#REF!,#REF!,#REF!,#REF!,Scotland!E196,Southern!E196,#REF!)</f>
        <v>Re-opener_Mandated Category 3 Security Re-opener</v>
      </c>
      <c r="F196" s="33">
        <f t="shared" ref="F196" si="135">F142</f>
        <v>0</v>
      </c>
      <c r="G196" s="33" t="s">
        <v>236</v>
      </c>
      <c r="H196" s="33">
        <f t="shared" ref="H196" si="136">H142</f>
        <v>0</v>
      </c>
      <c r="AU196" s="139" t="b">
        <f>CHOOSE(UserInterface!$C$22,#REF!,#REF!,#REF!,#REF!,#REF!,Scotland!AU196,Southern!AU196,#REF!)</f>
        <v>0</v>
      </c>
      <c r="AV196" s="22" t="b">
        <f>CHOOSE(UserInterface!$C$22,#REF!,#REF!,#REF!,#REF!,#REF!,Scotland!AV196,Southern!AV196,#REF!)</f>
        <v>0</v>
      </c>
      <c r="AW196" s="24">
        <f>CHOOSE(UserInterface!$C$22,#REF!,#REF!,#REF!,#REF!,#REF!,Scotland!AW196,Southern!AW196,#REF!)</f>
        <v>2</v>
      </c>
      <c r="AX196"/>
      <c r="BA196" s="34" t="str">
        <f t="shared" ca="1" si="46"/>
        <v>LicenseeSelect</v>
      </c>
      <c r="BB196" s="34" t="str">
        <f t="shared" si="47"/>
        <v>Fixed Inputs</v>
      </c>
      <c r="BC196" s="34" t="str">
        <f t="shared" si="100"/>
        <v>Variant allowances</v>
      </c>
      <c r="BD196" s="34" t="str">
        <f t="shared" si="49"/>
        <v>Variant attributes</v>
      </c>
    </row>
    <row r="197" spans="3:56" x14ac:dyDescent="0.35">
      <c r="E197" s="33" t="str">
        <f>CHOOSE(UserInterface!$C$22,#REF!,#REF!,#REF!,#REF!,#REF!,Scotland!E197,Southern!E197,#REF!)</f>
        <v>Re-opener_General Reinforcement</v>
      </c>
      <c r="F197" s="33">
        <f t="shared" ref="F197" si="137">F143</f>
        <v>0</v>
      </c>
      <c r="G197" s="33" t="s">
        <v>236</v>
      </c>
      <c r="H197" s="33">
        <f t="shared" ref="H197" si="138">H143</f>
        <v>0</v>
      </c>
      <c r="AU197" s="139" t="b">
        <f>CHOOSE(UserInterface!$C$22,#REF!,#REF!,#REF!,#REF!,#REF!,Scotland!AU197,Southern!AU197,#REF!)</f>
        <v>0</v>
      </c>
      <c r="AV197" s="22" t="b">
        <f>CHOOSE(UserInterface!$C$22,#REF!,#REF!,#REF!,#REF!,#REF!,Scotland!AV197,Southern!AV197,#REF!)</f>
        <v>0</v>
      </c>
      <c r="AW197" s="24">
        <f>CHOOSE(UserInterface!$C$22,#REF!,#REF!,#REF!,#REF!,#REF!,Scotland!AW197,Southern!AW197,#REF!)</f>
        <v>2</v>
      </c>
      <c r="AX197"/>
      <c r="BA197" s="34" t="str">
        <f t="shared" ca="1" si="46"/>
        <v>LicenseeSelect</v>
      </c>
      <c r="BB197" s="34" t="str">
        <f t="shared" si="47"/>
        <v>Fixed Inputs</v>
      </c>
      <c r="BC197" s="34" t="str">
        <f t="shared" si="100"/>
        <v>Variant allowances</v>
      </c>
      <c r="BD197" s="34" t="str">
        <f t="shared" si="49"/>
        <v>Variant attributes</v>
      </c>
    </row>
    <row r="198" spans="3:56" x14ac:dyDescent="0.35">
      <c r="E198" s="33" t="str">
        <f>CHOOSE(UserInterface!$C$22,#REF!,#REF!,#REF!,#REF!,#REF!,Scotland!E198,Southern!E198,#REF!)</f>
        <v>Spare 2</v>
      </c>
      <c r="F198" s="33">
        <f t="shared" ref="F198" si="139">F144</f>
        <v>0</v>
      </c>
      <c r="G198" s="33" t="s">
        <v>236</v>
      </c>
      <c r="H198" s="33">
        <f t="shared" ref="H198" si="140">H144</f>
        <v>0</v>
      </c>
      <c r="AU198" s="139" t="b">
        <f>CHOOSE(UserInterface!$C$22,#REF!,#REF!,#REF!,#REF!,#REF!,Scotland!AU198,Southern!AU198,#REF!)</f>
        <v>0</v>
      </c>
      <c r="AV198" s="22" t="b">
        <f>CHOOSE(UserInterface!$C$22,#REF!,#REF!,#REF!,#REF!,#REF!,Scotland!AV198,Southern!AV198,#REF!)</f>
        <v>0</v>
      </c>
      <c r="AW198" s="24">
        <f>CHOOSE(UserInterface!$C$22,#REF!,#REF!,#REF!,#REF!,#REF!,Scotland!AW198,Southern!AW198,#REF!)</f>
        <v>2</v>
      </c>
      <c r="AX198"/>
      <c r="BA198" s="34" t="str">
        <f t="shared" ca="1" si="46"/>
        <v>LicenseeSelect</v>
      </c>
      <c r="BB198" s="34" t="str">
        <f t="shared" si="47"/>
        <v>Fixed Inputs</v>
      </c>
      <c r="BC198" s="34" t="str">
        <f t="shared" si="100"/>
        <v>Variant allowances</v>
      </c>
      <c r="BD198" s="34" t="str">
        <f t="shared" si="49"/>
        <v>Variant attributes</v>
      </c>
    </row>
    <row r="199" spans="3:56" x14ac:dyDescent="0.35">
      <c r="E199" s="33" t="str">
        <f>CHOOSE(UserInterface!$C$22,#REF!,#REF!,#REF!,#REF!,#REF!,Scotland!E199,Southern!E199,#REF!)</f>
        <v>Spare 3</v>
      </c>
      <c r="F199" s="33">
        <f t="shared" ref="F199" si="141">F145</f>
        <v>0</v>
      </c>
      <c r="G199" s="33" t="s">
        <v>236</v>
      </c>
      <c r="H199" s="33">
        <f t="shared" ref="H199" si="142">H145</f>
        <v>0</v>
      </c>
      <c r="AU199" s="139" t="b">
        <f>CHOOSE(UserInterface!$C$22,#REF!,#REF!,#REF!,#REF!,#REF!,Scotland!AU199,Southern!AU199,#REF!)</f>
        <v>0</v>
      </c>
      <c r="AV199" s="22" t="b">
        <f>CHOOSE(UserInterface!$C$22,#REF!,#REF!,#REF!,#REF!,#REF!,Scotland!AV199,Southern!AV199,#REF!)</f>
        <v>0</v>
      </c>
      <c r="AW199" s="24">
        <f>CHOOSE(UserInterface!$C$22,#REF!,#REF!,#REF!,#REF!,#REF!,Scotland!AW199,Southern!AW199,#REF!)</f>
        <v>2</v>
      </c>
      <c r="AX199"/>
      <c r="BA199" s="34" t="str">
        <f t="shared" ca="1" si="46"/>
        <v>LicenseeSelect</v>
      </c>
      <c r="BB199" s="34" t="str">
        <f t="shared" si="47"/>
        <v>Fixed Inputs</v>
      </c>
      <c r="BC199" s="34" t="str">
        <f t="shared" si="100"/>
        <v>Variant allowances</v>
      </c>
      <c r="BD199" s="34" t="str">
        <f t="shared" si="49"/>
        <v>Variant attributes</v>
      </c>
    </row>
    <row r="200" spans="3:56" x14ac:dyDescent="0.35">
      <c r="E200" s="33" t="str">
        <f>CHOOSE(UserInterface!$C$22,#REF!,#REF!,#REF!,#REF!,#REF!,Scotland!E200,Southern!E200,#REF!)</f>
        <v>Spare 4</v>
      </c>
      <c r="F200" s="33">
        <f t="shared" ref="F200" si="143">F146</f>
        <v>0</v>
      </c>
      <c r="G200" s="33" t="s">
        <v>236</v>
      </c>
      <c r="H200" s="33">
        <f t="shared" ref="H200" si="144">H146</f>
        <v>0</v>
      </c>
      <c r="AU200" s="139" t="b">
        <f>CHOOSE(UserInterface!$C$22,#REF!,#REF!,#REF!,#REF!,#REF!,Scotland!AU200,Southern!AU200,#REF!)</f>
        <v>0</v>
      </c>
      <c r="AV200" s="22" t="b">
        <f>CHOOSE(UserInterface!$C$22,#REF!,#REF!,#REF!,#REF!,#REF!,Scotland!AV200,Southern!AV200,#REF!)</f>
        <v>0</v>
      </c>
      <c r="AW200" s="24">
        <f>CHOOSE(UserInterface!$C$22,#REF!,#REF!,#REF!,#REF!,#REF!,Scotland!AW200,Southern!AW200,#REF!)</f>
        <v>2</v>
      </c>
      <c r="AX200"/>
      <c r="BA200" s="34" t="str">
        <f t="shared" ca="1" si="46"/>
        <v>LicenseeSelect</v>
      </c>
      <c r="BB200" s="34" t="str">
        <f t="shared" si="47"/>
        <v>Fixed Inputs</v>
      </c>
      <c r="BC200" s="34" t="str">
        <f t="shared" si="100"/>
        <v>Variant allowances</v>
      </c>
      <c r="BD200" s="34" t="str">
        <f t="shared" si="49"/>
        <v>Variant attributes</v>
      </c>
    </row>
    <row r="201" spans="3:56" x14ac:dyDescent="0.35">
      <c r="E201" s="33" t="str">
        <f>CHOOSE(UserInterface!$C$22,#REF!,#REF!,#REF!,#REF!,#REF!,Scotland!E201,Southern!E201,#REF!)</f>
        <v>Spare 5</v>
      </c>
      <c r="F201" s="33">
        <f t="shared" ref="F201" si="145">F147</f>
        <v>0</v>
      </c>
      <c r="G201" s="33" t="s">
        <v>236</v>
      </c>
      <c r="H201" s="33">
        <f t="shared" ref="H201" si="146">H147</f>
        <v>0</v>
      </c>
      <c r="AU201" s="139" t="b">
        <f>CHOOSE(UserInterface!$C$22,#REF!,#REF!,#REF!,#REF!,#REF!,Scotland!AU201,Southern!AU201,#REF!)</f>
        <v>0</v>
      </c>
      <c r="AV201" s="22" t="b">
        <f>CHOOSE(UserInterface!$C$22,#REF!,#REF!,#REF!,#REF!,#REF!,Scotland!AV201,Southern!AV201,#REF!)</f>
        <v>0</v>
      </c>
      <c r="AW201" s="24">
        <f>CHOOSE(UserInterface!$C$22,#REF!,#REF!,#REF!,#REF!,#REF!,Scotland!AW201,Southern!AW201,#REF!)</f>
        <v>2</v>
      </c>
      <c r="AX201"/>
      <c r="BA201" s="34" t="str">
        <f t="shared" ca="1" si="46"/>
        <v>LicenseeSelect</v>
      </c>
      <c r="BB201" s="34" t="str">
        <f t="shared" si="47"/>
        <v>Fixed Inputs</v>
      </c>
      <c r="BC201" s="34" t="str">
        <f t="shared" si="100"/>
        <v>Variant allowances</v>
      </c>
      <c r="BD201" s="34" t="str">
        <f t="shared" si="49"/>
        <v>Variant attributes</v>
      </c>
    </row>
    <row r="202" spans="3:56" x14ac:dyDescent="0.35">
      <c r="E202" s="33" t="str">
        <f>CHOOSE(UserInterface!$C$22,#REF!,#REF!,#REF!,#REF!,#REF!,Scotland!E202,Southern!E202,#REF!)</f>
        <v>Spare 6</v>
      </c>
      <c r="F202" s="33">
        <f t="shared" ref="F202" si="147">F148</f>
        <v>0</v>
      </c>
      <c r="G202" s="33" t="s">
        <v>236</v>
      </c>
      <c r="H202" s="33">
        <f t="shared" ref="H202" si="148">H148</f>
        <v>0</v>
      </c>
      <c r="AU202" s="139" t="b">
        <f>CHOOSE(UserInterface!$C$22,#REF!,#REF!,#REF!,#REF!,#REF!,Scotland!AU202,Southern!AU202,#REF!)</f>
        <v>0</v>
      </c>
      <c r="AV202" s="22" t="b">
        <f>CHOOSE(UserInterface!$C$22,#REF!,#REF!,#REF!,#REF!,#REF!,Scotland!AV202,Southern!AV202,#REF!)</f>
        <v>0</v>
      </c>
      <c r="AW202" s="24">
        <f>CHOOSE(UserInterface!$C$22,#REF!,#REF!,#REF!,#REF!,#REF!,Scotland!AW202,Southern!AW202,#REF!)</f>
        <v>2</v>
      </c>
      <c r="AX202"/>
      <c r="BA202" s="34" t="str">
        <f t="shared" ca="1" si="46"/>
        <v>LicenseeSelect</v>
      </c>
      <c r="BB202" s="34" t="str">
        <f t="shared" si="47"/>
        <v>Fixed Inputs</v>
      </c>
      <c r="BC202" s="34" t="str">
        <f t="shared" si="100"/>
        <v>Variant allowances</v>
      </c>
      <c r="BD202" s="34" t="str">
        <f t="shared" si="49"/>
        <v>Variant attributes</v>
      </c>
    </row>
    <row r="203" spans="3:56" x14ac:dyDescent="0.35"/>
    <row r="204" spans="3:56" ht="16.5" thickBot="1" x14ac:dyDescent="0.4">
      <c r="C204" s="9" t="s">
        <v>167</v>
      </c>
    </row>
    <row r="205" spans="3:56" x14ac:dyDescent="0.35">
      <c r="E205" s="187" t="str" cm="1">
        <f t="array" ref="E205">INDEX($E$99:$E$202,INT((ROW()-ROW($E$205))/5)+1)</f>
        <v>PCD_Baseline Network Risk Output</v>
      </c>
      <c r="F205" s="188"/>
      <c r="G205" s="188" t="s">
        <v>109</v>
      </c>
      <c r="H205" s="188" t="s">
        <v>168</v>
      </c>
      <c r="I205" s="188"/>
      <c r="J205" s="188"/>
      <c r="K205" s="188"/>
      <c r="L205" s="188"/>
      <c r="M205" s="188"/>
      <c r="N205" s="188"/>
      <c r="O205" s="188"/>
      <c r="P205" s="188"/>
      <c r="Q205" s="188"/>
      <c r="R205" s="188"/>
      <c r="S205" s="188"/>
      <c r="T205" s="188"/>
      <c r="U205" s="188"/>
      <c r="V205" s="188"/>
      <c r="W205" s="188"/>
      <c r="X205" s="188"/>
      <c r="Y205" s="188"/>
      <c r="Z205" s="188"/>
      <c r="AA205" s="188"/>
      <c r="AB205" s="188"/>
      <c r="AC205" s="188"/>
      <c r="AD205" s="188"/>
      <c r="AE205" s="188"/>
      <c r="AF205" s="188"/>
      <c r="AG205" s="188"/>
      <c r="AH205" s="188"/>
      <c r="AI205" s="188"/>
      <c r="AJ205" s="188"/>
      <c r="AK205" s="188"/>
      <c r="AL205" s="188"/>
      <c r="AM205" s="188"/>
      <c r="AN205" s="188"/>
      <c r="AO205" s="188"/>
      <c r="AP205" s="188"/>
      <c r="AQ205" s="188"/>
      <c r="AR205" s="188"/>
      <c r="AS205" s="188"/>
      <c r="AT205" s="189"/>
      <c r="AU205" s="190">
        <f>CHOOSE(UserInterface!$C$22,#REF!,#REF!,#REF!,#REF!,#REF!,Scotland!AU205,Southern!AU205,#REF!)</f>
        <v>0</v>
      </c>
      <c r="AV205" s="191">
        <f>CHOOSE(UserInterface!$C$22,#REF!,#REF!,#REF!,#REF!,#REF!,Scotland!AV205,Southern!AV205,#REF!)</f>
        <v>0</v>
      </c>
      <c r="AW205" s="191">
        <f>CHOOSE(UserInterface!$C$22,#REF!,#REF!,#REF!,#REF!,#REF!,Scotland!AW205,Southern!AW205,#REF!)</f>
        <v>0</v>
      </c>
      <c r="AX205" s="191">
        <f>CHOOSE(UserInterface!$C$22,#REF!,#REF!,#REF!,#REF!,#REF!,Scotland!AX205,Southern!AX205,#REF!)</f>
        <v>0</v>
      </c>
      <c r="AY205" s="192">
        <f>CHOOSE(UserInterface!$C$22,#REF!,#REF!,#REF!,#REF!,#REF!,Scotland!AY205,Southern!AY205,#REF!)</f>
        <v>0</v>
      </c>
      <c r="BA205" s="34" t="str">
        <f t="shared" ref="BA205:BA454" ca="1" si="149">$A$1</f>
        <v>LicenseeSelect</v>
      </c>
      <c r="BB205" s="34" t="str">
        <f t="shared" ref="BB205:BB454" si="150">$A$150</f>
        <v>Fixed Inputs</v>
      </c>
      <c r="BC205" s="34" t="str">
        <f t="shared" ref="BC205:BC268" si="151">$B$151</f>
        <v>Variant allowances</v>
      </c>
      <c r="BD205" s="34" t="str">
        <f t="shared" ref="BD205:BD454" si="152">$C$204</f>
        <v>Totex variant allowances allocation percentages</v>
      </c>
    </row>
    <row r="206" spans="3:56" x14ac:dyDescent="0.35">
      <c r="E206" s="193" t="str" cm="1">
        <f t="array" ref="E206">INDEX($E$99:$E$202,INT((ROW()-ROW($E$205))/5)+1)</f>
        <v>PCD_Baseline Network Risk Output</v>
      </c>
      <c r="G206" s="33" t="s">
        <v>109</v>
      </c>
      <c r="H206" s="33" t="s">
        <v>169</v>
      </c>
      <c r="AT206" s="108"/>
      <c r="AU206" s="140">
        <f>CHOOSE(UserInterface!$C$22,#REF!,#REF!,#REF!,#REF!,#REF!,Scotland!AU206,Southern!AU206,#REF!)</f>
        <v>0.28212543924181549</v>
      </c>
      <c r="AV206" s="23">
        <f>CHOOSE(UserInterface!$C$22,#REF!,#REF!,#REF!,#REF!,#REF!,Scotland!AV206,Southern!AV206,#REF!)</f>
        <v>0.28212543924181549</v>
      </c>
      <c r="AW206" s="23">
        <f>CHOOSE(UserInterface!$C$22,#REF!,#REF!,#REF!,#REF!,#REF!,Scotland!AW206,Southern!AW206,#REF!)</f>
        <v>0.28212543924181549</v>
      </c>
      <c r="AX206" s="23">
        <f>CHOOSE(UserInterface!$C$22,#REF!,#REF!,#REF!,#REF!,#REF!,Scotland!AX206,Southern!AX206,#REF!)</f>
        <v>0.28212543924181549</v>
      </c>
      <c r="AY206" s="194">
        <f>CHOOSE(UserInterface!$C$22,#REF!,#REF!,#REF!,#REF!,#REF!,Scotland!AY206,Southern!AY206,#REF!)</f>
        <v>0.28212543924181549</v>
      </c>
      <c r="BA206" s="34" t="str">
        <f t="shared" ca="1" si="149"/>
        <v>LicenseeSelect</v>
      </c>
      <c r="BB206" s="34" t="str">
        <f t="shared" si="150"/>
        <v>Fixed Inputs</v>
      </c>
      <c r="BC206" s="34" t="str">
        <f t="shared" si="151"/>
        <v>Variant allowances</v>
      </c>
      <c r="BD206" s="34" t="str">
        <f t="shared" si="152"/>
        <v>Totex variant allowances allocation percentages</v>
      </c>
    </row>
    <row r="207" spans="3:56" x14ac:dyDescent="0.35">
      <c r="E207" s="193" t="str" cm="1">
        <f t="array" ref="E207">INDEX($E$99:$E$202,INT((ROW()-ROW($E$205))/5)+1)</f>
        <v>PCD_Baseline Network Risk Output</v>
      </c>
      <c r="G207" s="33" t="s">
        <v>109</v>
      </c>
      <c r="H207" s="33" t="s">
        <v>170</v>
      </c>
      <c r="AT207" s="108"/>
      <c r="AU207" s="140">
        <f>CHOOSE(UserInterface!$C$22,#REF!,#REF!,#REF!,#REF!,#REF!,Scotland!AU207,Southern!AU207,#REF!)</f>
        <v>0</v>
      </c>
      <c r="AV207" s="23">
        <f>CHOOSE(UserInterface!$C$22,#REF!,#REF!,#REF!,#REF!,#REF!,Scotland!AV207,Southern!AV207,#REF!)</f>
        <v>0</v>
      </c>
      <c r="AW207" s="23">
        <f>CHOOSE(UserInterface!$C$22,#REF!,#REF!,#REF!,#REF!,#REF!,Scotland!AW207,Southern!AW207,#REF!)</f>
        <v>0</v>
      </c>
      <c r="AX207" s="23">
        <f>CHOOSE(UserInterface!$C$22,#REF!,#REF!,#REF!,#REF!,#REF!,Scotland!AX207,Southern!AX207,#REF!)</f>
        <v>0</v>
      </c>
      <c r="AY207" s="194">
        <f>CHOOSE(UserInterface!$C$22,#REF!,#REF!,#REF!,#REF!,#REF!,Scotland!AY207,Southern!AY207,#REF!)</f>
        <v>0</v>
      </c>
      <c r="BA207" s="34" t="str">
        <f t="shared" ca="1" si="149"/>
        <v>LicenseeSelect</v>
      </c>
      <c r="BB207" s="34" t="str">
        <f t="shared" si="150"/>
        <v>Fixed Inputs</v>
      </c>
      <c r="BC207" s="34" t="str">
        <f t="shared" si="151"/>
        <v>Variant allowances</v>
      </c>
      <c r="BD207" s="34" t="str">
        <f t="shared" si="152"/>
        <v>Totex variant allowances allocation percentages</v>
      </c>
    </row>
    <row r="208" spans="3:56" x14ac:dyDescent="0.35">
      <c r="E208" s="193" t="str" cm="1">
        <f t="array" ref="E208">INDEX($E$99:$E$202,INT((ROW()-ROW($E$205))/5)+1)</f>
        <v>PCD_Baseline Network Risk Output</v>
      </c>
      <c r="G208" s="33" t="s">
        <v>109</v>
      </c>
      <c r="H208" s="33" t="s">
        <v>171</v>
      </c>
      <c r="AT208" s="108"/>
      <c r="AU208" s="140">
        <f>CHOOSE(UserInterface!$C$22,#REF!,#REF!,#REF!,#REF!,#REF!,Scotland!AU208,Southern!AU208,#REF!)</f>
        <v>0</v>
      </c>
      <c r="AV208" s="23">
        <f>CHOOSE(UserInterface!$C$22,#REF!,#REF!,#REF!,#REF!,#REF!,Scotland!AV208,Southern!AV208,#REF!)</f>
        <v>0</v>
      </c>
      <c r="AW208" s="23">
        <f>CHOOSE(UserInterface!$C$22,#REF!,#REF!,#REF!,#REF!,#REF!,Scotland!AW208,Southern!AW208,#REF!)</f>
        <v>0</v>
      </c>
      <c r="AX208" s="23">
        <f>CHOOSE(UserInterface!$C$22,#REF!,#REF!,#REF!,#REF!,#REF!,Scotland!AX208,Southern!AX208,#REF!)</f>
        <v>0</v>
      </c>
      <c r="AY208" s="194">
        <f>CHOOSE(UserInterface!$C$22,#REF!,#REF!,#REF!,#REF!,#REF!,Scotland!AY208,Southern!AY208,#REF!)</f>
        <v>0</v>
      </c>
      <c r="BA208" s="34" t="str">
        <f t="shared" ca="1" si="149"/>
        <v>LicenseeSelect</v>
      </c>
      <c r="BB208" s="34" t="str">
        <f t="shared" si="150"/>
        <v>Fixed Inputs</v>
      </c>
      <c r="BC208" s="34" t="str">
        <f t="shared" si="151"/>
        <v>Variant allowances</v>
      </c>
      <c r="BD208" s="34" t="str">
        <f t="shared" si="152"/>
        <v>Totex variant allowances allocation percentages</v>
      </c>
    </row>
    <row r="209" spans="5:56" x14ac:dyDescent="0.35">
      <c r="E209" s="195" t="str" cm="1">
        <f t="array" ref="E209">INDEX($E$99:$E$202,INT((ROW()-ROW($E$205))/5)+1)</f>
        <v>PCD_Baseline Network Risk Output</v>
      </c>
      <c r="F209" s="196"/>
      <c r="G209" s="196" t="s">
        <v>109</v>
      </c>
      <c r="H209" s="196" t="s">
        <v>172</v>
      </c>
      <c r="I209" s="196"/>
      <c r="J209" s="196"/>
      <c r="K209" s="196"/>
      <c r="L209" s="196"/>
      <c r="M209" s="196"/>
      <c r="N209" s="196"/>
      <c r="O209" s="196"/>
      <c r="P209" s="196"/>
      <c r="Q209" s="196"/>
      <c r="R209" s="196"/>
      <c r="S209" s="196"/>
      <c r="T209" s="196"/>
      <c r="U209" s="196"/>
      <c r="V209" s="196"/>
      <c r="W209" s="196"/>
      <c r="X209" s="196"/>
      <c r="Y209" s="196"/>
      <c r="Z209" s="196"/>
      <c r="AA209" s="196"/>
      <c r="AB209" s="196"/>
      <c r="AC209" s="196"/>
      <c r="AD209" s="196"/>
      <c r="AE209" s="196"/>
      <c r="AF209" s="196"/>
      <c r="AG209" s="196"/>
      <c r="AH209" s="196"/>
      <c r="AI209" s="196"/>
      <c r="AJ209" s="196"/>
      <c r="AK209" s="196"/>
      <c r="AL209" s="196"/>
      <c r="AM209" s="196"/>
      <c r="AN209" s="196"/>
      <c r="AO209" s="196"/>
      <c r="AP209" s="196"/>
      <c r="AQ209" s="196"/>
      <c r="AR209" s="196"/>
      <c r="AS209" s="196"/>
      <c r="AT209" s="197"/>
      <c r="AU209" s="198">
        <f>CHOOSE(UserInterface!$C$22,#REF!,#REF!,#REF!,#REF!,#REF!,Scotland!AU209,Southern!AU209,#REF!)</f>
        <v>0.71787456075818457</v>
      </c>
      <c r="AV209" s="199">
        <f>CHOOSE(UserInterface!$C$22,#REF!,#REF!,#REF!,#REF!,#REF!,Scotland!AV209,Southern!AV209,#REF!)</f>
        <v>0.71787456075818457</v>
      </c>
      <c r="AW209" s="199">
        <f>CHOOSE(UserInterface!$C$22,#REF!,#REF!,#REF!,#REF!,#REF!,Scotland!AW209,Southern!AW209,#REF!)</f>
        <v>0.71787456075818457</v>
      </c>
      <c r="AX209" s="199">
        <f>CHOOSE(UserInterface!$C$22,#REF!,#REF!,#REF!,#REF!,#REF!,Scotland!AX209,Southern!AX209,#REF!)</f>
        <v>0.71787456075818457</v>
      </c>
      <c r="AY209" s="200">
        <f>CHOOSE(UserInterface!$C$22,#REF!,#REF!,#REF!,#REF!,#REF!,Scotland!AY209,Southern!AY209,#REF!)</f>
        <v>0.71787456075818457</v>
      </c>
      <c r="BA209" s="34" t="str">
        <f t="shared" ca="1" si="149"/>
        <v>LicenseeSelect</v>
      </c>
      <c r="BB209" s="34" t="str">
        <f t="shared" si="150"/>
        <v>Fixed Inputs</v>
      </c>
      <c r="BC209" s="34" t="str">
        <f t="shared" si="151"/>
        <v>Variant allowances</v>
      </c>
      <c r="BD209" s="34" t="str">
        <f t="shared" si="152"/>
        <v>Totex variant allowances allocation percentages</v>
      </c>
    </row>
    <row r="210" spans="5:56" x14ac:dyDescent="0.35">
      <c r="E210" s="187" t="str" cm="1">
        <f t="array" ref="E210">INDEX($E$99:$E$202,INT((ROW()-ROW($E$205))/5)+1)</f>
        <v>PCD_Cyber PCDs</v>
      </c>
      <c r="F210" s="188"/>
      <c r="G210" s="188" t="s">
        <v>109</v>
      </c>
      <c r="H210" s="188" t="s">
        <v>168</v>
      </c>
      <c r="I210" s="188"/>
      <c r="J210" s="188"/>
      <c r="K210" s="188"/>
      <c r="L210" s="188"/>
      <c r="M210" s="188"/>
      <c r="N210" s="188"/>
      <c r="O210" s="188"/>
      <c r="P210" s="188"/>
      <c r="Q210" s="188"/>
      <c r="R210" s="188"/>
      <c r="S210" s="188"/>
      <c r="T210" s="188"/>
      <c r="U210" s="188"/>
      <c r="V210" s="188"/>
      <c r="W210" s="188"/>
      <c r="X210" s="188"/>
      <c r="Y210" s="188"/>
      <c r="Z210" s="188"/>
      <c r="AA210" s="188"/>
      <c r="AB210" s="188"/>
      <c r="AC210" s="188"/>
      <c r="AD210" s="188"/>
      <c r="AE210" s="188"/>
      <c r="AF210" s="188"/>
      <c r="AG210" s="188"/>
      <c r="AH210" s="188"/>
      <c r="AI210" s="188"/>
      <c r="AJ210" s="188"/>
      <c r="AK210" s="188"/>
      <c r="AL210" s="188"/>
      <c r="AM210" s="188"/>
      <c r="AN210" s="188"/>
      <c r="AO210" s="188"/>
      <c r="AP210" s="188"/>
      <c r="AQ210" s="188"/>
      <c r="AR210" s="188"/>
      <c r="AS210" s="188"/>
      <c r="AT210" s="189"/>
      <c r="AU210" s="190">
        <f>CHOOSE(UserInterface!$C$22,#REF!,#REF!,#REF!,#REF!,#REF!,Scotland!AU210,Southern!AU210,#REF!)</f>
        <v>0</v>
      </c>
      <c r="AV210" s="191">
        <f>CHOOSE(UserInterface!$C$22,#REF!,#REF!,#REF!,#REF!,#REF!,Scotland!AV210,Southern!AV210,#REF!)</f>
        <v>0</v>
      </c>
      <c r="AW210" s="191">
        <f>CHOOSE(UserInterface!$C$22,#REF!,#REF!,#REF!,#REF!,#REF!,Scotland!AW210,Southern!AW210,#REF!)</f>
        <v>0</v>
      </c>
      <c r="AX210" s="191">
        <f>CHOOSE(UserInterface!$C$22,#REF!,#REF!,#REF!,#REF!,#REF!,Scotland!AX210,Southern!AX210,#REF!)</f>
        <v>0</v>
      </c>
      <c r="AY210" s="192">
        <f>CHOOSE(UserInterface!$C$22,#REF!,#REF!,#REF!,#REF!,#REF!,Scotland!AY210,Southern!AY210,#REF!)</f>
        <v>0</v>
      </c>
      <c r="BA210" s="34" t="str">
        <f t="shared" ca="1" si="149"/>
        <v>LicenseeSelect</v>
      </c>
      <c r="BB210" s="34" t="str">
        <f t="shared" si="150"/>
        <v>Fixed Inputs</v>
      </c>
      <c r="BC210" s="34" t="str">
        <f t="shared" si="151"/>
        <v>Variant allowances</v>
      </c>
      <c r="BD210" s="34" t="str">
        <f t="shared" si="152"/>
        <v>Totex variant allowances allocation percentages</v>
      </c>
    </row>
    <row r="211" spans="5:56" x14ac:dyDescent="0.35">
      <c r="E211" s="193" t="str" cm="1">
        <f t="array" ref="E211">INDEX($E$99:$E$202,INT((ROW()-ROW($E$205))/5)+1)</f>
        <v>PCD_Cyber PCDs</v>
      </c>
      <c r="G211" s="33" t="s">
        <v>109</v>
      </c>
      <c r="H211" s="33" t="s">
        <v>169</v>
      </c>
      <c r="AT211" s="108"/>
      <c r="AU211" s="140">
        <f>CHOOSE(UserInterface!$C$22,#REF!,#REF!,#REF!,#REF!,#REF!,Scotland!AU211,Southern!AU211,#REF!)</f>
        <v>0.282008718503301</v>
      </c>
      <c r="AV211" s="23">
        <f>CHOOSE(UserInterface!$C$22,#REF!,#REF!,#REF!,#REF!,#REF!,Scotland!AV211,Southern!AV211,#REF!)</f>
        <v>0.282008718503301</v>
      </c>
      <c r="AW211" s="23">
        <f>CHOOSE(UserInterface!$C$22,#REF!,#REF!,#REF!,#REF!,#REF!,Scotland!AW211,Southern!AW211,#REF!)</f>
        <v>0.282008718503301</v>
      </c>
      <c r="AX211" s="23">
        <f>CHOOSE(UserInterface!$C$22,#REF!,#REF!,#REF!,#REF!,#REF!,Scotland!AX211,Southern!AX211,#REF!)</f>
        <v>0.282008718503301</v>
      </c>
      <c r="AY211" s="194">
        <f>CHOOSE(UserInterface!$C$22,#REF!,#REF!,#REF!,#REF!,#REF!,Scotland!AY211,Southern!AY211,#REF!)</f>
        <v>0.282008718503301</v>
      </c>
      <c r="BA211" s="34" t="str">
        <f t="shared" ca="1" si="149"/>
        <v>LicenseeSelect</v>
      </c>
      <c r="BB211" s="34" t="str">
        <f t="shared" si="150"/>
        <v>Fixed Inputs</v>
      </c>
      <c r="BC211" s="34" t="str">
        <f t="shared" si="151"/>
        <v>Variant allowances</v>
      </c>
      <c r="BD211" s="34" t="str">
        <f t="shared" si="152"/>
        <v>Totex variant allowances allocation percentages</v>
      </c>
    </row>
    <row r="212" spans="5:56" x14ac:dyDescent="0.35">
      <c r="E212" s="193" t="str" cm="1">
        <f t="array" ref="E212">INDEX($E$99:$E$202,INT((ROW()-ROW($E$205))/5)+1)</f>
        <v>PCD_Cyber PCDs</v>
      </c>
      <c r="G212" s="33" t="s">
        <v>109</v>
      </c>
      <c r="H212" s="33" t="s">
        <v>170</v>
      </c>
      <c r="AT212" s="108"/>
      <c r="AU212" s="140">
        <f>CHOOSE(UserInterface!$C$22,#REF!,#REF!,#REF!,#REF!,#REF!,Scotland!AU212,Southern!AU212,#REF!)</f>
        <v>0.717991281496699</v>
      </c>
      <c r="AV212" s="23">
        <f>CHOOSE(UserInterface!$C$22,#REF!,#REF!,#REF!,#REF!,#REF!,Scotland!AV212,Southern!AV212,#REF!)</f>
        <v>0.717991281496699</v>
      </c>
      <c r="AW212" s="23">
        <f>CHOOSE(UserInterface!$C$22,#REF!,#REF!,#REF!,#REF!,#REF!,Scotland!AW212,Southern!AW212,#REF!)</f>
        <v>0.717991281496699</v>
      </c>
      <c r="AX212" s="23">
        <f>CHOOSE(UserInterface!$C$22,#REF!,#REF!,#REF!,#REF!,#REF!,Scotland!AX212,Southern!AX212,#REF!)</f>
        <v>0.717991281496699</v>
      </c>
      <c r="AY212" s="194">
        <f>CHOOSE(UserInterface!$C$22,#REF!,#REF!,#REF!,#REF!,#REF!,Scotland!AY212,Southern!AY212,#REF!)</f>
        <v>0.717991281496699</v>
      </c>
      <c r="BA212" s="34" t="str">
        <f t="shared" ca="1" si="149"/>
        <v>LicenseeSelect</v>
      </c>
      <c r="BB212" s="34" t="str">
        <f t="shared" si="150"/>
        <v>Fixed Inputs</v>
      </c>
      <c r="BC212" s="34" t="str">
        <f t="shared" si="151"/>
        <v>Variant allowances</v>
      </c>
      <c r="BD212" s="34" t="str">
        <f t="shared" si="152"/>
        <v>Totex variant allowances allocation percentages</v>
      </c>
    </row>
    <row r="213" spans="5:56" x14ac:dyDescent="0.35">
      <c r="E213" s="193" t="str" cm="1">
        <f t="array" ref="E213">INDEX($E$99:$E$202,INT((ROW()-ROW($E$205))/5)+1)</f>
        <v>PCD_Cyber PCDs</v>
      </c>
      <c r="G213" s="33" t="s">
        <v>109</v>
      </c>
      <c r="H213" s="33" t="s">
        <v>171</v>
      </c>
      <c r="AT213" s="108"/>
      <c r="AU213" s="140">
        <f>CHOOSE(UserInterface!$C$22,#REF!,#REF!,#REF!,#REF!,#REF!,Scotland!AU213,Southern!AU213,#REF!)</f>
        <v>0</v>
      </c>
      <c r="AV213" s="23">
        <f>CHOOSE(UserInterface!$C$22,#REF!,#REF!,#REF!,#REF!,#REF!,Scotland!AV213,Southern!AV213,#REF!)</f>
        <v>0</v>
      </c>
      <c r="AW213" s="23">
        <f>CHOOSE(UserInterface!$C$22,#REF!,#REF!,#REF!,#REF!,#REF!,Scotland!AW213,Southern!AW213,#REF!)</f>
        <v>0</v>
      </c>
      <c r="AX213" s="23">
        <f>CHOOSE(UserInterface!$C$22,#REF!,#REF!,#REF!,#REF!,#REF!,Scotland!AX213,Southern!AX213,#REF!)</f>
        <v>0</v>
      </c>
      <c r="AY213" s="194">
        <f>CHOOSE(UserInterface!$C$22,#REF!,#REF!,#REF!,#REF!,#REF!,Scotland!AY213,Southern!AY213,#REF!)</f>
        <v>0</v>
      </c>
      <c r="BA213" s="34" t="str">
        <f t="shared" ca="1" si="149"/>
        <v>LicenseeSelect</v>
      </c>
      <c r="BB213" s="34" t="str">
        <f t="shared" si="150"/>
        <v>Fixed Inputs</v>
      </c>
      <c r="BC213" s="34" t="str">
        <f t="shared" si="151"/>
        <v>Variant allowances</v>
      </c>
      <c r="BD213" s="34" t="str">
        <f t="shared" si="152"/>
        <v>Totex variant allowances allocation percentages</v>
      </c>
    </row>
    <row r="214" spans="5:56" x14ac:dyDescent="0.35">
      <c r="E214" s="195" t="str" cm="1">
        <f t="array" ref="E214">INDEX($E$99:$E$202,INT((ROW()-ROW($E$205))/5)+1)</f>
        <v>PCD_Cyber PCDs</v>
      </c>
      <c r="F214" s="196"/>
      <c r="G214" s="196" t="s">
        <v>109</v>
      </c>
      <c r="H214" s="196" t="s">
        <v>172</v>
      </c>
      <c r="I214" s="196"/>
      <c r="J214" s="196"/>
      <c r="K214" s="196"/>
      <c r="L214" s="196"/>
      <c r="M214" s="196"/>
      <c r="N214" s="196"/>
      <c r="O214" s="196"/>
      <c r="P214" s="196"/>
      <c r="Q214" s="196"/>
      <c r="R214" s="196"/>
      <c r="S214" s="196"/>
      <c r="T214" s="196"/>
      <c r="U214" s="196"/>
      <c r="V214" s="196"/>
      <c r="W214" s="196"/>
      <c r="X214" s="196"/>
      <c r="Y214" s="196"/>
      <c r="Z214" s="196"/>
      <c r="AA214" s="196"/>
      <c r="AB214" s="196"/>
      <c r="AC214" s="196"/>
      <c r="AD214" s="196"/>
      <c r="AE214" s="196"/>
      <c r="AF214" s="196"/>
      <c r="AG214" s="196"/>
      <c r="AH214" s="196"/>
      <c r="AI214" s="196"/>
      <c r="AJ214" s="196"/>
      <c r="AK214" s="196"/>
      <c r="AL214" s="196"/>
      <c r="AM214" s="196"/>
      <c r="AN214" s="196"/>
      <c r="AO214" s="196"/>
      <c r="AP214" s="196"/>
      <c r="AQ214" s="196"/>
      <c r="AR214" s="196"/>
      <c r="AS214" s="196"/>
      <c r="AT214" s="197"/>
      <c r="AU214" s="198">
        <f>CHOOSE(UserInterface!$C$22,#REF!,#REF!,#REF!,#REF!,#REF!,Scotland!AU214,Southern!AU214,#REF!)</f>
        <v>0</v>
      </c>
      <c r="AV214" s="199">
        <f>CHOOSE(UserInterface!$C$22,#REF!,#REF!,#REF!,#REF!,#REF!,Scotland!AV214,Southern!AV214,#REF!)</f>
        <v>0</v>
      </c>
      <c r="AW214" s="199">
        <f>CHOOSE(UserInterface!$C$22,#REF!,#REF!,#REF!,#REF!,#REF!,Scotland!AW214,Southern!AW214,#REF!)</f>
        <v>0</v>
      </c>
      <c r="AX214" s="199">
        <f>CHOOSE(UserInterface!$C$22,#REF!,#REF!,#REF!,#REF!,#REF!,Scotland!AX214,Southern!AX214,#REF!)</f>
        <v>0</v>
      </c>
      <c r="AY214" s="200">
        <f>CHOOSE(UserInterface!$C$22,#REF!,#REF!,#REF!,#REF!,#REF!,Scotland!AY214,Southern!AY214,#REF!)</f>
        <v>0</v>
      </c>
      <c r="BA214" s="34" t="str">
        <f t="shared" ca="1" si="149"/>
        <v>LicenseeSelect</v>
      </c>
      <c r="BB214" s="34" t="str">
        <f t="shared" si="150"/>
        <v>Fixed Inputs</v>
      </c>
      <c r="BC214" s="34" t="str">
        <f t="shared" si="151"/>
        <v>Variant allowances</v>
      </c>
      <c r="BD214" s="34" t="str">
        <f t="shared" si="152"/>
        <v>Totex variant allowances allocation percentages</v>
      </c>
    </row>
    <row r="215" spans="5:56" x14ac:dyDescent="0.35">
      <c r="E215" s="187" t="str" cm="1">
        <f t="array" ref="E215">INDEX($E$99:$E$202,INT((ROW()-ROW($E$205))/5)+1)</f>
        <v>PCD_Flow Weighted Average Calorific Value Compliance (Cadent_all) / FWACV Compliance (Cadent_all)</v>
      </c>
      <c r="F215" s="188"/>
      <c r="G215" s="188" t="s">
        <v>109</v>
      </c>
      <c r="H215" s="188" t="s">
        <v>168</v>
      </c>
      <c r="I215" s="188"/>
      <c r="J215" s="188"/>
      <c r="K215" s="188"/>
      <c r="L215" s="188"/>
      <c r="M215" s="188"/>
      <c r="N215" s="188"/>
      <c r="O215" s="188"/>
      <c r="P215" s="188"/>
      <c r="Q215" s="188"/>
      <c r="R215" s="188"/>
      <c r="S215" s="188"/>
      <c r="T215" s="188"/>
      <c r="U215" s="188"/>
      <c r="V215" s="188"/>
      <c r="W215" s="188"/>
      <c r="X215" s="188"/>
      <c r="Y215" s="188"/>
      <c r="Z215" s="188"/>
      <c r="AA215" s="188"/>
      <c r="AB215" s="188"/>
      <c r="AC215" s="188"/>
      <c r="AD215" s="188"/>
      <c r="AE215" s="188"/>
      <c r="AF215" s="188"/>
      <c r="AG215" s="188"/>
      <c r="AH215" s="188"/>
      <c r="AI215" s="188"/>
      <c r="AJ215" s="188"/>
      <c r="AK215" s="188"/>
      <c r="AL215" s="188"/>
      <c r="AM215" s="188"/>
      <c r="AN215" s="188"/>
      <c r="AO215" s="188"/>
      <c r="AP215" s="188"/>
      <c r="AQ215" s="188"/>
      <c r="AR215" s="188"/>
      <c r="AS215" s="188"/>
      <c r="AT215" s="189"/>
      <c r="AU215" s="190">
        <f>CHOOSE(UserInterface!$C$22,#REF!,#REF!,#REF!,#REF!,#REF!,Scotland!AU215,Southern!AU215,#REF!)</f>
        <v>0</v>
      </c>
      <c r="AV215" s="191">
        <f>CHOOSE(UserInterface!$C$22,#REF!,#REF!,#REF!,#REF!,#REF!,Scotland!AV215,Southern!AV215,#REF!)</f>
        <v>0</v>
      </c>
      <c r="AW215" s="191">
        <f>CHOOSE(UserInterface!$C$22,#REF!,#REF!,#REF!,#REF!,#REF!,Scotland!AW215,Southern!AW215,#REF!)</f>
        <v>0</v>
      </c>
      <c r="AX215" s="191">
        <f>CHOOSE(UserInterface!$C$22,#REF!,#REF!,#REF!,#REF!,#REF!,Scotland!AX215,Southern!AX215,#REF!)</f>
        <v>0</v>
      </c>
      <c r="AY215" s="192">
        <f>CHOOSE(UserInterface!$C$22,#REF!,#REF!,#REF!,#REF!,#REF!,Scotland!AY215,Southern!AY215,#REF!)</f>
        <v>0</v>
      </c>
      <c r="BA215" s="34" t="str">
        <f t="shared" ca="1" si="149"/>
        <v>LicenseeSelect</v>
      </c>
      <c r="BB215" s="34" t="str">
        <f t="shared" si="150"/>
        <v>Fixed Inputs</v>
      </c>
      <c r="BC215" s="34" t="str">
        <f t="shared" si="151"/>
        <v>Variant allowances</v>
      </c>
      <c r="BD215" s="34" t="str">
        <f t="shared" si="152"/>
        <v>Totex variant allowances allocation percentages</v>
      </c>
    </row>
    <row r="216" spans="5:56" x14ac:dyDescent="0.35">
      <c r="E216" s="193" t="str" cm="1">
        <f t="array" ref="E216">INDEX($E$99:$E$202,INT((ROW()-ROW($E$205))/5)+1)</f>
        <v>PCD_Flow Weighted Average Calorific Value Compliance (Cadent_all) / FWACV Compliance (Cadent_all)</v>
      </c>
      <c r="G216" s="33" t="s">
        <v>109</v>
      </c>
      <c r="H216" s="33" t="s">
        <v>169</v>
      </c>
      <c r="AT216" s="108"/>
      <c r="AU216" s="140">
        <f>CHOOSE(UserInterface!$C$22,#REF!,#REF!,#REF!,#REF!,#REF!,Scotland!AU216,Southern!AU216,#REF!)</f>
        <v>1</v>
      </c>
      <c r="AV216" s="23">
        <f>CHOOSE(UserInterface!$C$22,#REF!,#REF!,#REF!,#REF!,#REF!,Scotland!AV216,Southern!AV216,#REF!)</f>
        <v>1</v>
      </c>
      <c r="AW216" s="23">
        <f>CHOOSE(UserInterface!$C$22,#REF!,#REF!,#REF!,#REF!,#REF!,Scotland!AW216,Southern!AW216,#REF!)</f>
        <v>1</v>
      </c>
      <c r="AX216" s="23">
        <f>CHOOSE(UserInterface!$C$22,#REF!,#REF!,#REF!,#REF!,#REF!,Scotland!AX216,Southern!AX216,#REF!)</f>
        <v>1</v>
      </c>
      <c r="AY216" s="194">
        <f>CHOOSE(UserInterface!$C$22,#REF!,#REF!,#REF!,#REF!,#REF!,Scotland!AY216,Southern!AY216,#REF!)</f>
        <v>1</v>
      </c>
      <c r="BA216" s="34" t="str">
        <f t="shared" ca="1" si="149"/>
        <v>LicenseeSelect</v>
      </c>
      <c r="BB216" s="34" t="str">
        <f t="shared" si="150"/>
        <v>Fixed Inputs</v>
      </c>
      <c r="BC216" s="34" t="str">
        <f t="shared" si="151"/>
        <v>Variant allowances</v>
      </c>
      <c r="BD216" s="34" t="str">
        <f t="shared" si="152"/>
        <v>Totex variant allowances allocation percentages</v>
      </c>
    </row>
    <row r="217" spans="5:56" x14ac:dyDescent="0.35">
      <c r="E217" s="193" t="str" cm="1">
        <f t="array" ref="E217">INDEX($E$99:$E$202,INT((ROW()-ROW($E$205))/5)+1)</f>
        <v>PCD_Flow Weighted Average Calorific Value Compliance (Cadent_all) / FWACV Compliance (Cadent_all)</v>
      </c>
      <c r="G217" s="33" t="s">
        <v>109</v>
      </c>
      <c r="H217" s="33" t="s">
        <v>170</v>
      </c>
      <c r="AT217" s="108"/>
      <c r="AU217" s="140">
        <f>CHOOSE(UserInterface!$C$22,#REF!,#REF!,#REF!,#REF!,#REF!,Scotland!AU217,Southern!AU217,#REF!)</f>
        <v>0</v>
      </c>
      <c r="AV217" s="23">
        <f>CHOOSE(UserInterface!$C$22,#REF!,#REF!,#REF!,#REF!,#REF!,Scotland!AV217,Southern!AV217,#REF!)</f>
        <v>0</v>
      </c>
      <c r="AW217" s="23">
        <f>CHOOSE(UserInterface!$C$22,#REF!,#REF!,#REF!,#REF!,#REF!,Scotland!AW217,Southern!AW217,#REF!)</f>
        <v>0</v>
      </c>
      <c r="AX217" s="23">
        <f>CHOOSE(UserInterface!$C$22,#REF!,#REF!,#REF!,#REF!,#REF!,Scotland!AX217,Southern!AX217,#REF!)</f>
        <v>0</v>
      </c>
      <c r="AY217" s="194">
        <f>CHOOSE(UserInterface!$C$22,#REF!,#REF!,#REF!,#REF!,#REF!,Scotland!AY217,Southern!AY217,#REF!)</f>
        <v>0</v>
      </c>
      <c r="BA217" s="34" t="str">
        <f t="shared" ca="1" si="149"/>
        <v>LicenseeSelect</v>
      </c>
      <c r="BB217" s="34" t="str">
        <f t="shared" si="150"/>
        <v>Fixed Inputs</v>
      </c>
      <c r="BC217" s="34" t="str">
        <f t="shared" si="151"/>
        <v>Variant allowances</v>
      </c>
      <c r="BD217" s="34" t="str">
        <f t="shared" si="152"/>
        <v>Totex variant allowances allocation percentages</v>
      </c>
    </row>
    <row r="218" spans="5:56" x14ac:dyDescent="0.35">
      <c r="E218" s="193" t="str" cm="1">
        <f t="array" ref="E218">INDEX($E$99:$E$202,INT((ROW()-ROW($E$205))/5)+1)</f>
        <v>PCD_Flow Weighted Average Calorific Value Compliance (Cadent_all) / FWACV Compliance (Cadent_all)</v>
      </c>
      <c r="G218" s="33" t="s">
        <v>109</v>
      </c>
      <c r="H218" s="33" t="s">
        <v>171</v>
      </c>
      <c r="AT218" s="108"/>
      <c r="AU218" s="140">
        <f>CHOOSE(UserInterface!$C$22,#REF!,#REF!,#REF!,#REF!,#REF!,Scotland!AU218,Southern!AU218,#REF!)</f>
        <v>0</v>
      </c>
      <c r="AV218" s="23">
        <f>CHOOSE(UserInterface!$C$22,#REF!,#REF!,#REF!,#REF!,#REF!,Scotland!AV218,Southern!AV218,#REF!)</f>
        <v>0</v>
      </c>
      <c r="AW218" s="23">
        <f>CHOOSE(UserInterface!$C$22,#REF!,#REF!,#REF!,#REF!,#REF!,Scotland!AW218,Southern!AW218,#REF!)</f>
        <v>0</v>
      </c>
      <c r="AX218" s="23">
        <f>CHOOSE(UserInterface!$C$22,#REF!,#REF!,#REF!,#REF!,#REF!,Scotland!AX218,Southern!AX218,#REF!)</f>
        <v>0</v>
      </c>
      <c r="AY218" s="194">
        <f>CHOOSE(UserInterface!$C$22,#REF!,#REF!,#REF!,#REF!,#REF!,Scotland!AY218,Southern!AY218,#REF!)</f>
        <v>0</v>
      </c>
      <c r="BA218" s="34" t="str">
        <f t="shared" ca="1" si="149"/>
        <v>LicenseeSelect</v>
      </c>
      <c r="BB218" s="34" t="str">
        <f t="shared" si="150"/>
        <v>Fixed Inputs</v>
      </c>
      <c r="BC218" s="34" t="str">
        <f t="shared" si="151"/>
        <v>Variant allowances</v>
      </c>
      <c r="BD218" s="34" t="str">
        <f t="shared" si="152"/>
        <v>Totex variant allowances allocation percentages</v>
      </c>
    </row>
    <row r="219" spans="5:56" x14ac:dyDescent="0.35">
      <c r="E219" s="195" t="str" cm="1">
        <f t="array" ref="E219">INDEX($E$99:$E$202,INT((ROW()-ROW($E$205))/5)+1)</f>
        <v>PCD_Flow Weighted Average Calorific Value Compliance (Cadent_all) / FWACV Compliance (Cadent_all)</v>
      </c>
      <c r="F219" s="196"/>
      <c r="G219" s="196" t="s">
        <v>109</v>
      </c>
      <c r="H219" s="196" t="s">
        <v>172</v>
      </c>
      <c r="I219" s="196"/>
      <c r="J219" s="196"/>
      <c r="K219" s="196"/>
      <c r="L219" s="196"/>
      <c r="M219" s="196"/>
      <c r="N219" s="196"/>
      <c r="O219" s="196"/>
      <c r="P219" s="196"/>
      <c r="Q219" s="196"/>
      <c r="R219" s="196"/>
      <c r="S219" s="196"/>
      <c r="T219" s="196"/>
      <c r="U219" s="196"/>
      <c r="V219" s="196"/>
      <c r="W219" s="196"/>
      <c r="X219" s="196"/>
      <c r="Y219" s="196"/>
      <c r="Z219" s="196"/>
      <c r="AA219" s="196"/>
      <c r="AB219" s="196"/>
      <c r="AC219" s="196"/>
      <c r="AD219" s="196"/>
      <c r="AE219" s="196"/>
      <c r="AF219" s="196"/>
      <c r="AG219" s="196"/>
      <c r="AH219" s="196"/>
      <c r="AI219" s="196"/>
      <c r="AJ219" s="196"/>
      <c r="AK219" s="196"/>
      <c r="AL219" s="196"/>
      <c r="AM219" s="196"/>
      <c r="AN219" s="196"/>
      <c r="AO219" s="196"/>
      <c r="AP219" s="196"/>
      <c r="AQ219" s="196"/>
      <c r="AR219" s="196"/>
      <c r="AS219" s="196"/>
      <c r="AT219" s="197"/>
      <c r="AU219" s="198">
        <f>CHOOSE(UserInterface!$C$22,#REF!,#REF!,#REF!,#REF!,#REF!,Scotland!AU219,Southern!AU219,#REF!)</f>
        <v>0</v>
      </c>
      <c r="AV219" s="199">
        <f>CHOOSE(UserInterface!$C$22,#REF!,#REF!,#REF!,#REF!,#REF!,Scotland!AV219,Southern!AV219,#REF!)</f>
        <v>0</v>
      </c>
      <c r="AW219" s="199">
        <f>CHOOSE(UserInterface!$C$22,#REF!,#REF!,#REF!,#REF!,#REF!,Scotland!AW219,Southern!AW219,#REF!)</f>
        <v>0</v>
      </c>
      <c r="AX219" s="199">
        <f>CHOOSE(UserInterface!$C$22,#REF!,#REF!,#REF!,#REF!,#REF!,Scotland!AX219,Southern!AX219,#REF!)</f>
        <v>0</v>
      </c>
      <c r="AY219" s="200">
        <f>CHOOSE(UserInterface!$C$22,#REF!,#REF!,#REF!,#REF!,#REF!,Scotland!AY219,Southern!AY219,#REF!)</f>
        <v>0</v>
      </c>
      <c r="BA219" s="34" t="str">
        <f t="shared" ca="1" si="149"/>
        <v>LicenseeSelect</v>
      </c>
      <c r="BB219" s="34" t="str">
        <f t="shared" si="150"/>
        <v>Fixed Inputs</v>
      </c>
      <c r="BC219" s="34" t="str">
        <f t="shared" si="151"/>
        <v>Variant allowances</v>
      </c>
      <c r="BD219" s="34" t="str">
        <f t="shared" si="152"/>
        <v>Totex variant allowances allocation percentages</v>
      </c>
    </row>
    <row r="220" spans="5:56" x14ac:dyDescent="0.35">
      <c r="E220" s="187" t="str" cm="1">
        <f t="array" ref="E220">INDEX($E$99:$E$202,INT((ROW()-ROW($E$205))/5)+1)</f>
        <v>PCD_Grays medium pressure (Cadent_Lon)</v>
      </c>
      <c r="F220" s="188"/>
      <c r="G220" s="188" t="s">
        <v>109</v>
      </c>
      <c r="H220" s="188" t="s">
        <v>168</v>
      </c>
      <c r="I220" s="188"/>
      <c r="J220" s="188"/>
      <c r="K220" s="188"/>
      <c r="L220" s="188"/>
      <c r="M220" s="188"/>
      <c r="N220" s="188"/>
      <c r="O220" s="188"/>
      <c r="P220" s="188"/>
      <c r="Q220" s="188"/>
      <c r="R220" s="188"/>
      <c r="S220" s="188"/>
      <c r="T220" s="188"/>
      <c r="U220" s="188"/>
      <c r="V220" s="188"/>
      <c r="W220" s="188"/>
      <c r="X220" s="188"/>
      <c r="Y220" s="188"/>
      <c r="Z220" s="188"/>
      <c r="AA220" s="188"/>
      <c r="AB220" s="188"/>
      <c r="AC220" s="188"/>
      <c r="AD220" s="188"/>
      <c r="AE220" s="188"/>
      <c r="AF220" s="188"/>
      <c r="AG220" s="188"/>
      <c r="AH220" s="188"/>
      <c r="AI220" s="188"/>
      <c r="AJ220" s="188"/>
      <c r="AK220" s="188"/>
      <c r="AL220" s="188"/>
      <c r="AM220" s="188"/>
      <c r="AN220" s="188"/>
      <c r="AO220" s="188"/>
      <c r="AP220" s="188"/>
      <c r="AQ220" s="188"/>
      <c r="AR220" s="188"/>
      <c r="AS220" s="188"/>
      <c r="AT220" s="189"/>
      <c r="AU220" s="190">
        <f>CHOOSE(UserInterface!$C$22,#REF!,#REF!,#REF!,#REF!,#REF!,Scotland!AU220,Southern!AU220,#REF!)</f>
        <v>0</v>
      </c>
      <c r="AV220" s="191">
        <f>CHOOSE(UserInterface!$C$22,#REF!,#REF!,#REF!,#REF!,#REF!,Scotland!AV220,Southern!AV220,#REF!)</f>
        <v>0</v>
      </c>
      <c r="AW220" s="191">
        <f>CHOOSE(UserInterface!$C$22,#REF!,#REF!,#REF!,#REF!,#REF!,Scotland!AW220,Southern!AW220,#REF!)</f>
        <v>0</v>
      </c>
      <c r="AX220" s="191">
        <f>CHOOSE(UserInterface!$C$22,#REF!,#REF!,#REF!,#REF!,#REF!,Scotland!AX220,Southern!AX220,#REF!)</f>
        <v>0</v>
      </c>
      <c r="AY220" s="192">
        <f>CHOOSE(UserInterface!$C$22,#REF!,#REF!,#REF!,#REF!,#REF!,Scotland!AY220,Southern!AY220,#REF!)</f>
        <v>0</v>
      </c>
      <c r="BA220" s="34" t="str">
        <f t="shared" ca="1" si="149"/>
        <v>LicenseeSelect</v>
      </c>
      <c r="BB220" s="34" t="str">
        <f t="shared" si="150"/>
        <v>Fixed Inputs</v>
      </c>
      <c r="BC220" s="34" t="str">
        <f t="shared" si="151"/>
        <v>Variant allowances</v>
      </c>
      <c r="BD220" s="34" t="str">
        <f t="shared" si="152"/>
        <v>Totex variant allowances allocation percentages</v>
      </c>
    </row>
    <row r="221" spans="5:56" x14ac:dyDescent="0.35">
      <c r="E221" s="193" t="str" cm="1">
        <f t="array" ref="E221">INDEX($E$99:$E$202,INT((ROW()-ROW($E$205))/5)+1)</f>
        <v>PCD_Grays medium pressure (Cadent_Lon)</v>
      </c>
      <c r="G221" s="33" t="s">
        <v>109</v>
      </c>
      <c r="H221" s="33" t="s">
        <v>169</v>
      </c>
      <c r="AT221" s="108"/>
      <c r="AU221" s="140">
        <f>CHOOSE(UserInterface!$C$22,#REF!,#REF!,#REF!,#REF!,#REF!,Scotland!AU221,Southern!AU221,#REF!)</f>
        <v>6.3919869632148518E-2</v>
      </c>
      <c r="AV221" s="23">
        <f>CHOOSE(UserInterface!$C$22,#REF!,#REF!,#REF!,#REF!,#REF!,Scotland!AV221,Southern!AV221,#REF!)</f>
        <v>6.3919869632148518E-2</v>
      </c>
      <c r="AW221" s="23">
        <f>CHOOSE(UserInterface!$C$22,#REF!,#REF!,#REF!,#REF!,#REF!,Scotland!AW221,Southern!AW221,#REF!)</f>
        <v>6.3919869632148518E-2</v>
      </c>
      <c r="AX221" s="23">
        <f>CHOOSE(UserInterface!$C$22,#REF!,#REF!,#REF!,#REF!,#REF!,Scotland!AX221,Southern!AX221,#REF!)</f>
        <v>6.3919869632148518E-2</v>
      </c>
      <c r="AY221" s="194">
        <f>CHOOSE(UserInterface!$C$22,#REF!,#REF!,#REF!,#REF!,#REF!,Scotland!AY221,Southern!AY221,#REF!)</f>
        <v>6.3919869632148518E-2</v>
      </c>
      <c r="BA221" s="34" t="str">
        <f t="shared" ref="BA221:BA270" ca="1" si="153">$A$1</f>
        <v>LicenseeSelect</v>
      </c>
      <c r="BB221" s="34" t="str">
        <f t="shared" ref="BB221:BB270" si="154">$A$150</f>
        <v>Fixed Inputs</v>
      </c>
      <c r="BC221" s="34" t="str">
        <f t="shared" si="151"/>
        <v>Variant allowances</v>
      </c>
      <c r="BD221" s="34" t="str">
        <f t="shared" si="152"/>
        <v>Totex variant allowances allocation percentages</v>
      </c>
    </row>
    <row r="222" spans="5:56" x14ac:dyDescent="0.35">
      <c r="E222" s="193" t="str" cm="1">
        <f t="array" ref="E222">INDEX($E$99:$E$202,INT((ROW()-ROW($E$205))/5)+1)</f>
        <v>PCD_Grays medium pressure (Cadent_Lon)</v>
      </c>
      <c r="G222" s="33" t="s">
        <v>109</v>
      </c>
      <c r="H222" s="33" t="s">
        <v>170</v>
      </c>
      <c r="AT222" s="108"/>
      <c r="AU222" s="140">
        <f>CHOOSE(UserInterface!$C$22,#REF!,#REF!,#REF!,#REF!,#REF!,Scotland!AU222,Southern!AU222,#REF!)</f>
        <v>0</v>
      </c>
      <c r="AV222" s="23">
        <f>CHOOSE(UserInterface!$C$22,#REF!,#REF!,#REF!,#REF!,#REF!,Scotland!AV222,Southern!AV222,#REF!)</f>
        <v>0</v>
      </c>
      <c r="AW222" s="23">
        <f>CHOOSE(UserInterface!$C$22,#REF!,#REF!,#REF!,#REF!,#REF!,Scotland!AW222,Southern!AW222,#REF!)</f>
        <v>0</v>
      </c>
      <c r="AX222" s="23">
        <f>CHOOSE(UserInterface!$C$22,#REF!,#REF!,#REF!,#REF!,#REF!,Scotland!AX222,Southern!AX222,#REF!)</f>
        <v>0</v>
      </c>
      <c r="AY222" s="194">
        <f>CHOOSE(UserInterface!$C$22,#REF!,#REF!,#REF!,#REF!,#REF!,Scotland!AY222,Southern!AY222,#REF!)</f>
        <v>0</v>
      </c>
      <c r="BA222" s="34" t="str">
        <f t="shared" ca="1" si="153"/>
        <v>LicenseeSelect</v>
      </c>
      <c r="BB222" s="34" t="str">
        <f t="shared" si="154"/>
        <v>Fixed Inputs</v>
      </c>
      <c r="BC222" s="34" t="str">
        <f t="shared" si="151"/>
        <v>Variant allowances</v>
      </c>
      <c r="BD222" s="34" t="str">
        <f t="shared" si="152"/>
        <v>Totex variant allowances allocation percentages</v>
      </c>
    </row>
    <row r="223" spans="5:56" x14ac:dyDescent="0.35">
      <c r="E223" s="193" t="str" cm="1">
        <f t="array" ref="E223">INDEX($E$99:$E$202,INT((ROW()-ROW($E$205))/5)+1)</f>
        <v>PCD_Grays medium pressure (Cadent_Lon)</v>
      </c>
      <c r="G223" s="33" t="s">
        <v>109</v>
      </c>
      <c r="H223" s="33" t="s">
        <v>171</v>
      </c>
      <c r="AT223" s="108"/>
      <c r="AU223" s="140">
        <f>CHOOSE(UserInterface!$C$22,#REF!,#REF!,#REF!,#REF!,#REF!,Scotland!AU223,Southern!AU223,#REF!)</f>
        <v>0</v>
      </c>
      <c r="AV223" s="23">
        <f>CHOOSE(UserInterface!$C$22,#REF!,#REF!,#REF!,#REF!,#REF!,Scotland!AV223,Southern!AV223,#REF!)</f>
        <v>0</v>
      </c>
      <c r="AW223" s="23">
        <f>CHOOSE(UserInterface!$C$22,#REF!,#REF!,#REF!,#REF!,#REF!,Scotland!AW223,Southern!AW223,#REF!)</f>
        <v>0</v>
      </c>
      <c r="AX223" s="23">
        <f>CHOOSE(UserInterface!$C$22,#REF!,#REF!,#REF!,#REF!,#REF!,Scotland!AX223,Southern!AX223,#REF!)</f>
        <v>0</v>
      </c>
      <c r="AY223" s="194">
        <f>CHOOSE(UserInterface!$C$22,#REF!,#REF!,#REF!,#REF!,#REF!,Scotland!AY223,Southern!AY223,#REF!)</f>
        <v>0</v>
      </c>
      <c r="BA223" s="34" t="str">
        <f t="shared" ca="1" si="153"/>
        <v>LicenseeSelect</v>
      </c>
      <c r="BB223" s="34" t="str">
        <f t="shared" si="154"/>
        <v>Fixed Inputs</v>
      </c>
      <c r="BC223" s="34" t="str">
        <f t="shared" si="151"/>
        <v>Variant allowances</v>
      </c>
      <c r="BD223" s="34" t="str">
        <f t="shared" si="152"/>
        <v>Totex variant allowances allocation percentages</v>
      </c>
    </row>
    <row r="224" spans="5:56" x14ac:dyDescent="0.35">
      <c r="E224" s="195" t="str" cm="1">
        <f t="array" ref="E224">INDEX($E$99:$E$202,INT((ROW()-ROW($E$205))/5)+1)</f>
        <v>PCD_Grays medium pressure (Cadent_Lon)</v>
      </c>
      <c r="F224" s="196"/>
      <c r="G224" s="196" t="s">
        <v>109</v>
      </c>
      <c r="H224" s="196" t="s">
        <v>172</v>
      </c>
      <c r="I224" s="196"/>
      <c r="J224" s="196"/>
      <c r="K224" s="196"/>
      <c r="L224" s="196"/>
      <c r="M224" s="196"/>
      <c r="N224" s="196"/>
      <c r="O224" s="196"/>
      <c r="P224" s="196"/>
      <c r="Q224" s="196"/>
      <c r="R224" s="196"/>
      <c r="S224" s="196"/>
      <c r="T224" s="196"/>
      <c r="U224" s="196"/>
      <c r="V224" s="196"/>
      <c r="W224" s="196"/>
      <c r="X224" s="196"/>
      <c r="Y224" s="196"/>
      <c r="Z224" s="196"/>
      <c r="AA224" s="196"/>
      <c r="AB224" s="196"/>
      <c r="AC224" s="196"/>
      <c r="AD224" s="196"/>
      <c r="AE224" s="196"/>
      <c r="AF224" s="196"/>
      <c r="AG224" s="196"/>
      <c r="AH224" s="196"/>
      <c r="AI224" s="196"/>
      <c r="AJ224" s="196"/>
      <c r="AK224" s="196"/>
      <c r="AL224" s="196"/>
      <c r="AM224" s="196"/>
      <c r="AN224" s="196"/>
      <c r="AO224" s="196"/>
      <c r="AP224" s="196"/>
      <c r="AQ224" s="196"/>
      <c r="AR224" s="196"/>
      <c r="AS224" s="196"/>
      <c r="AT224" s="197"/>
      <c r="AU224" s="198">
        <f>CHOOSE(UserInterface!$C$22,#REF!,#REF!,#REF!,#REF!,#REF!,Scotland!AU224,Southern!AU224,#REF!)</f>
        <v>0.93608013036785143</v>
      </c>
      <c r="AV224" s="199">
        <f>CHOOSE(UserInterface!$C$22,#REF!,#REF!,#REF!,#REF!,#REF!,Scotland!AV224,Southern!AV224,#REF!)</f>
        <v>0.93608013036785143</v>
      </c>
      <c r="AW224" s="199">
        <f>CHOOSE(UserInterface!$C$22,#REF!,#REF!,#REF!,#REF!,#REF!,Scotland!AW224,Southern!AW224,#REF!)</f>
        <v>0.93608013036785143</v>
      </c>
      <c r="AX224" s="199">
        <f>CHOOSE(UserInterface!$C$22,#REF!,#REF!,#REF!,#REF!,#REF!,Scotland!AX224,Southern!AX224,#REF!)</f>
        <v>0.93608013036785143</v>
      </c>
      <c r="AY224" s="200">
        <f>CHOOSE(UserInterface!$C$22,#REF!,#REF!,#REF!,#REF!,#REF!,Scotland!AY224,Southern!AY224,#REF!)</f>
        <v>0.93608013036785143</v>
      </c>
      <c r="BA224" s="34" t="str">
        <f t="shared" ca="1" si="153"/>
        <v>LicenseeSelect</v>
      </c>
      <c r="BB224" s="34" t="str">
        <f t="shared" si="154"/>
        <v>Fixed Inputs</v>
      </c>
      <c r="BC224" s="34" t="str">
        <f t="shared" si="151"/>
        <v>Variant allowances</v>
      </c>
      <c r="BD224" s="34" t="str">
        <f t="shared" si="152"/>
        <v>Totex variant allowances allocation percentages</v>
      </c>
    </row>
    <row r="225" spans="5:56" x14ac:dyDescent="0.35">
      <c r="E225" s="187" t="str" cm="1">
        <f t="array" ref="E225">INDEX($E$99:$E$202,INT((ROW()-ROW($E$205))/5)+1)</f>
        <v>PCD_Welling PRS - Full Site Rebuild  (SGN_So) / Full site and system rebuilds PCD (SGN)</v>
      </c>
      <c r="F225" s="188"/>
      <c r="G225" s="188" t="s">
        <v>109</v>
      </c>
      <c r="H225" s="188" t="s">
        <v>168</v>
      </c>
      <c r="I225" s="188"/>
      <c r="J225" s="188"/>
      <c r="K225" s="188"/>
      <c r="L225" s="188"/>
      <c r="M225" s="188"/>
      <c r="N225" s="188"/>
      <c r="O225" s="188"/>
      <c r="P225" s="188"/>
      <c r="Q225" s="188"/>
      <c r="R225" s="188"/>
      <c r="S225" s="188"/>
      <c r="T225" s="188"/>
      <c r="U225" s="188"/>
      <c r="V225" s="188"/>
      <c r="W225" s="188"/>
      <c r="X225" s="188"/>
      <c r="Y225" s="188"/>
      <c r="Z225" s="188"/>
      <c r="AA225" s="188"/>
      <c r="AB225" s="188"/>
      <c r="AC225" s="188"/>
      <c r="AD225" s="188"/>
      <c r="AE225" s="188"/>
      <c r="AF225" s="188"/>
      <c r="AG225" s="188"/>
      <c r="AH225" s="188"/>
      <c r="AI225" s="188"/>
      <c r="AJ225" s="188"/>
      <c r="AK225" s="188"/>
      <c r="AL225" s="188"/>
      <c r="AM225" s="188"/>
      <c r="AN225" s="188"/>
      <c r="AO225" s="188"/>
      <c r="AP225" s="188"/>
      <c r="AQ225" s="188"/>
      <c r="AR225" s="188"/>
      <c r="AS225" s="188"/>
      <c r="AT225" s="189"/>
      <c r="AU225" s="190">
        <f>CHOOSE(UserInterface!$C$22,#REF!,#REF!,#REF!,#REF!,#REF!,Scotland!AU225,Southern!AU225,#REF!)</f>
        <v>0</v>
      </c>
      <c r="AV225" s="191">
        <f>CHOOSE(UserInterface!$C$22,#REF!,#REF!,#REF!,#REF!,#REF!,Scotland!AV225,Southern!AV225,#REF!)</f>
        <v>0</v>
      </c>
      <c r="AW225" s="191">
        <f>CHOOSE(UserInterface!$C$22,#REF!,#REF!,#REF!,#REF!,#REF!,Scotland!AW225,Southern!AW225,#REF!)</f>
        <v>0</v>
      </c>
      <c r="AX225" s="191">
        <f>CHOOSE(UserInterface!$C$22,#REF!,#REF!,#REF!,#REF!,#REF!,Scotland!AX225,Southern!AX225,#REF!)</f>
        <v>0</v>
      </c>
      <c r="AY225" s="192">
        <f>CHOOSE(UserInterface!$C$22,#REF!,#REF!,#REF!,#REF!,#REF!,Scotland!AY225,Southern!AY225,#REF!)</f>
        <v>0</v>
      </c>
      <c r="BA225" s="34" t="str">
        <f t="shared" ca="1" si="153"/>
        <v>LicenseeSelect</v>
      </c>
      <c r="BB225" s="34" t="str">
        <f t="shared" si="154"/>
        <v>Fixed Inputs</v>
      </c>
      <c r="BC225" s="34" t="str">
        <f t="shared" si="151"/>
        <v>Variant allowances</v>
      </c>
      <c r="BD225" s="34" t="str">
        <f t="shared" si="152"/>
        <v>Totex variant allowances allocation percentages</v>
      </c>
    </row>
    <row r="226" spans="5:56" x14ac:dyDescent="0.35">
      <c r="E226" s="193" t="str" cm="1">
        <f t="array" ref="E226">INDEX($E$99:$E$202,INT((ROW()-ROW($E$205))/5)+1)</f>
        <v>PCD_Welling PRS - Full Site Rebuild  (SGN_So) / Full site and system rebuilds PCD (SGN)</v>
      </c>
      <c r="G226" s="33" t="s">
        <v>109</v>
      </c>
      <c r="H226" s="33" t="s">
        <v>169</v>
      </c>
      <c r="AT226" s="108"/>
      <c r="AU226" s="140">
        <f>CHOOSE(UserInterface!$C$22,#REF!,#REF!,#REF!,#REF!,#REF!,Scotland!AU226,Southern!AU226,#REF!)</f>
        <v>1</v>
      </c>
      <c r="AV226" s="23">
        <f>CHOOSE(UserInterface!$C$22,#REF!,#REF!,#REF!,#REF!,#REF!,Scotland!AV226,Southern!AV226,#REF!)</f>
        <v>1</v>
      </c>
      <c r="AW226" s="23">
        <f>CHOOSE(UserInterface!$C$22,#REF!,#REF!,#REF!,#REF!,#REF!,Scotland!AW226,Southern!AW226,#REF!)</f>
        <v>1</v>
      </c>
      <c r="AX226" s="23">
        <f>CHOOSE(UserInterface!$C$22,#REF!,#REF!,#REF!,#REF!,#REF!,Scotland!AX226,Southern!AX226,#REF!)</f>
        <v>1</v>
      </c>
      <c r="AY226" s="194">
        <f>CHOOSE(UserInterface!$C$22,#REF!,#REF!,#REF!,#REF!,#REF!,Scotland!AY226,Southern!AY226,#REF!)</f>
        <v>1</v>
      </c>
      <c r="BA226" s="34" t="str">
        <f t="shared" ca="1" si="153"/>
        <v>LicenseeSelect</v>
      </c>
      <c r="BB226" s="34" t="str">
        <f t="shared" si="154"/>
        <v>Fixed Inputs</v>
      </c>
      <c r="BC226" s="34" t="str">
        <f t="shared" si="151"/>
        <v>Variant allowances</v>
      </c>
      <c r="BD226" s="34" t="str">
        <f t="shared" si="152"/>
        <v>Totex variant allowances allocation percentages</v>
      </c>
    </row>
    <row r="227" spans="5:56" x14ac:dyDescent="0.35">
      <c r="E227" s="193" t="str" cm="1">
        <f t="array" ref="E227">INDEX($E$99:$E$202,INT((ROW()-ROW($E$205))/5)+1)</f>
        <v>PCD_Welling PRS - Full Site Rebuild  (SGN_So) / Full site and system rebuilds PCD (SGN)</v>
      </c>
      <c r="G227" s="33" t="s">
        <v>109</v>
      </c>
      <c r="H227" s="33" t="s">
        <v>170</v>
      </c>
      <c r="AT227" s="108"/>
      <c r="AU227" s="140">
        <f>CHOOSE(UserInterface!$C$22,#REF!,#REF!,#REF!,#REF!,#REF!,Scotland!AU227,Southern!AU227,#REF!)</f>
        <v>0</v>
      </c>
      <c r="AV227" s="23">
        <f>CHOOSE(UserInterface!$C$22,#REF!,#REF!,#REF!,#REF!,#REF!,Scotland!AV227,Southern!AV227,#REF!)</f>
        <v>0</v>
      </c>
      <c r="AW227" s="23">
        <f>CHOOSE(UserInterface!$C$22,#REF!,#REF!,#REF!,#REF!,#REF!,Scotland!AW227,Southern!AW227,#REF!)</f>
        <v>0</v>
      </c>
      <c r="AX227" s="23">
        <f>CHOOSE(UserInterface!$C$22,#REF!,#REF!,#REF!,#REF!,#REF!,Scotland!AX227,Southern!AX227,#REF!)</f>
        <v>0</v>
      </c>
      <c r="AY227" s="194">
        <f>CHOOSE(UserInterface!$C$22,#REF!,#REF!,#REF!,#REF!,#REF!,Scotland!AY227,Southern!AY227,#REF!)</f>
        <v>0</v>
      </c>
      <c r="BA227" s="34" t="str">
        <f t="shared" ca="1" si="153"/>
        <v>LicenseeSelect</v>
      </c>
      <c r="BB227" s="34" t="str">
        <f t="shared" si="154"/>
        <v>Fixed Inputs</v>
      </c>
      <c r="BC227" s="34" t="str">
        <f t="shared" si="151"/>
        <v>Variant allowances</v>
      </c>
      <c r="BD227" s="34" t="str">
        <f t="shared" si="152"/>
        <v>Totex variant allowances allocation percentages</v>
      </c>
    </row>
    <row r="228" spans="5:56" x14ac:dyDescent="0.35">
      <c r="E228" s="193" t="str" cm="1">
        <f t="array" ref="E228">INDEX($E$99:$E$202,INT((ROW()-ROW($E$205))/5)+1)</f>
        <v>PCD_Welling PRS - Full Site Rebuild  (SGN_So) / Full site and system rebuilds PCD (SGN)</v>
      </c>
      <c r="G228" s="33" t="s">
        <v>109</v>
      </c>
      <c r="H228" s="33" t="s">
        <v>171</v>
      </c>
      <c r="AT228" s="108"/>
      <c r="AU228" s="140">
        <f>CHOOSE(UserInterface!$C$22,#REF!,#REF!,#REF!,#REF!,#REF!,Scotland!AU228,Southern!AU228,#REF!)</f>
        <v>0</v>
      </c>
      <c r="AV228" s="23">
        <f>CHOOSE(UserInterface!$C$22,#REF!,#REF!,#REF!,#REF!,#REF!,Scotland!AV228,Southern!AV228,#REF!)</f>
        <v>0</v>
      </c>
      <c r="AW228" s="23">
        <f>CHOOSE(UserInterface!$C$22,#REF!,#REF!,#REF!,#REF!,#REF!,Scotland!AW228,Southern!AW228,#REF!)</f>
        <v>0</v>
      </c>
      <c r="AX228" s="23">
        <f>CHOOSE(UserInterface!$C$22,#REF!,#REF!,#REF!,#REF!,#REF!,Scotland!AX228,Southern!AX228,#REF!)</f>
        <v>0</v>
      </c>
      <c r="AY228" s="194">
        <f>CHOOSE(UserInterface!$C$22,#REF!,#REF!,#REF!,#REF!,#REF!,Scotland!AY228,Southern!AY228,#REF!)</f>
        <v>0</v>
      </c>
      <c r="BA228" s="34" t="str">
        <f t="shared" ca="1" si="153"/>
        <v>LicenseeSelect</v>
      </c>
      <c r="BB228" s="34" t="str">
        <f t="shared" si="154"/>
        <v>Fixed Inputs</v>
      </c>
      <c r="BC228" s="34" t="str">
        <f t="shared" si="151"/>
        <v>Variant allowances</v>
      </c>
      <c r="BD228" s="34" t="str">
        <f t="shared" si="152"/>
        <v>Totex variant allowances allocation percentages</v>
      </c>
    </row>
    <row r="229" spans="5:56" x14ac:dyDescent="0.35">
      <c r="E229" s="195" t="str" cm="1">
        <f t="array" ref="E229">INDEX($E$99:$E$202,INT((ROW()-ROW($E$205))/5)+1)</f>
        <v>PCD_Welling PRS - Full Site Rebuild  (SGN_So) / Full site and system rebuilds PCD (SGN)</v>
      </c>
      <c r="F229" s="196"/>
      <c r="G229" s="196" t="s">
        <v>109</v>
      </c>
      <c r="H229" s="196" t="s">
        <v>172</v>
      </c>
      <c r="I229" s="196"/>
      <c r="J229" s="196"/>
      <c r="K229" s="196"/>
      <c r="L229" s="196"/>
      <c r="M229" s="196"/>
      <c r="N229" s="196"/>
      <c r="O229" s="196"/>
      <c r="P229" s="196"/>
      <c r="Q229" s="196"/>
      <c r="R229" s="196"/>
      <c r="S229" s="196"/>
      <c r="T229" s="196"/>
      <c r="U229" s="196"/>
      <c r="V229" s="196"/>
      <c r="W229" s="196"/>
      <c r="X229" s="196"/>
      <c r="Y229" s="196"/>
      <c r="Z229" s="196"/>
      <c r="AA229" s="196"/>
      <c r="AB229" s="196"/>
      <c r="AC229" s="196"/>
      <c r="AD229" s="196"/>
      <c r="AE229" s="196"/>
      <c r="AF229" s="196"/>
      <c r="AG229" s="196"/>
      <c r="AH229" s="196"/>
      <c r="AI229" s="196"/>
      <c r="AJ229" s="196"/>
      <c r="AK229" s="196"/>
      <c r="AL229" s="196"/>
      <c r="AM229" s="196"/>
      <c r="AN229" s="196"/>
      <c r="AO229" s="196"/>
      <c r="AP229" s="196"/>
      <c r="AQ229" s="196"/>
      <c r="AR229" s="196"/>
      <c r="AS229" s="196"/>
      <c r="AT229" s="197"/>
      <c r="AU229" s="198">
        <f>CHOOSE(UserInterface!$C$22,#REF!,#REF!,#REF!,#REF!,#REF!,Scotland!AU229,Southern!AU229,#REF!)</f>
        <v>0</v>
      </c>
      <c r="AV229" s="199">
        <f>CHOOSE(UserInterface!$C$22,#REF!,#REF!,#REF!,#REF!,#REF!,Scotland!AV229,Southern!AV229,#REF!)</f>
        <v>0</v>
      </c>
      <c r="AW229" s="199">
        <f>CHOOSE(UserInterface!$C$22,#REF!,#REF!,#REF!,#REF!,#REF!,Scotland!AW229,Southern!AW229,#REF!)</f>
        <v>0</v>
      </c>
      <c r="AX229" s="199">
        <f>CHOOSE(UserInterface!$C$22,#REF!,#REF!,#REF!,#REF!,#REF!,Scotland!AX229,Southern!AX229,#REF!)</f>
        <v>0</v>
      </c>
      <c r="AY229" s="200">
        <f>CHOOSE(UserInterface!$C$22,#REF!,#REF!,#REF!,#REF!,#REF!,Scotland!AY229,Southern!AY229,#REF!)</f>
        <v>0</v>
      </c>
      <c r="BA229" s="34" t="str">
        <f t="shared" ca="1" si="153"/>
        <v>LicenseeSelect</v>
      </c>
      <c r="BB229" s="34" t="str">
        <f t="shared" si="154"/>
        <v>Fixed Inputs</v>
      </c>
      <c r="BC229" s="34" t="str">
        <f t="shared" si="151"/>
        <v>Variant allowances</v>
      </c>
      <c r="BD229" s="34" t="str">
        <f t="shared" si="152"/>
        <v>Totex variant allowances allocation percentages</v>
      </c>
    </row>
    <row r="230" spans="5:56" x14ac:dyDescent="0.35">
      <c r="E230" s="187" t="str" cm="1">
        <f t="array" ref="E230">INDEX($E$99:$E$202,INT((ROW()-ROW($E$205))/5)+1)</f>
        <v>PCD_London Medium Pressure PCD (Cadent_Lon)</v>
      </c>
      <c r="F230" s="188"/>
      <c r="G230" s="188" t="s">
        <v>109</v>
      </c>
      <c r="H230" s="188" t="s">
        <v>168</v>
      </c>
      <c r="I230" s="188"/>
      <c r="J230" s="188"/>
      <c r="K230" s="188"/>
      <c r="L230" s="188"/>
      <c r="M230" s="188"/>
      <c r="N230" s="188"/>
      <c r="O230" s="188"/>
      <c r="P230" s="188"/>
      <c r="Q230" s="188"/>
      <c r="R230" s="188"/>
      <c r="S230" s="188"/>
      <c r="T230" s="188"/>
      <c r="U230" s="188"/>
      <c r="V230" s="188"/>
      <c r="W230" s="188"/>
      <c r="X230" s="188"/>
      <c r="Y230" s="188"/>
      <c r="Z230" s="188"/>
      <c r="AA230" s="188"/>
      <c r="AB230" s="188"/>
      <c r="AC230" s="188"/>
      <c r="AD230" s="188"/>
      <c r="AE230" s="188"/>
      <c r="AF230" s="188"/>
      <c r="AG230" s="188"/>
      <c r="AH230" s="188"/>
      <c r="AI230" s="188"/>
      <c r="AJ230" s="188"/>
      <c r="AK230" s="188"/>
      <c r="AL230" s="188"/>
      <c r="AM230" s="188"/>
      <c r="AN230" s="188"/>
      <c r="AO230" s="188"/>
      <c r="AP230" s="188"/>
      <c r="AQ230" s="188"/>
      <c r="AR230" s="188"/>
      <c r="AS230" s="188"/>
      <c r="AT230" s="189"/>
      <c r="AU230" s="190">
        <f>CHOOSE(UserInterface!$C$22,#REF!,#REF!,#REF!,#REF!,#REF!,Scotland!AU230,Southern!AU230,#REF!)</f>
        <v>0</v>
      </c>
      <c r="AV230" s="191">
        <f>CHOOSE(UserInterface!$C$22,#REF!,#REF!,#REF!,#REF!,#REF!,Scotland!AV230,Southern!AV230,#REF!)</f>
        <v>0</v>
      </c>
      <c r="AW230" s="191">
        <f>CHOOSE(UserInterface!$C$22,#REF!,#REF!,#REF!,#REF!,#REF!,Scotland!AW230,Southern!AW230,#REF!)</f>
        <v>0</v>
      </c>
      <c r="AX230" s="191">
        <f>CHOOSE(UserInterface!$C$22,#REF!,#REF!,#REF!,#REF!,#REF!,Scotland!AX230,Southern!AX230,#REF!)</f>
        <v>0</v>
      </c>
      <c r="AY230" s="192">
        <f>CHOOSE(UserInterface!$C$22,#REF!,#REF!,#REF!,#REF!,#REF!,Scotland!AY230,Southern!AY230,#REF!)</f>
        <v>0</v>
      </c>
      <c r="BA230" s="34" t="str">
        <f t="shared" ca="1" si="153"/>
        <v>LicenseeSelect</v>
      </c>
      <c r="BB230" s="34" t="str">
        <f t="shared" si="154"/>
        <v>Fixed Inputs</v>
      </c>
      <c r="BC230" s="34" t="str">
        <f t="shared" si="151"/>
        <v>Variant allowances</v>
      </c>
      <c r="BD230" s="34" t="str">
        <f t="shared" si="152"/>
        <v>Totex variant allowances allocation percentages</v>
      </c>
    </row>
    <row r="231" spans="5:56" x14ac:dyDescent="0.35">
      <c r="E231" s="193" t="str" cm="1">
        <f t="array" ref="E231">INDEX($E$99:$E$202,INT((ROW()-ROW($E$205))/5)+1)</f>
        <v>PCD_London Medium Pressure PCD (Cadent_Lon)</v>
      </c>
      <c r="G231" s="33" t="s">
        <v>109</v>
      </c>
      <c r="H231" s="33" t="s">
        <v>169</v>
      </c>
      <c r="AT231" s="108"/>
      <c r="AU231" s="140">
        <f>CHOOSE(UserInterface!$C$22,#REF!,#REF!,#REF!,#REF!,#REF!,Scotland!AU231,Southern!AU231,#REF!)</f>
        <v>0.25237712677134183</v>
      </c>
      <c r="AV231" s="23">
        <f>CHOOSE(UserInterface!$C$22,#REF!,#REF!,#REF!,#REF!,#REF!,Scotland!AV231,Southern!AV231,#REF!)</f>
        <v>0.25237712677134183</v>
      </c>
      <c r="AW231" s="23">
        <f>CHOOSE(UserInterface!$C$22,#REF!,#REF!,#REF!,#REF!,#REF!,Scotland!AW231,Southern!AW231,#REF!)</f>
        <v>0.25237712677134183</v>
      </c>
      <c r="AX231" s="23">
        <f>CHOOSE(UserInterface!$C$22,#REF!,#REF!,#REF!,#REF!,#REF!,Scotland!AX231,Southern!AX231,#REF!)</f>
        <v>0.25237712677134183</v>
      </c>
      <c r="AY231" s="194">
        <f>CHOOSE(UserInterface!$C$22,#REF!,#REF!,#REF!,#REF!,#REF!,Scotland!AY231,Southern!AY231,#REF!)</f>
        <v>0.25237712677134183</v>
      </c>
      <c r="BA231" s="34" t="str">
        <f t="shared" ca="1" si="153"/>
        <v>LicenseeSelect</v>
      </c>
      <c r="BB231" s="34" t="str">
        <f t="shared" si="154"/>
        <v>Fixed Inputs</v>
      </c>
      <c r="BC231" s="34" t="str">
        <f t="shared" si="151"/>
        <v>Variant allowances</v>
      </c>
      <c r="BD231" s="34" t="str">
        <f t="shared" si="152"/>
        <v>Totex variant allowances allocation percentages</v>
      </c>
    </row>
    <row r="232" spans="5:56" x14ac:dyDescent="0.35">
      <c r="E232" s="193" t="str" cm="1">
        <f t="array" ref="E232">INDEX($E$99:$E$202,INT((ROW()-ROW($E$205))/5)+1)</f>
        <v>PCD_London Medium Pressure PCD (Cadent_Lon)</v>
      </c>
      <c r="G232" s="33" t="s">
        <v>109</v>
      </c>
      <c r="H232" s="33" t="s">
        <v>170</v>
      </c>
      <c r="AT232" s="108"/>
      <c r="AU232" s="140">
        <f>CHOOSE(UserInterface!$C$22,#REF!,#REF!,#REF!,#REF!,#REF!,Scotland!AU232,Southern!AU232,#REF!)</f>
        <v>0</v>
      </c>
      <c r="AV232" s="23">
        <f>CHOOSE(UserInterface!$C$22,#REF!,#REF!,#REF!,#REF!,#REF!,Scotland!AV232,Southern!AV232,#REF!)</f>
        <v>0</v>
      </c>
      <c r="AW232" s="23">
        <f>CHOOSE(UserInterface!$C$22,#REF!,#REF!,#REF!,#REF!,#REF!,Scotland!AW232,Southern!AW232,#REF!)</f>
        <v>0</v>
      </c>
      <c r="AX232" s="23">
        <f>CHOOSE(UserInterface!$C$22,#REF!,#REF!,#REF!,#REF!,#REF!,Scotland!AX232,Southern!AX232,#REF!)</f>
        <v>0</v>
      </c>
      <c r="AY232" s="194">
        <f>CHOOSE(UserInterface!$C$22,#REF!,#REF!,#REF!,#REF!,#REF!,Scotland!AY232,Southern!AY232,#REF!)</f>
        <v>0</v>
      </c>
      <c r="BA232" s="34" t="str">
        <f t="shared" ca="1" si="153"/>
        <v>LicenseeSelect</v>
      </c>
      <c r="BB232" s="34" t="str">
        <f t="shared" si="154"/>
        <v>Fixed Inputs</v>
      </c>
      <c r="BC232" s="34" t="str">
        <f t="shared" si="151"/>
        <v>Variant allowances</v>
      </c>
      <c r="BD232" s="34" t="str">
        <f t="shared" si="152"/>
        <v>Totex variant allowances allocation percentages</v>
      </c>
    </row>
    <row r="233" spans="5:56" x14ac:dyDescent="0.35">
      <c r="E233" s="193" t="str" cm="1">
        <f t="array" ref="E233">INDEX($E$99:$E$202,INT((ROW()-ROW($E$205))/5)+1)</f>
        <v>PCD_London Medium Pressure PCD (Cadent_Lon)</v>
      </c>
      <c r="G233" s="33" t="s">
        <v>109</v>
      </c>
      <c r="H233" s="33" t="s">
        <v>171</v>
      </c>
      <c r="AT233" s="108"/>
      <c r="AU233" s="140">
        <f>CHOOSE(UserInterface!$C$22,#REF!,#REF!,#REF!,#REF!,#REF!,Scotland!AU233,Southern!AU233,#REF!)</f>
        <v>0</v>
      </c>
      <c r="AV233" s="23">
        <f>CHOOSE(UserInterface!$C$22,#REF!,#REF!,#REF!,#REF!,#REF!,Scotland!AV233,Southern!AV233,#REF!)</f>
        <v>0</v>
      </c>
      <c r="AW233" s="23">
        <f>CHOOSE(UserInterface!$C$22,#REF!,#REF!,#REF!,#REF!,#REF!,Scotland!AW233,Southern!AW233,#REF!)</f>
        <v>0</v>
      </c>
      <c r="AX233" s="23">
        <f>CHOOSE(UserInterface!$C$22,#REF!,#REF!,#REF!,#REF!,#REF!,Scotland!AX233,Southern!AX233,#REF!)</f>
        <v>0</v>
      </c>
      <c r="AY233" s="194">
        <f>CHOOSE(UserInterface!$C$22,#REF!,#REF!,#REF!,#REF!,#REF!,Scotland!AY233,Southern!AY233,#REF!)</f>
        <v>0</v>
      </c>
      <c r="BA233" s="34" t="str">
        <f t="shared" ca="1" si="153"/>
        <v>LicenseeSelect</v>
      </c>
      <c r="BB233" s="34" t="str">
        <f t="shared" si="154"/>
        <v>Fixed Inputs</v>
      </c>
      <c r="BC233" s="34" t="str">
        <f t="shared" si="151"/>
        <v>Variant allowances</v>
      </c>
      <c r="BD233" s="34" t="str">
        <f t="shared" si="152"/>
        <v>Totex variant allowances allocation percentages</v>
      </c>
    </row>
    <row r="234" spans="5:56" x14ac:dyDescent="0.35">
      <c r="E234" s="195" t="str" cm="1">
        <f t="array" ref="E234">INDEX($E$99:$E$202,INT((ROW()-ROW($E$205))/5)+1)</f>
        <v>PCD_London Medium Pressure PCD (Cadent_Lon)</v>
      </c>
      <c r="F234" s="196"/>
      <c r="G234" s="196" t="s">
        <v>109</v>
      </c>
      <c r="H234" s="196" t="s">
        <v>172</v>
      </c>
      <c r="I234" s="196"/>
      <c r="J234" s="196"/>
      <c r="K234" s="196"/>
      <c r="L234" s="196"/>
      <c r="M234" s="196"/>
      <c r="N234" s="196"/>
      <c r="O234" s="196"/>
      <c r="P234" s="196"/>
      <c r="Q234" s="196"/>
      <c r="R234" s="196"/>
      <c r="S234" s="196"/>
      <c r="T234" s="196"/>
      <c r="U234" s="196"/>
      <c r="V234" s="196"/>
      <c r="W234" s="196"/>
      <c r="X234" s="196"/>
      <c r="Y234" s="196"/>
      <c r="Z234" s="196"/>
      <c r="AA234" s="196"/>
      <c r="AB234" s="196"/>
      <c r="AC234" s="196"/>
      <c r="AD234" s="196"/>
      <c r="AE234" s="196"/>
      <c r="AF234" s="196"/>
      <c r="AG234" s="196"/>
      <c r="AH234" s="196"/>
      <c r="AI234" s="196"/>
      <c r="AJ234" s="196"/>
      <c r="AK234" s="196"/>
      <c r="AL234" s="196"/>
      <c r="AM234" s="196"/>
      <c r="AN234" s="196"/>
      <c r="AO234" s="196"/>
      <c r="AP234" s="196"/>
      <c r="AQ234" s="196"/>
      <c r="AR234" s="196"/>
      <c r="AS234" s="196"/>
      <c r="AT234" s="197"/>
      <c r="AU234" s="198">
        <f>CHOOSE(UserInterface!$C$22,#REF!,#REF!,#REF!,#REF!,#REF!,Scotland!AU234,Southern!AU234,#REF!)</f>
        <v>0.74762287322865806</v>
      </c>
      <c r="AV234" s="199">
        <f>CHOOSE(UserInterface!$C$22,#REF!,#REF!,#REF!,#REF!,#REF!,Scotland!AV234,Southern!AV234,#REF!)</f>
        <v>0.74762287322865806</v>
      </c>
      <c r="AW234" s="199">
        <f>CHOOSE(UserInterface!$C$22,#REF!,#REF!,#REF!,#REF!,#REF!,Scotland!AW234,Southern!AW234,#REF!)</f>
        <v>0.74762287322865806</v>
      </c>
      <c r="AX234" s="199">
        <f>CHOOSE(UserInterface!$C$22,#REF!,#REF!,#REF!,#REF!,#REF!,Scotland!AX234,Southern!AX234,#REF!)</f>
        <v>0.74762287322865806</v>
      </c>
      <c r="AY234" s="200">
        <f>CHOOSE(UserInterface!$C$22,#REF!,#REF!,#REF!,#REF!,#REF!,Scotland!AY234,Southern!AY234,#REF!)</f>
        <v>0.74762287322865806</v>
      </c>
      <c r="BA234" s="34" t="str">
        <f t="shared" ca="1" si="153"/>
        <v>LicenseeSelect</v>
      </c>
      <c r="BB234" s="34" t="str">
        <f t="shared" si="154"/>
        <v>Fixed Inputs</v>
      </c>
      <c r="BC234" s="34" t="str">
        <f t="shared" si="151"/>
        <v>Variant allowances</v>
      </c>
      <c r="BD234" s="34" t="str">
        <f t="shared" si="152"/>
        <v>Totex variant allowances allocation percentages</v>
      </c>
    </row>
    <row r="235" spans="5:56" x14ac:dyDescent="0.35">
      <c r="E235" s="187" t="str" cm="1">
        <f t="array" ref="E235">INDEX($E$99:$E$202,INT((ROW()-ROW($E$205))/5)+1)</f>
        <v>PCD_Tier 1 Mains Decommissioned PCD</v>
      </c>
      <c r="F235" s="188"/>
      <c r="G235" s="188" t="s">
        <v>109</v>
      </c>
      <c r="H235" s="188" t="s">
        <v>168</v>
      </c>
      <c r="I235" s="188"/>
      <c r="J235" s="188"/>
      <c r="K235" s="188"/>
      <c r="L235" s="188"/>
      <c r="M235" s="188"/>
      <c r="N235" s="188"/>
      <c r="O235" s="188"/>
      <c r="P235" s="188"/>
      <c r="Q235" s="188"/>
      <c r="R235" s="188"/>
      <c r="S235" s="188"/>
      <c r="T235" s="188"/>
      <c r="U235" s="188"/>
      <c r="V235" s="188"/>
      <c r="W235" s="188"/>
      <c r="X235" s="188"/>
      <c r="Y235" s="188"/>
      <c r="Z235" s="188"/>
      <c r="AA235" s="188"/>
      <c r="AB235" s="188"/>
      <c r="AC235" s="188"/>
      <c r="AD235" s="188"/>
      <c r="AE235" s="188"/>
      <c r="AF235" s="188"/>
      <c r="AG235" s="188"/>
      <c r="AH235" s="188"/>
      <c r="AI235" s="188"/>
      <c r="AJ235" s="188"/>
      <c r="AK235" s="188"/>
      <c r="AL235" s="188"/>
      <c r="AM235" s="188"/>
      <c r="AN235" s="188"/>
      <c r="AO235" s="188"/>
      <c r="AP235" s="188"/>
      <c r="AQ235" s="188"/>
      <c r="AR235" s="188"/>
      <c r="AS235" s="188"/>
      <c r="AT235" s="189"/>
      <c r="AU235" s="190">
        <f>CHOOSE(UserInterface!$C$22,#REF!,#REF!,#REF!,#REF!,#REF!,Scotland!AU235,Southern!AU235,#REF!)</f>
        <v>0</v>
      </c>
      <c r="AV235" s="191">
        <f>CHOOSE(UserInterface!$C$22,#REF!,#REF!,#REF!,#REF!,#REF!,Scotland!AV235,Southern!AV235,#REF!)</f>
        <v>0</v>
      </c>
      <c r="AW235" s="191">
        <f>CHOOSE(UserInterface!$C$22,#REF!,#REF!,#REF!,#REF!,#REF!,Scotland!AW235,Southern!AW235,#REF!)</f>
        <v>0</v>
      </c>
      <c r="AX235" s="191">
        <f>CHOOSE(UserInterface!$C$22,#REF!,#REF!,#REF!,#REF!,#REF!,Scotland!AX235,Southern!AX235,#REF!)</f>
        <v>0</v>
      </c>
      <c r="AY235" s="192">
        <f>CHOOSE(UserInterface!$C$22,#REF!,#REF!,#REF!,#REF!,#REF!,Scotland!AY235,Southern!AY235,#REF!)</f>
        <v>0</v>
      </c>
      <c r="BA235" s="34" t="str">
        <f t="shared" ca="1" si="153"/>
        <v>LicenseeSelect</v>
      </c>
      <c r="BB235" s="34" t="str">
        <f t="shared" si="154"/>
        <v>Fixed Inputs</v>
      </c>
      <c r="BC235" s="34" t="str">
        <f t="shared" si="151"/>
        <v>Variant allowances</v>
      </c>
      <c r="BD235" s="34" t="str">
        <f t="shared" si="152"/>
        <v>Totex variant allowances allocation percentages</v>
      </c>
    </row>
    <row r="236" spans="5:56" x14ac:dyDescent="0.35">
      <c r="E236" s="193" t="str" cm="1">
        <f t="array" ref="E236">INDEX($E$99:$E$202,INT((ROW()-ROW($E$205))/5)+1)</f>
        <v>PCD_Tier 1 Mains Decommissioned PCD</v>
      </c>
      <c r="G236" s="33" t="s">
        <v>109</v>
      </c>
      <c r="H236" s="33" t="s">
        <v>169</v>
      </c>
      <c r="AT236" s="108"/>
      <c r="AU236" s="140">
        <f>CHOOSE(UserInterface!$C$22,#REF!,#REF!,#REF!,#REF!,#REF!,Scotland!AU236,Southern!AU236,#REF!)</f>
        <v>0</v>
      </c>
      <c r="AV236" s="23">
        <f>CHOOSE(UserInterface!$C$22,#REF!,#REF!,#REF!,#REF!,#REF!,Scotland!AV236,Southern!AV236,#REF!)</f>
        <v>0</v>
      </c>
      <c r="AW236" s="23">
        <f>CHOOSE(UserInterface!$C$22,#REF!,#REF!,#REF!,#REF!,#REF!,Scotland!AW236,Southern!AW236,#REF!)</f>
        <v>0</v>
      </c>
      <c r="AX236" s="23">
        <f>CHOOSE(UserInterface!$C$22,#REF!,#REF!,#REF!,#REF!,#REF!,Scotland!AX236,Southern!AX236,#REF!)</f>
        <v>0</v>
      </c>
      <c r="AY236" s="194">
        <f>CHOOSE(UserInterface!$C$22,#REF!,#REF!,#REF!,#REF!,#REF!,Scotland!AY236,Southern!AY236,#REF!)</f>
        <v>0</v>
      </c>
      <c r="BA236" s="34" t="str">
        <f t="shared" ca="1" si="153"/>
        <v>LicenseeSelect</v>
      </c>
      <c r="BB236" s="34" t="str">
        <f t="shared" si="154"/>
        <v>Fixed Inputs</v>
      </c>
      <c r="BC236" s="34" t="str">
        <f t="shared" si="151"/>
        <v>Variant allowances</v>
      </c>
      <c r="BD236" s="34" t="str">
        <f t="shared" si="152"/>
        <v>Totex variant allowances allocation percentages</v>
      </c>
    </row>
    <row r="237" spans="5:56" x14ac:dyDescent="0.35">
      <c r="E237" s="193" t="str" cm="1">
        <f t="array" ref="E237">INDEX($E$99:$E$202,INT((ROW()-ROW($E$205))/5)+1)</f>
        <v>PCD_Tier 1 Mains Decommissioned PCD</v>
      </c>
      <c r="G237" s="33" t="s">
        <v>109</v>
      </c>
      <c r="H237" s="33" t="s">
        <v>170</v>
      </c>
      <c r="AT237" s="108"/>
      <c r="AU237" s="140">
        <f>CHOOSE(UserInterface!$C$22,#REF!,#REF!,#REF!,#REF!,#REF!,Scotland!AU237,Southern!AU237,#REF!)</f>
        <v>0</v>
      </c>
      <c r="AV237" s="23">
        <f>CHOOSE(UserInterface!$C$22,#REF!,#REF!,#REF!,#REF!,#REF!,Scotland!AV237,Southern!AV237,#REF!)</f>
        <v>0</v>
      </c>
      <c r="AW237" s="23">
        <f>CHOOSE(UserInterface!$C$22,#REF!,#REF!,#REF!,#REF!,#REF!,Scotland!AW237,Southern!AW237,#REF!)</f>
        <v>0</v>
      </c>
      <c r="AX237" s="23">
        <f>CHOOSE(UserInterface!$C$22,#REF!,#REF!,#REF!,#REF!,#REF!,Scotland!AX237,Southern!AX237,#REF!)</f>
        <v>0</v>
      </c>
      <c r="AY237" s="194">
        <f>CHOOSE(UserInterface!$C$22,#REF!,#REF!,#REF!,#REF!,#REF!,Scotland!AY237,Southern!AY237,#REF!)</f>
        <v>0</v>
      </c>
      <c r="BA237" s="34" t="str">
        <f t="shared" ca="1" si="153"/>
        <v>LicenseeSelect</v>
      </c>
      <c r="BB237" s="34" t="str">
        <f t="shared" si="154"/>
        <v>Fixed Inputs</v>
      </c>
      <c r="BC237" s="34" t="str">
        <f t="shared" si="151"/>
        <v>Variant allowances</v>
      </c>
      <c r="BD237" s="34" t="str">
        <f t="shared" si="152"/>
        <v>Totex variant allowances allocation percentages</v>
      </c>
    </row>
    <row r="238" spans="5:56" x14ac:dyDescent="0.35">
      <c r="E238" s="193" t="str" cm="1">
        <f t="array" ref="E238">INDEX($E$99:$E$202,INT((ROW()-ROW($E$205))/5)+1)</f>
        <v>PCD_Tier 1 Mains Decommissioned PCD</v>
      </c>
      <c r="G238" s="33" t="s">
        <v>109</v>
      </c>
      <c r="H238" s="33" t="s">
        <v>171</v>
      </c>
      <c r="AT238" s="108"/>
      <c r="AU238" s="140">
        <f>CHOOSE(UserInterface!$C$22,#REF!,#REF!,#REF!,#REF!,#REF!,Scotland!AU238,Southern!AU238,#REF!)</f>
        <v>0</v>
      </c>
      <c r="AV238" s="23">
        <f>CHOOSE(UserInterface!$C$22,#REF!,#REF!,#REF!,#REF!,#REF!,Scotland!AV238,Southern!AV238,#REF!)</f>
        <v>0</v>
      </c>
      <c r="AW238" s="23">
        <f>CHOOSE(UserInterface!$C$22,#REF!,#REF!,#REF!,#REF!,#REF!,Scotland!AW238,Southern!AW238,#REF!)</f>
        <v>0</v>
      </c>
      <c r="AX238" s="23">
        <f>CHOOSE(UserInterface!$C$22,#REF!,#REF!,#REF!,#REF!,#REF!,Scotland!AX238,Southern!AX238,#REF!)</f>
        <v>0</v>
      </c>
      <c r="AY238" s="194">
        <f>CHOOSE(UserInterface!$C$22,#REF!,#REF!,#REF!,#REF!,#REF!,Scotland!AY238,Southern!AY238,#REF!)</f>
        <v>0</v>
      </c>
      <c r="BA238" s="34" t="str">
        <f t="shared" ca="1" si="153"/>
        <v>LicenseeSelect</v>
      </c>
      <c r="BB238" s="34" t="str">
        <f t="shared" si="154"/>
        <v>Fixed Inputs</v>
      </c>
      <c r="BC238" s="34" t="str">
        <f t="shared" si="151"/>
        <v>Variant allowances</v>
      </c>
      <c r="BD238" s="34" t="str">
        <f t="shared" si="152"/>
        <v>Totex variant allowances allocation percentages</v>
      </c>
    </row>
    <row r="239" spans="5:56" x14ac:dyDescent="0.35">
      <c r="E239" s="195" t="str" cm="1">
        <f t="array" ref="E239">INDEX($E$99:$E$202,INT((ROW()-ROW($E$205))/5)+1)</f>
        <v>PCD_Tier 1 Mains Decommissioned PCD</v>
      </c>
      <c r="F239" s="196"/>
      <c r="G239" s="196" t="s">
        <v>109</v>
      </c>
      <c r="H239" s="196" t="s">
        <v>172</v>
      </c>
      <c r="I239" s="196"/>
      <c r="J239" s="196"/>
      <c r="K239" s="196"/>
      <c r="L239" s="196"/>
      <c r="M239" s="196"/>
      <c r="N239" s="196"/>
      <c r="O239" s="196"/>
      <c r="P239" s="196"/>
      <c r="Q239" s="196"/>
      <c r="R239" s="196"/>
      <c r="S239" s="196"/>
      <c r="T239" s="196"/>
      <c r="U239" s="196"/>
      <c r="V239" s="196"/>
      <c r="W239" s="196"/>
      <c r="X239" s="196"/>
      <c r="Y239" s="196"/>
      <c r="Z239" s="196"/>
      <c r="AA239" s="196"/>
      <c r="AB239" s="196"/>
      <c r="AC239" s="196"/>
      <c r="AD239" s="196"/>
      <c r="AE239" s="196"/>
      <c r="AF239" s="196"/>
      <c r="AG239" s="196"/>
      <c r="AH239" s="196"/>
      <c r="AI239" s="196"/>
      <c r="AJ239" s="196"/>
      <c r="AK239" s="196"/>
      <c r="AL239" s="196"/>
      <c r="AM239" s="196"/>
      <c r="AN239" s="196"/>
      <c r="AO239" s="196"/>
      <c r="AP239" s="196"/>
      <c r="AQ239" s="196"/>
      <c r="AR239" s="196"/>
      <c r="AS239" s="196"/>
      <c r="AT239" s="197"/>
      <c r="AU239" s="198">
        <f>CHOOSE(UserInterface!$C$22,#REF!,#REF!,#REF!,#REF!,#REF!,Scotland!AU239,Southern!AU239,#REF!)</f>
        <v>1</v>
      </c>
      <c r="AV239" s="199">
        <f>CHOOSE(UserInterface!$C$22,#REF!,#REF!,#REF!,#REF!,#REF!,Scotland!AV239,Southern!AV239,#REF!)</f>
        <v>1</v>
      </c>
      <c r="AW239" s="199">
        <f>CHOOSE(UserInterface!$C$22,#REF!,#REF!,#REF!,#REF!,#REF!,Scotland!AW239,Southern!AW239,#REF!)</f>
        <v>1</v>
      </c>
      <c r="AX239" s="199">
        <f>CHOOSE(UserInterface!$C$22,#REF!,#REF!,#REF!,#REF!,#REF!,Scotland!AX239,Southern!AX239,#REF!)</f>
        <v>1</v>
      </c>
      <c r="AY239" s="200">
        <f>CHOOSE(UserInterface!$C$22,#REF!,#REF!,#REF!,#REF!,#REF!,Scotland!AY239,Southern!AY239,#REF!)</f>
        <v>1</v>
      </c>
      <c r="BA239" s="34" t="str">
        <f t="shared" ca="1" si="153"/>
        <v>LicenseeSelect</v>
      </c>
      <c r="BB239" s="34" t="str">
        <f t="shared" si="154"/>
        <v>Fixed Inputs</v>
      </c>
      <c r="BC239" s="34" t="str">
        <f t="shared" si="151"/>
        <v>Variant allowances</v>
      </c>
      <c r="BD239" s="34" t="str">
        <f t="shared" si="152"/>
        <v>Totex variant allowances allocation percentages</v>
      </c>
    </row>
    <row r="240" spans="5:56" x14ac:dyDescent="0.35">
      <c r="E240" s="187" t="str" cm="1">
        <f t="array" ref="E240">INDEX($E$99:$E$202,INT((ROW()-ROW($E$205))/5)+1)</f>
        <v>PCD_Tier 1 Services PCD / Tier 1 Services Repex PCD</v>
      </c>
      <c r="F240" s="188"/>
      <c r="G240" s="188" t="s">
        <v>109</v>
      </c>
      <c r="H240" s="188" t="s">
        <v>168</v>
      </c>
      <c r="I240" s="188"/>
      <c r="J240" s="188"/>
      <c r="K240" s="188"/>
      <c r="L240" s="188"/>
      <c r="M240" s="188"/>
      <c r="N240" s="188"/>
      <c r="O240" s="188"/>
      <c r="P240" s="188"/>
      <c r="Q240" s="188"/>
      <c r="R240" s="188"/>
      <c r="S240" s="188"/>
      <c r="T240" s="188"/>
      <c r="U240" s="188"/>
      <c r="V240" s="188"/>
      <c r="W240" s="188"/>
      <c r="X240" s="188"/>
      <c r="Y240" s="188"/>
      <c r="Z240" s="188"/>
      <c r="AA240" s="188"/>
      <c r="AB240" s="188"/>
      <c r="AC240" s="188"/>
      <c r="AD240" s="188"/>
      <c r="AE240" s="188"/>
      <c r="AF240" s="188"/>
      <c r="AG240" s="188"/>
      <c r="AH240" s="188"/>
      <c r="AI240" s="188"/>
      <c r="AJ240" s="188"/>
      <c r="AK240" s="188"/>
      <c r="AL240" s="188"/>
      <c r="AM240" s="188"/>
      <c r="AN240" s="188"/>
      <c r="AO240" s="188"/>
      <c r="AP240" s="188"/>
      <c r="AQ240" s="188"/>
      <c r="AR240" s="188"/>
      <c r="AS240" s="188"/>
      <c r="AT240" s="189"/>
      <c r="AU240" s="190">
        <f>CHOOSE(UserInterface!$C$22,#REF!,#REF!,#REF!,#REF!,#REF!,Scotland!AU240,Southern!AU240,#REF!)</f>
        <v>0</v>
      </c>
      <c r="AV240" s="191">
        <f>CHOOSE(UserInterface!$C$22,#REF!,#REF!,#REF!,#REF!,#REF!,Scotland!AV240,Southern!AV240,#REF!)</f>
        <v>0</v>
      </c>
      <c r="AW240" s="191">
        <f>CHOOSE(UserInterface!$C$22,#REF!,#REF!,#REF!,#REF!,#REF!,Scotland!AW240,Southern!AW240,#REF!)</f>
        <v>0</v>
      </c>
      <c r="AX240" s="191">
        <f>CHOOSE(UserInterface!$C$22,#REF!,#REF!,#REF!,#REF!,#REF!,Scotland!AX240,Southern!AX240,#REF!)</f>
        <v>0</v>
      </c>
      <c r="AY240" s="192">
        <f>CHOOSE(UserInterface!$C$22,#REF!,#REF!,#REF!,#REF!,#REF!,Scotland!AY240,Southern!AY240,#REF!)</f>
        <v>0</v>
      </c>
      <c r="BA240" s="34" t="str">
        <f t="shared" ca="1" si="153"/>
        <v>LicenseeSelect</v>
      </c>
      <c r="BB240" s="34" t="str">
        <f t="shared" si="154"/>
        <v>Fixed Inputs</v>
      </c>
      <c r="BC240" s="34" t="str">
        <f t="shared" si="151"/>
        <v>Variant allowances</v>
      </c>
      <c r="BD240" s="34" t="str">
        <f t="shared" si="152"/>
        <v>Totex variant allowances allocation percentages</v>
      </c>
    </row>
    <row r="241" spans="5:56" x14ac:dyDescent="0.35">
      <c r="E241" s="193" t="str" cm="1">
        <f t="array" ref="E241">INDEX($E$99:$E$202,INT((ROW()-ROW($E$205))/5)+1)</f>
        <v>PCD_Tier 1 Services PCD / Tier 1 Services Repex PCD</v>
      </c>
      <c r="G241" s="33" t="s">
        <v>109</v>
      </c>
      <c r="H241" s="33" t="s">
        <v>169</v>
      </c>
      <c r="AT241" s="108"/>
      <c r="AU241" s="140">
        <f>CHOOSE(UserInterface!$C$22,#REF!,#REF!,#REF!,#REF!,#REF!,Scotland!AU241,Southern!AU241,#REF!)</f>
        <v>0</v>
      </c>
      <c r="AV241" s="23">
        <f>CHOOSE(UserInterface!$C$22,#REF!,#REF!,#REF!,#REF!,#REF!,Scotland!AV241,Southern!AV241,#REF!)</f>
        <v>0</v>
      </c>
      <c r="AW241" s="23">
        <f>CHOOSE(UserInterface!$C$22,#REF!,#REF!,#REF!,#REF!,#REF!,Scotland!AW241,Southern!AW241,#REF!)</f>
        <v>0</v>
      </c>
      <c r="AX241" s="23">
        <f>CHOOSE(UserInterface!$C$22,#REF!,#REF!,#REF!,#REF!,#REF!,Scotland!AX241,Southern!AX241,#REF!)</f>
        <v>0</v>
      </c>
      <c r="AY241" s="194">
        <f>CHOOSE(UserInterface!$C$22,#REF!,#REF!,#REF!,#REF!,#REF!,Scotland!AY241,Southern!AY241,#REF!)</f>
        <v>0</v>
      </c>
      <c r="BA241" s="34" t="str">
        <f t="shared" ca="1" si="153"/>
        <v>LicenseeSelect</v>
      </c>
      <c r="BB241" s="34" t="str">
        <f t="shared" si="154"/>
        <v>Fixed Inputs</v>
      </c>
      <c r="BC241" s="34" t="str">
        <f t="shared" si="151"/>
        <v>Variant allowances</v>
      </c>
      <c r="BD241" s="34" t="str">
        <f t="shared" si="152"/>
        <v>Totex variant allowances allocation percentages</v>
      </c>
    </row>
    <row r="242" spans="5:56" x14ac:dyDescent="0.35">
      <c r="E242" s="193" t="str" cm="1">
        <f t="array" ref="E242">INDEX($E$99:$E$202,INT((ROW()-ROW($E$205))/5)+1)</f>
        <v>PCD_Tier 1 Services PCD / Tier 1 Services Repex PCD</v>
      </c>
      <c r="G242" s="33" t="s">
        <v>109</v>
      </c>
      <c r="H242" s="33" t="s">
        <v>170</v>
      </c>
      <c r="AT242" s="108"/>
      <c r="AU242" s="140">
        <f>CHOOSE(UserInterface!$C$22,#REF!,#REF!,#REF!,#REF!,#REF!,Scotland!AU242,Southern!AU242,#REF!)</f>
        <v>0</v>
      </c>
      <c r="AV242" s="23">
        <f>CHOOSE(UserInterface!$C$22,#REF!,#REF!,#REF!,#REF!,#REF!,Scotland!AV242,Southern!AV242,#REF!)</f>
        <v>0</v>
      </c>
      <c r="AW242" s="23">
        <f>CHOOSE(UserInterface!$C$22,#REF!,#REF!,#REF!,#REF!,#REF!,Scotland!AW242,Southern!AW242,#REF!)</f>
        <v>0</v>
      </c>
      <c r="AX242" s="23">
        <f>CHOOSE(UserInterface!$C$22,#REF!,#REF!,#REF!,#REF!,#REF!,Scotland!AX242,Southern!AX242,#REF!)</f>
        <v>0</v>
      </c>
      <c r="AY242" s="194">
        <f>CHOOSE(UserInterface!$C$22,#REF!,#REF!,#REF!,#REF!,#REF!,Scotland!AY242,Southern!AY242,#REF!)</f>
        <v>0</v>
      </c>
      <c r="BA242" s="34" t="str">
        <f t="shared" ca="1" si="153"/>
        <v>LicenseeSelect</v>
      </c>
      <c r="BB242" s="34" t="str">
        <f t="shared" si="154"/>
        <v>Fixed Inputs</v>
      </c>
      <c r="BC242" s="34" t="str">
        <f t="shared" si="151"/>
        <v>Variant allowances</v>
      </c>
      <c r="BD242" s="34" t="str">
        <f t="shared" si="152"/>
        <v>Totex variant allowances allocation percentages</v>
      </c>
    </row>
    <row r="243" spans="5:56" x14ac:dyDescent="0.35">
      <c r="E243" s="193" t="str" cm="1">
        <f t="array" ref="E243">INDEX($E$99:$E$202,INT((ROW()-ROW($E$205))/5)+1)</f>
        <v>PCD_Tier 1 Services PCD / Tier 1 Services Repex PCD</v>
      </c>
      <c r="G243" s="33" t="s">
        <v>109</v>
      </c>
      <c r="H243" s="33" t="s">
        <v>171</v>
      </c>
      <c r="AT243" s="108"/>
      <c r="AU243" s="140">
        <f>CHOOSE(UserInterface!$C$22,#REF!,#REF!,#REF!,#REF!,#REF!,Scotland!AU243,Southern!AU243,#REF!)</f>
        <v>0</v>
      </c>
      <c r="AV243" s="23">
        <f>CHOOSE(UserInterface!$C$22,#REF!,#REF!,#REF!,#REF!,#REF!,Scotland!AV243,Southern!AV243,#REF!)</f>
        <v>0</v>
      </c>
      <c r="AW243" s="23">
        <f>CHOOSE(UserInterface!$C$22,#REF!,#REF!,#REF!,#REF!,#REF!,Scotland!AW243,Southern!AW243,#REF!)</f>
        <v>0</v>
      </c>
      <c r="AX243" s="23">
        <f>CHOOSE(UserInterface!$C$22,#REF!,#REF!,#REF!,#REF!,#REF!,Scotland!AX243,Southern!AX243,#REF!)</f>
        <v>0</v>
      </c>
      <c r="AY243" s="194">
        <f>CHOOSE(UserInterface!$C$22,#REF!,#REF!,#REF!,#REF!,#REF!,Scotland!AY243,Southern!AY243,#REF!)</f>
        <v>0</v>
      </c>
      <c r="BA243" s="34" t="str">
        <f t="shared" ca="1" si="153"/>
        <v>LicenseeSelect</v>
      </c>
      <c r="BB243" s="34" t="str">
        <f t="shared" si="154"/>
        <v>Fixed Inputs</v>
      </c>
      <c r="BC243" s="34" t="str">
        <f t="shared" si="151"/>
        <v>Variant allowances</v>
      </c>
      <c r="BD243" s="34" t="str">
        <f t="shared" ref="BD243:BD270" si="155">$C$204</f>
        <v>Totex variant allowances allocation percentages</v>
      </c>
    </row>
    <row r="244" spans="5:56" x14ac:dyDescent="0.35">
      <c r="E244" s="195" t="str" cm="1">
        <f t="array" ref="E244">INDEX($E$99:$E$202,INT((ROW()-ROW($E$205))/5)+1)</f>
        <v>PCD_Tier 1 Services PCD / Tier 1 Services Repex PCD</v>
      </c>
      <c r="F244" s="196"/>
      <c r="G244" s="196" t="s">
        <v>109</v>
      </c>
      <c r="H244" s="196" t="s">
        <v>172</v>
      </c>
      <c r="I244" s="196"/>
      <c r="J244" s="196"/>
      <c r="K244" s="196"/>
      <c r="L244" s="196"/>
      <c r="M244" s="196"/>
      <c r="N244" s="196"/>
      <c r="O244" s="196"/>
      <c r="P244" s="196"/>
      <c r="Q244" s="196"/>
      <c r="R244" s="196"/>
      <c r="S244" s="196"/>
      <c r="T244" s="196"/>
      <c r="U244" s="196"/>
      <c r="V244" s="196"/>
      <c r="W244" s="196"/>
      <c r="X244" s="196"/>
      <c r="Y244" s="196"/>
      <c r="Z244" s="196"/>
      <c r="AA244" s="196"/>
      <c r="AB244" s="196"/>
      <c r="AC244" s="196"/>
      <c r="AD244" s="196"/>
      <c r="AE244" s="196"/>
      <c r="AF244" s="196"/>
      <c r="AG244" s="196"/>
      <c r="AH244" s="196"/>
      <c r="AI244" s="196"/>
      <c r="AJ244" s="196"/>
      <c r="AK244" s="196"/>
      <c r="AL244" s="196"/>
      <c r="AM244" s="196"/>
      <c r="AN244" s="196"/>
      <c r="AO244" s="196"/>
      <c r="AP244" s="196"/>
      <c r="AQ244" s="196"/>
      <c r="AR244" s="196"/>
      <c r="AS244" s="196"/>
      <c r="AT244" s="197"/>
      <c r="AU244" s="198">
        <f>CHOOSE(UserInterface!$C$22,#REF!,#REF!,#REF!,#REF!,#REF!,Scotland!AU244,Southern!AU244,#REF!)</f>
        <v>1</v>
      </c>
      <c r="AV244" s="199">
        <f>CHOOSE(UserInterface!$C$22,#REF!,#REF!,#REF!,#REF!,#REF!,Scotland!AV244,Southern!AV244,#REF!)</f>
        <v>1</v>
      </c>
      <c r="AW244" s="199">
        <f>CHOOSE(UserInterface!$C$22,#REF!,#REF!,#REF!,#REF!,#REF!,Scotland!AW244,Southern!AW244,#REF!)</f>
        <v>1</v>
      </c>
      <c r="AX244" s="199">
        <f>CHOOSE(UserInterface!$C$22,#REF!,#REF!,#REF!,#REF!,#REF!,Scotland!AX244,Southern!AX244,#REF!)</f>
        <v>1</v>
      </c>
      <c r="AY244" s="200">
        <f>CHOOSE(UserInterface!$C$22,#REF!,#REF!,#REF!,#REF!,#REF!,Scotland!AY244,Southern!AY244,#REF!)</f>
        <v>1</v>
      </c>
      <c r="BA244" s="34" t="str">
        <f t="shared" ca="1" si="153"/>
        <v>LicenseeSelect</v>
      </c>
      <c r="BB244" s="34" t="str">
        <f t="shared" si="154"/>
        <v>Fixed Inputs</v>
      </c>
      <c r="BC244" s="34" t="str">
        <f t="shared" si="151"/>
        <v>Variant allowances</v>
      </c>
      <c r="BD244" s="34" t="str">
        <f t="shared" si="155"/>
        <v>Totex variant allowances allocation percentages</v>
      </c>
    </row>
    <row r="245" spans="5:56" x14ac:dyDescent="0.35">
      <c r="E245" s="187" t="str" cm="1">
        <f t="array" ref="E245">INDEX($E$99:$E$202,INT((ROW()-ROW($E$205))/5)+1)</f>
        <v>PCD_Tinsley viaduct diversion (Cadent_EoE)</v>
      </c>
      <c r="F245" s="188"/>
      <c r="G245" s="188" t="s">
        <v>109</v>
      </c>
      <c r="H245" s="188" t="s">
        <v>168</v>
      </c>
      <c r="I245" s="188"/>
      <c r="J245" s="188"/>
      <c r="K245" s="188"/>
      <c r="L245" s="188"/>
      <c r="M245" s="188"/>
      <c r="N245" s="188"/>
      <c r="O245" s="188"/>
      <c r="P245" s="188"/>
      <c r="Q245" s="188"/>
      <c r="R245" s="188"/>
      <c r="S245" s="188"/>
      <c r="T245" s="188"/>
      <c r="U245" s="188"/>
      <c r="V245" s="188"/>
      <c r="W245" s="188"/>
      <c r="X245" s="188"/>
      <c r="Y245" s="188"/>
      <c r="Z245" s="188"/>
      <c r="AA245" s="188"/>
      <c r="AB245" s="188"/>
      <c r="AC245" s="188"/>
      <c r="AD245" s="188"/>
      <c r="AE245" s="188"/>
      <c r="AF245" s="188"/>
      <c r="AG245" s="188"/>
      <c r="AH245" s="188"/>
      <c r="AI245" s="188"/>
      <c r="AJ245" s="188"/>
      <c r="AK245" s="188"/>
      <c r="AL245" s="188"/>
      <c r="AM245" s="188"/>
      <c r="AN245" s="188"/>
      <c r="AO245" s="188"/>
      <c r="AP245" s="188"/>
      <c r="AQ245" s="188"/>
      <c r="AR245" s="188"/>
      <c r="AS245" s="188"/>
      <c r="AT245" s="189"/>
      <c r="AU245" s="190">
        <f>CHOOSE(UserInterface!$C$22,#REF!,#REF!,#REF!,#REF!,#REF!,Scotland!AU245,Southern!AU245,#REF!)</f>
        <v>0</v>
      </c>
      <c r="AV245" s="191">
        <f>CHOOSE(UserInterface!$C$22,#REF!,#REF!,#REF!,#REF!,#REF!,Scotland!AV245,Southern!AV245,#REF!)</f>
        <v>0</v>
      </c>
      <c r="AW245" s="191">
        <f>CHOOSE(UserInterface!$C$22,#REF!,#REF!,#REF!,#REF!,#REF!,Scotland!AW245,Southern!AW245,#REF!)</f>
        <v>0</v>
      </c>
      <c r="AX245" s="191">
        <f>CHOOSE(UserInterface!$C$22,#REF!,#REF!,#REF!,#REF!,#REF!,Scotland!AX245,Southern!AX245,#REF!)</f>
        <v>0</v>
      </c>
      <c r="AY245" s="192">
        <f>CHOOSE(UserInterface!$C$22,#REF!,#REF!,#REF!,#REF!,#REF!,Scotland!AY245,Southern!AY245,#REF!)</f>
        <v>0</v>
      </c>
      <c r="BA245" s="34" t="str">
        <f t="shared" ca="1" si="153"/>
        <v>LicenseeSelect</v>
      </c>
      <c r="BB245" s="34" t="str">
        <f t="shared" si="154"/>
        <v>Fixed Inputs</v>
      </c>
      <c r="BC245" s="34" t="str">
        <f t="shared" si="151"/>
        <v>Variant allowances</v>
      </c>
      <c r="BD245" s="34" t="str">
        <f t="shared" si="155"/>
        <v>Totex variant allowances allocation percentages</v>
      </c>
    </row>
    <row r="246" spans="5:56" x14ac:dyDescent="0.35">
      <c r="E246" s="193" t="str" cm="1">
        <f t="array" ref="E246">INDEX($E$99:$E$202,INT((ROW()-ROW($E$205))/5)+1)</f>
        <v>PCD_Tinsley viaduct diversion (Cadent_EoE)</v>
      </c>
      <c r="G246" s="33" t="s">
        <v>109</v>
      </c>
      <c r="H246" s="33" t="s">
        <v>169</v>
      </c>
      <c r="AT246" s="108"/>
      <c r="AU246" s="140">
        <f>CHOOSE(UserInterface!$C$22,#REF!,#REF!,#REF!,#REF!,#REF!,Scotland!AU246,Southern!AU246,#REF!)</f>
        <v>1</v>
      </c>
      <c r="AV246" s="23">
        <f>CHOOSE(UserInterface!$C$22,#REF!,#REF!,#REF!,#REF!,#REF!,Scotland!AV246,Southern!AV246,#REF!)</f>
        <v>1</v>
      </c>
      <c r="AW246" s="23">
        <f>CHOOSE(UserInterface!$C$22,#REF!,#REF!,#REF!,#REF!,#REF!,Scotland!AW246,Southern!AW246,#REF!)</f>
        <v>1</v>
      </c>
      <c r="AX246" s="23">
        <f>CHOOSE(UserInterface!$C$22,#REF!,#REF!,#REF!,#REF!,#REF!,Scotland!AX246,Southern!AX246,#REF!)</f>
        <v>1</v>
      </c>
      <c r="AY246" s="194">
        <f>CHOOSE(UserInterface!$C$22,#REF!,#REF!,#REF!,#REF!,#REF!,Scotland!AY246,Southern!AY246,#REF!)</f>
        <v>1</v>
      </c>
      <c r="BA246" s="34" t="str">
        <f t="shared" ca="1" si="153"/>
        <v>LicenseeSelect</v>
      </c>
      <c r="BB246" s="34" t="str">
        <f t="shared" si="154"/>
        <v>Fixed Inputs</v>
      </c>
      <c r="BC246" s="34" t="str">
        <f t="shared" si="151"/>
        <v>Variant allowances</v>
      </c>
      <c r="BD246" s="34" t="str">
        <f t="shared" si="155"/>
        <v>Totex variant allowances allocation percentages</v>
      </c>
    </row>
    <row r="247" spans="5:56" x14ac:dyDescent="0.35">
      <c r="E247" s="193" t="str" cm="1">
        <f t="array" ref="E247">INDEX($E$99:$E$202,INT((ROW()-ROW($E$205))/5)+1)</f>
        <v>PCD_Tinsley viaduct diversion (Cadent_EoE)</v>
      </c>
      <c r="G247" s="33" t="s">
        <v>109</v>
      </c>
      <c r="H247" s="33" t="s">
        <v>170</v>
      </c>
      <c r="AT247" s="108"/>
      <c r="AU247" s="140">
        <f>CHOOSE(UserInterface!$C$22,#REF!,#REF!,#REF!,#REF!,#REF!,Scotland!AU247,Southern!AU247,#REF!)</f>
        <v>0</v>
      </c>
      <c r="AV247" s="23">
        <f>CHOOSE(UserInterface!$C$22,#REF!,#REF!,#REF!,#REF!,#REF!,Scotland!AV247,Southern!AV247,#REF!)</f>
        <v>0</v>
      </c>
      <c r="AW247" s="23">
        <f>CHOOSE(UserInterface!$C$22,#REF!,#REF!,#REF!,#REF!,#REF!,Scotland!AW247,Southern!AW247,#REF!)</f>
        <v>0</v>
      </c>
      <c r="AX247" s="23">
        <f>CHOOSE(UserInterface!$C$22,#REF!,#REF!,#REF!,#REF!,#REF!,Scotland!AX247,Southern!AX247,#REF!)</f>
        <v>0</v>
      </c>
      <c r="AY247" s="194">
        <f>CHOOSE(UserInterface!$C$22,#REF!,#REF!,#REF!,#REF!,#REF!,Scotland!AY247,Southern!AY247,#REF!)</f>
        <v>0</v>
      </c>
      <c r="BA247" s="34" t="str">
        <f t="shared" ca="1" si="153"/>
        <v>LicenseeSelect</v>
      </c>
      <c r="BB247" s="34" t="str">
        <f t="shared" si="154"/>
        <v>Fixed Inputs</v>
      </c>
      <c r="BC247" s="34" t="str">
        <f t="shared" si="151"/>
        <v>Variant allowances</v>
      </c>
      <c r="BD247" s="34" t="str">
        <f t="shared" si="155"/>
        <v>Totex variant allowances allocation percentages</v>
      </c>
    </row>
    <row r="248" spans="5:56" x14ac:dyDescent="0.35">
      <c r="E248" s="193" t="str" cm="1">
        <f t="array" ref="E248">INDEX($E$99:$E$202,INT((ROW()-ROW($E$205))/5)+1)</f>
        <v>PCD_Tinsley viaduct diversion (Cadent_EoE)</v>
      </c>
      <c r="G248" s="33" t="s">
        <v>109</v>
      </c>
      <c r="H248" s="33" t="s">
        <v>171</v>
      </c>
      <c r="AT248" s="108"/>
      <c r="AU248" s="140">
        <f>CHOOSE(UserInterface!$C$22,#REF!,#REF!,#REF!,#REF!,#REF!,Scotland!AU248,Southern!AU248,#REF!)</f>
        <v>0</v>
      </c>
      <c r="AV248" s="23">
        <f>CHOOSE(UserInterface!$C$22,#REF!,#REF!,#REF!,#REF!,#REF!,Scotland!AV248,Southern!AV248,#REF!)</f>
        <v>0</v>
      </c>
      <c r="AW248" s="23">
        <f>CHOOSE(UserInterface!$C$22,#REF!,#REF!,#REF!,#REF!,#REF!,Scotland!AW248,Southern!AW248,#REF!)</f>
        <v>0</v>
      </c>
      <c r="AX248" s="23">
        <f>CHOOSE(UserInterface!$C$22,#REF!,#REF!,#REF!,#REF!,#REF!,Scotland!AX248,Southern!AX248,#REF!)</f>
        <v>0</v>
      </c>
      <c r="AY248" s="194">
        <f>CHOOSE(UserInterface!$C$22,#REF!,#REF!,#REF!,#REF!,#REF!,Scotland!AY248,Southern!AY248,#REF!)</f>
        <v>0</v>
      </c>
      <c r="BA248" s="34" t="str">
        <f t="shared" ca="1" si="153"/>
        <v>LicenseeSelect</v>
      </c>
      <c r="BB248" s="34" t="str">
        <f t="shared" si="154"/>
        <v>Fixed Inputs</v>
      </c>
      <c r="BC248" s="34" t="str">
        <f t="shared" si="151"/>
        <v>Variant allowances</v>
      </c>
      <c r="BD248" s="34" t="str">
        <f t="shared" si="155"/>
        <v>Totex variant allowances allocation percentages</v>
      </c>
    </row>
    <row r="249" spans="5:56" x14ac:dyDescent="0.35">
      <c r="E249" s="195" t="str" cm="1">
        <f t="array" ref="E249">INDEX($E$99:$E$202,INT((ROW()-ROW($E$205))/5)+1)</f>
        <v>PCD_Tinsley viaduct diversion (Cadent_EoE)</v>
      </c>
      <c r="F249" s="196"/>
      <c r="G249" s="196" t="s">
        <v>109</v>
      </c>
      <c r="H249" s="196" t="s">
        <v>172</v>
      </c>
      <c r="I249" s="196"/>
      <c r="J249" s="196"/>
      <c r="K249" s="196"/>
      <c r="L249" s="196"/>
      <c r="M249" s="196"/>
      <c r="N249" s="196"/>
      <c r="O249" s="196"/>
      <c r="P249" s="196"/>
      <c r="Q249" s="196"/>
      <c r="R249" s="196"/>
      <c r="S249" s="196"/>
      <c r="T249" s="196"/>
      <c r="U249" s="196"/>
      <c r="V249" s="196"/>
      <c r="W249" s="196"/>
      <c r="X249" s="196"/>
      <c r="Y249" s="196"/>
      <c r="Z249" s="196"/>
      <c r="AA249" s="196"/>
      <c r="AB249" s="196"/>
      <c r="AC249" s="196"/>
      <c r="AD249" s="196"/>
      <c r="AE249" s="196"/>
      <c r="AF249" s="196"/>
      <c r="AG249" s="196"/>
      <c r="AH249" s="196"/>
      <c r="AI249" s="196"/>
      <c r="AJ249" s="196"/>
      <c r="AK249" s="196"/>
      <c r="AL249" s="196"/>
      <c r="AM249" s="196"/>
      <c r="AN249" s="196"/>
      <c r="AO249" s="196"/>
      <c r="AP249" s="196"/>
      <c r="AQ249" s="196"/>
      <c r="AR249" s="196"/>
      <c r="AS249" s="196"/>
      <c r="AT249" s="197"/>
      <c r="AU249" s="198">
        <f>CHOOSE(UserInterface!$C$22,#REF!,#REF!,#REF!,#REF!,#REF!,Scotland!AU249,Southern!AU249,#REF!)</f>
        <v>0</v>
      </c>
      <c r="AV249" s="199">
        <f>CHOOSE(UserInterface!$C$22,#REF!,#REF!,#REF!,#REF!,#REF!,Scotland!AV249,Southern!AV249,#REF!)</f>
        <v>0</v>
      </c>
      <c r="AW249" s="199">
        <f>CHOOSE(UserInterface!$C$22,#REF!,#REF!,#REF!,#REF!,#REF!,Scotland!AW249,Southern!AW249,#REF!)</f>
        <v>0</v>
      </c>
      <c r="AX249" s="199">
        <f>CHOOSE(UserInterface!$C$22,#REF!,#REF!,#REF!,#REF!,#REF!,Scotland!AX249,Southern!AX249,#REF!)</f>
        <v>0</v>
      </c>
      <c r="AY249" s="200">
        <f>CHOOSE(UserInterface!$C$22,#REF!,#REF!,#REF!,#REF!,#REF!,Scotland!AY249,Southern!AY249,#REF!)</f>
        <v>0</v>
      </c>
      <c r="BA249" s="34" t="str">
        <f t="shared" ca="1" si="153"/>
        <v>LicenseeSelect</v>
      </c>
      <c r="BB249" s="34" t="str">
        <f t="shared" si="154"/>
        <v>Fixed Inputs</v>
      </c>
      <c r="BC249" s="34" t="str">
        <f t="shared" si="151"/>
        <v>Variant allowances</v>
      </c>
      <c r="BD249" s="34" t="str">
        <f t="shared" si="155"/>
        <v>Totex variant allowances allocation percentages</v>
      </c>
    </row>
    <row r="250" spans="5:56" x14ac:dyDescent="0.35">
      <c r="E250" s="187" t="str" cm="1">
        <f t="array" ref="E250">INDEX($E$99:$E$202,INT((ROW()-ROW($E$205))/5)+1)</f>
        <v>PCD_Iron Stubs / Tier 1 Stubs decommissioning PCD</v>
      </c>
      <c r="F250" s="188"/>
      <c r="G250" s="188" t="s">
        <v>109</v>
      </c>
      <c r="H250" s="188" t="s">
        <v>168</v>
      </c>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189"/>
      <c r="AU250" s="190">
        <f>CHOOSE(UserInterface!$C$22,#REF!,#REF!,#REF!,#REF!,#REF!,Scotland!AU250,Southern!AU250,#REF!)</f>
        <v>0</v>
      </c>
      <c r="AV250" s="191">
        <f>CHOOSE(UserInterface!$C$22,#REF!,#REF!,#REF!,#REF!,#REF!,Scotland!AV250,Southern!AV250,#REF!)</f>
        <v>0</v>
      </c>
      <c r="AW250" s="191">
        <f>CHOOSE(UserInterface!$C$22,#REF!,#REF!,#REF!,#REF!,#REF!,Scotland!AW250,Southern!AW250,#REF!)</f>
        <v>0</v>
      </c>
      <c r="AX250" s="191">
        <f>CHOOSE(UserInterface!$C$22,#REF!,#REF!,#REF!,#REF!,#REF!,Scotland!AX250,Southern!AX250,#REF!)</f>
        <v>0</v>
      </c>
      <c r="AY250" s="192">
        <f>CHOOSE(UserInterface!$C$22,#REF!,#REF!,#REF!,#REF!,#REF!,Scotland!AY250,Southern!AY250,#REF!)</f>
        <v>0</v>
      </c>
      <c r="BA250" s="34" t="str">
        <f t="shared" ca="1" si="153"/>
        <v>LicenseeSelect</v>
      </c>
      <c r="BB250" s="34" t="str">
        <f t="shared" si="154"/>
        <v>Fixed Inputs</v>
      </c>
      <c r="BC250" s="34" t="str">
        <f t="shared" si="151"/>
        <v>Variant allowances</v>
      </c>
      <c r="BD250" s="34" t="str">
        <f t="shared" si="155"/>
        <v>Totex variant allowances allocation percentages</v>
      </c>
    </row>
    <row r="251" spans="5:56" x14ac:dyDescent="0.35">
      <c r="E251" s="193" t="str" cm="1">
        <f t="array" ref="E251">INDEX($E$99:$E$202,INT((ROW()-ROW($E$205))/5)+1)</f>
        <v>PCD_Iron Stubs / Tier 1 Stubs decommissioning PCD</v>
      </c>
      <c r="G251" s="33" t="s">
        <v>109</v>
      </c>
      <c r="H251" s="33" t="s">
        <v>169</v>
      </c>
      <c r="AT251" s="108"/>
      <c r="AU251" s="140">
        <f>CHOOSE(UserInterface!$C$22,#REF!,#REF!,#REF!,#REF!,#REF!,Scotland!AU251,Southern!AU251,#REF!)</f>
        <v>0</v>
      </c>
      <c r="AV251" s="23">
        <f>CHOOSE(UserInterface!$C$22,#REF!,#REF!,#REF!,#REF!,#REF!,Scotland!AV251,Southern!AV251,#REF!)</f>
        <v>0</v>
      </c>
      <c r="AW251" s="23">
        <f>CHOOSE(UserInterface!$C$22,#REF!,#REF!,#REF!,#REF!,#REF!,Scotland!AW251,Southern!AW251,#REF!)</f>
        <v>0</v>
      </c>
      <c r="AX251" s="23">
        <f>CHOOSE(UserInterface!$C$22,#REF!,#REF!,#REF!,#REF!,#REF!,Scotland!AX251,Southern!AX251,#REF!)</f>
        <v>0</v>
      </c>
      <c r="AY251" s="194">
        <f>CHOOSE(UserInterface!$C$22,#REF!,#REF!,#REF!,#REF!,#REF!,Scotland!AY251,Southern!AY251,#REF!)</f>
        <v>0</v>
      </c>
      <c r="BA251" s="34" t="str">
        <f t="shared" ca="1" si="153"/>
        <v>LicenseeSelect</v>
      </c>
      <c r="BB251" s="34" t="str">
        <f t="shared" si="154"/>
        <v>Fixed Inputs</v>
      </c>
      <c r="BC251" s="34" t="str">
        <f t="shared" si="151"/>
        <v>Variant allowances</v>
      </c>
      <c r="BD251" s="34" t="str">
        <f t="shared" si="155"/>
        <v>Totex variant allowances allocation percentages</v>
      </c>
    </row>
    <row r="252" spans="5:56" x14ac:dyDescent="0.35">
      <c r="E252" s="193" t="str" cm="1">
        <f t="array" ref="E252">INDEX($E$99:$E$202,INT((ROW()-ROW($E$205))/5)+1)</f>
        <v>PCD_Iron Stubs / Tier 1 Stubs decommissioning PCD</v>
      </c>
      <c r="G252" s="33" t="s">
        <v>109</v>
      </c>
      <c r="H252" s="33" t="s">
        <v>170</v>
      </c>
      <c r="AT252" s="108"/>
      <c r="AU252" s="140">
        <f>CHOOSE(UserInterface!$C$22,#REF!,#REF!,#REF!,#REF!,#REF!,Scotland!AU252,Southern!AU252,#REF!)</f>
        <v>0</v>
      </c>
      <c r="AV252" s="23">
        <f>CHOOSE(UserInterface!$C$22,#REF!,#REF!,#REF!,#REF!,#REF!,Scotland!AV252,Southern!AV252,#REF!)</f>
        <v>0</v>
      </c>
      <c r="AW252" s="23">
        <f>CHOOSE(UserInterface!$C$22,#REF!,#REF!,#REF!,#REF!,#REF!,Scotland!AW252,Southern!AW252,#REF!)</f>
        <v>0</v>
      </c>
      <c r="AX252" s="23">
        <f>CHOOSE(UserInterface!$C$22,#REF!,#REF!,#REF!,#REF!,#REF!,Scotland!AX252,Southern!AX252,#REF!)</f>
        <v>0</v>
      </c>
      <c r="AY252" s="194">
        <f>CHOOSE(UserInterface!$C$22,#REF!,#REF!,#REF!,#REF!,#REF!,Scotland!AY252,Southern!AY252,#REF!)</f>
        <v>0</v>
      </c>
      <c r="BA252" s="34" t="str">
        <f t="shared" ca="1" si="153"/>
        <v>LicenseeSelect</v>
      </c>
      <c r="BB252" s="34" t="str">
        <f t="shared" si="154"/>
        <v>Fixed Inputs</v>
      </c>
      <c r="BC252" s="34" t="str">
        <f t="shared" si="151"/>
        <v>Variant allowances</v>
      </c>
      <c r="BD252" s="34" t="str">
        <f t="shared" si="155"/>
        <v>Totex variant allowances allocation percentages</v>
      </c>
    </row>
    <row r="253" spans="5:56" x14ac:dyDescent="0.35">
      <c r="E253" s="193" t="str" cm="1">
        <f t="array" ref="E253">INDEX($E$99:$E$202,INT((ROW()-ROW($E$205))/5)+1)</f>
        <v>PCD_Iron Stubs / Tier 1 Stubs decommissioning PCD</v>
      </c>
      <c r="G253" s="33" t="s">
        <v>109</v>
      </c>
      <c r="H253" s="33" t="s">
        <v>171</v>
      </c>
      <c r="AT253" s="108"/>
      <c r="AU253" s="140">
        <f>CHOOSE(UserInterface!$C$22,#REF!,#REF!,#REF!,#REF!,#REF!,Scotland!AU253,Southern!AU253,#REF!)</f>
        <v>0</v>
      </c>
      <c r="AV253" s="23">
        <f>CHOOSE(UserInterface!$C$22,#REF!,#REF!,#REF!,#REF!,#REF!,Scotland!AV253,Southern!AV253,#REF!)</f>
        <v>0</v>
      </c>
      <c r="AW253" s="23">
        <f>CHOOSE(UserInterface!$C$22,#REF!,#REF!,#REF!,#REF!,#REF!,Scotland!AW253,Southern!AW253,#REF!)</f>
        <v>0</v>
      </c>
      <c r="AX253" s="23">
        <f>CHOOSE(UserInterface!$C$22,#REF!,#REF!,#REF!,#REF!,#REF!,Scotland!AX253,Southern!AX253,#REF!)</f>
        <v>0</v>
      </c>
      <c r="AY253" s="194">
        <f>CHOOSE(UserInterface!$C$22,#REF!,#REF!,#REF!,#REF!,#REF!,Scotland!AY253,Southern!AY253,#REF!)</f>
        <v>0</v>
      </c>
      <c r="BA253" s="34" t="str">
        <f t="shared" ca="1" si="153"/>
        <v>LicenseeSelect</v>
      </c>
      <c r="BB253" s="34" t="str">
        <f t="shared" si="154"/>
        <v>Fixed Inputs</v>
      </c>
      <c r="BC253" s="34" t="str">
        <f t="shared" si="151"/>
        <v>Variant allowances</v>
      </c>
      <c r="BD253" s="34" t="str">
        <f t="shared" si="155"/>
        <v>Totex variant allowances allocation percentages</v>
      </c>
    </row>
    <row r="254" spans="5:56" x14ac:dyDescent="0.35">
      <c r="E254" s="195" t="str" cm="1">
        <f t="array" ref="E254">INDEX($E$99:$E$202,INT((ROW()-ROW($E$205))/5)+1)</f>
        <v>PCD_Iron Stubs / Tier 1 Stubs decommissioning PCD</v>
      </c>
      <c r="F254" s="196"/>
      <c r="G254" s="196" t="s">
        <v>109</v>
      </c>
      <c r="H254" s="196" t="s">
        <v>172</v>
      </c>
      <c r="I254" s="196"/>
      <c r="J254" s="196"/>
      <c r="K254" s="196"/>
      <c r="L254" s="196"/>
      <c r="M254" s="196"/>
      <c r="N254" s="196"/>
      <c r="O254" s="196"/>
      <c r="P254" s="196"/>
      <c r="Q254" s="196"/>
      <c r="R254" s="196"/>
      <c r="S254" s="196"/>
      <c r="T254" s="196"/>
      <c r="U254" s="196"/>
      <c r="V254" s="196"/>
      <c r="W254" s="196"/>
      <c r="X254" s="196"/>
      <c r="Y254" s="196"/>
      <c r="Z254" s="196"/>
      <c r="AA254" s="196"/>
      <c r="AB254" s="196"/>
      <c r="AC254" s="196"/>
      <c r="AD254" s="196"/>
      <c r="AE254" s="196"/>
      <c r="AF254" s="196"/>
      <c r="AG254" s="196"/>
      <c r="AH254" s="196"/>
      <c r="AI254" s="196"/>
      <c r="AJ254" s="196"/>
      <c r="AK254" s="196"/>
      <c r="AL254" s="196"/>
      <c r="AM254" s="196"/>
      <c r="AN254" s="196"/>
      <c r="AO254" s="196"/>
      <c r="AP254" s="196"/>
      <c r="AQ254" s="196"/>
      <c r="AR254" s="196"/>
      <c r="AS254" s="196"/>
      <c r="AT254" s="197"/>
      <c r="AU254" s="198">
        <f>CHOOSE(UserInterface!$C$22,#REF!,#REF!,#REF!,#REF!,#REF!,Scotland!AU254,Southern!AU254,#REF!)</f>
        <v>1</v>
      </c>
      <c r="AV254" s="199">
        <f>CHOOSE(UserInterface!$C$22,#REF!,#REF!,#REF!,#REF!,#REF!,Scotland!AV254,Southern!AV254,#REF!)</f>
        <v>1</v>
      </c>
      <c r="AW254" s="199">
        <f>CHOOSE(UserInterface!$C$22,#REF!,#REF!,#REF!,#REF!,#REF!,Scotland!AW254,Southern!AW254,#REF!)</f>
        <v>1</v>
      </c>
      <c r="AX254" s="199">
        <f>CHOOSE(UserInterface!$C$22,#REF!,#REF!,#REF!,#REF!,#REF!,Scotland!AX254,Southern!AX254,#REF!)</f>
        <v>1</v>
      </c>
      <c r="AY254" s="200">
        <f>CHOOSE(UserInterface!$C$22,#REF!,#REF!,#REF!,#REF!,#REF!,Scotland!AY254,Southern!AY254,#REF!)</f>
        <v>1</v>
      </c>
      <c r="BA254" s="34" t="str">
        <f t="shared" ca="1" si="153"/>
        <v>LicenseeSelect</v>
      </c>
      <c r="BB254" s="34" t="str">
        <f t="shared" si="154"/>
        <v>Fixed Inputs</v>
      </c>
      <c r="BC254" s="34" t="str">
        <f t="shared" si="151"/>
        <v>Variant allowances</v>
      </c>
      <c r="BD254" s="34" t="str">
        <f t="shared" si="155"/>
        <v>Totex variant allowances allocation percentages</v>
      </c>
    </row>
    <row r="255" spans="5:56" x14ac:dyDescent="0.35">
      <c r="E255" s="187" t="str" cm="1">
        <f t="array" ref="E255">INDEX($E$99:$E$202,INT((ROW()-ROW($E$205))/5)+1)</f>
        <v>PCD_Full Site and System Rebuilds (SGN_all)</v>
      </c>
      <c r="F255" s="188"/>
      <c r="G255" s="188" t="s">
        <v>109</v>
      </c>
      <c r="H255" s="188" t="s">
        <v>168</v>
      </c>
      <c r="I255" s="188"/>
      <c r="J255" s="188"/>
      <c r="K255" s="188"/>
      <c r="L255" s="188"/>
      <c r="M255" s="188"/>
      <c r="N255" s="188"/>
      <c r="O255" s="188"/>
      <c r="P255" s="188"/>
      <c r="Q255" s="188"/>
      <c r="R255" s="188"/>
      <c r="S255" s="188"/>
      <c r="T255" s="188"/>
      <c r="U255" s="188"/>
      <c r="V255" s="188"/>
      <c r="W255" s="188"/>
      <c r="X255" s="188"/>
      <c r="Y255" s="188"/>
      <c r="Z255" s="188"/>
      <c r="AA255" s="188"/>
      <c r="AB255" s="188"/>
      <c r="AC255" s="188"/>
      <c r="AD255" s="188"/>
      <c r="AE255" s="188"/>
      <c r="AF255" s="188"/>
      <c r="AG255" s="188"/>
      <c r="AH255" s="188"/>
      <c r="AI255" s="188"/>
      <c r="AJ255" s="188"/>
      <c r="AK255" s="188"/>
      <c r="AL255" s="188"/>
      <c r="AM255" s="188"/>
      <c r="AN255" s="188"/>
      <c r="AO255" s="188"/>
      <c r="AP255" s="188"/>
      <c r="AQ255" s="188"/>
      <c r="AR255" s="188"/>
      <c r="AS255" s="188"/>
      <c r="AT255" s="189"/>
      <c r="AU255" s="190">
        <f>CHOOSE(UserInterface!$C$22,#REF!,#REF!,#REF!,#REF!,#REF!,Scotland!AU255,Southern!AU255,#REF!)</f>
        <v>0</v>
      </c>
      <c r="AV255" s="191">
        <f>CHOOSE(UserInterface!$C$22,#REF!,#REF!,#REF!,#REF!,#REF!,Scotland!AV255,Southern!AV255,#REF!)</f>
        <v>0</v>
      </c>
      <c r="AW255" s="191">
        <f>CHOOSE(UserInterface!$C$22,#REF!,#REF!,#REF!,#REF!,#REF!,Scotland!AW255,Southern!AW255,#REF!)</f>
        <v>0</v>
      </c>
      <c r="AX255" s="191">
        <f>CHOOSE(UserInterface!$C$22,#REF!,#REF!,#REF!,#REF!,#REF!,Scotland!AX255,Southern!AX255,#REF!)</f>
        <v>0</v>
      </c>
      <c r="AY255" s="192">
        <f>CHOOSE(UserInterface!$C$22,#REF!,#REF!,#REF!,#REF!,#REF!,Scotland!AY255,Southern!AY255,#REF!)</f>
        <v>0</v>
      </c>
      <c r="BA255" s="34" t="str">
        <f t="shared" ca="1" si="153"/>
        <v>LicenseeSelect</v>
      </c>
      <c r="BB255" s="34" t="str">
        <f t="shared" si="154"/>
        <v>Fixed Inputs</v>
      </c>
      <c r="BC255" s="34" t="str">
        <f t="shared" si="151"/>
        <v>Variant allowances</v>
      </c>
      <c r="BD255" s="34" t="str">
        <f t="shared" si="155"/>
        <v>Totex variant allowances allocation percentages</v>
      </c>
    </row>
    <row r="256" spans="5:56" x14ac:dyDescent="0.35">
      <c r="E256" s="193" t="str" cm="1">
        <f t="array" ref="E256">INDEX($E$99:$E$202,INT((ROW()-ROW($E$205))/5)+1)</f>
        <v>PCD_Full Site and System Rebuilds (SGN_all)</v>
      </c>
      <c r="G256" s="33" t="s">
        <v>109</v>
      </c>
      <c r="H256" s="33" t="s">
        <v>169</v>
      </c>
      <c r="AT256" s="108"/>
      <c r="AU256" s="140">
        <f>CHOOSE(UserInterface!$C$22,#REF!,#REF!,#REF!,#REF!,#REF!,Scotland!AU256,Southern!AU256,#REF!)</f>
        <v>1</v>
      </c>
      <c r="AV256" s="23">
        <f>CHOOSE(UserInterface!$C$22,#REF!,#REF!,#REF!,#REF!,#REF!,Scotland!AV256,Southern!AV256,#REF!)</f>
        <v>1</v>
      </c>
      <c r="AW256" s="23">
        <f>CHOOSE(UserInterface!$C$22,#REF!,#REF!,#REF!,#REF!,#REF!,Scotland!AW256,Southern!AW256,#REF!)</f>
        <v>1</v>
      </c>
      <c r="AX256" s="23">
        <f>CHOOSE(UserInterface!$C$22,#REF!,#REF!,#REF!,#REF!,#REF!,Scotland!AX256,Southern!AX256,#REF!)</f>
        <v>1</v>
      </c>
      <c r="AY256" s="194">
        <f>CHOOSE(UserInterface!$C$22,#REF!,#REF!,#REF!,#REF!,#REF!,Scotland!AY256,Southern!AY256,#REF!)</f>
        <v>1</v>
      </c>
      <c r="BA256" s="34" t="str">
        <f t="shared" ca="1" si="153"/>
        <v>LicenseeSelect</v>
      </c>
      <c r="BB256" s="34" t="str">
        <f t="shared" si="154"/>
        <v>Fixed Inputs</v>
      </c>
      <c r="BC256" s="34" t="str">
        <f t="shared" si="151"/>
        <v>Variant allowances</v>
      </c>
      <c r="BD256" s="34" t="str">
        <f t="shared" si="155"/>
        <v>Totex variant allowances allocation percentages</v>
      </c>
    </row>
    <row r="257" spans="5:56" x14ac:dyDescent="0.35">
      <c r="E257" s="193" t="str" cm="1">
        <f t="array" ref="E257">INDEX($E$99:$E$202,INT((ROW()-ROW($E$205))/5)+1)</f>
        <v>PCD_Full Site and System Rebuilds (SGN_all)</v>
      </c>
      <c r="G257" s="33" t="s">
        <v>109</v>
      </c>
      <c r="H257" s="33" t="s">
        <v>170</v>
      </c>
      <c r="AT257" s="108"/>
      <c r="AU257" s="140">
        <f>CHOOSE(UserInterface!$C$22,#REF!,#REF!,#REF!,#REF!,#REF!,Scotland!AU257,Southern!AU257,#REF!)</f>
        <v>0</v>
      </c>
      <c r="AV257" s="23">
        <f>CHOOSE(UserInterface!$C$22,#REF!,#REF!,#REF!,#REF!,#REF!,Scotland!AV257,Southern!AV257,#REF!)</f>
        <v>0</v>
      </c>
      <c r="AW257" s="23">
        <f>CHOOSE(UserInterface!$C$22,#REF!,#REF!,#REF!,#REF!,#REF!,Scotland!AW257,Southern!AW257,#REF!)</f>
        <v>0</v>
      </c>
      <c r="AX257" s="23">
        <f>CHOOSE(UserInterface!$C$22,#REF!,#REF!,#REF!,#REF!,#REF!,Scotland!AX257,Southern!AX257,#REF!)</f>
        <v>0</v>
      </c>
      <c r="AY257" s="194">
        <f>CHOOSE(UserInterface!$C$22,#REF!,#REF!,#REF!,#REF!,#REF!,Scotland!AY257,Southern!AY257,#REF!)</f>
        <v>0</v>
      </c>
      <c r="BA257" s="34" t="str">
        <f t="shared" ca="1" si="153"/>
        <v>LicenseeSelect</v>
      </c>
      <c r="BB257" s="34" t="str">
        <f t="shared" si="154"/>
        <v>Fixed Inputs</v>
      </c>
      <c r="BC257" s="34" t="str">
        <f t="shared" si="151"/>
        <v>Variant allowances</v>
      </c>
      <c r="BD257" s="34" t="str">
        <f t="shared" si="155"/>
        <v>Totex variant allowances allocation percentages</v>
      </c>
    </row>
    <row r="258" spans="5:56" x14ac:dyDescent="0.35">
      <c r="E258" s="193" t="str" cm="1">
        <f t="array" ref="E258">INDEX($E$99:$E$202,INT((ROW()-ROW($E$205))/5)+1)</f>
        <v>PCD_Full Site and System Rebuilds (SGN_all)</v>
      </c>
      <c r="G258" s="33" t="s">
        <v>109</v>
      </c>
      <c r="H258" s="33" t="s">
        <v>171</v>
      </c>
      <c r="AT258" s="108"/>
      <c r="AU258" s="140">
        <f>CHOOSE(UserInterface!$C$22,#REF!,#REF!,#REF!,#REF!,#REF!,Scotland!AU258,Southern!AU258,#REF!)</f>
        <v>0</v>
      </c>
      <c r="AV258" s="23">
        <f>CHOOSE(UserInterface!$C$22,#REF!,#REF!,#REF!,#REF!,#REF!,Scotland!AV258,Southern!AV258,#REF!)</f>
        <v>0</v>
      </c>
      <c r="AW258" s="23">
        <f>CHOOSE(UserInterface!$C$22,#REF!,#REF!,#REF!,#REF!,#REF!,Scotland!AW258,Southern!AW258,#REF!)</f>
        <v>0</v>
      </c>
      <c r="AX258" s="23">
        <f>CHOOSE(UserInterface!$C$22,#REF!,#REF!,#REF!,#REF!,#REF!,Scotland!AX258,Southern!AX258,#REF!)</f>
        <v>0</v>
      </c>
      <c r="AY258" s="194">
        <f>CHOOSE(UserInterface!$C$22,#REF!,#REF!,#REF!,#REF!,#REF!,Scotland!AY258,Southern!AY258,#REF!)</f>
        <v>0</v>
      </c>
      <c r="BA258" s="34" t="str">
        <f t="shared" ca="1" si="153"/>
        <v>LicenseeSelect</v>
      </c>
      <c r="BB258" s="34" t="str">
        <f t="shared" si="154"/>
        <v>Fixed Inputs</v>
      </c>
      <c r="BC258" s="34" t="str">
        <f t="shared" si="151"/>
        <v>Variant allowances</v>
      </c>
      <c r="BD258" s="34" t="str">
        <f t="shared" si="155"/>
        <v>Totex variant allowances allocation percentages</v>
      </c>
    </row>
    <row r="259" spans="5:56" x14ac:dyDescent="0.35">
      <c r="E259" s="195" t="str" cm="1">
        <f t="array" ref="E259">INDEX($E$99:$E$202,INT((ROW()-ROW($E$205))/5)+1)</f>
        <v>PCD_Full Site and System Rebuilds (SGN_all)</v>
      </c>
      <c r="F259" s="196"/>
      <c r="G259" s="196" t="s">
        <v>109</v>
      </c>
      <c r="H259" s="196" t="s">
        <v>172</v>
      </c>
      <c r="I259" s="196"/>
      <c r="J259" s="196"/>
      <c r="K259" s="196"/>
      <c r="L259" s="196"/>
      <c r="M259" s="196"/>
      <c r="N259" s="196"/>
      <c r="O259" s="196"/>
      <c r="P259" s="196"/>
      <c r="Q259" s="196"/>
      <c r="R259" s="196"/>
      <c r="S259" s="196"/>
      <c r="T259" s="196"/>
      <c r="U259" s="196"/>
      <c r="V259" s="196"/>
      <c r="W259" s="196"/>
      <c r="X259" s="196"/>
      <c r="Y259" s="196"/>
      <c r="Z259" s="196"/>
      <c r="AA259" s="196"/>
      <c r="AB259" s="196"/>
      <c r="AC259" s="196"/>
      <c r="AD259" s="196"/>
      <c r="AE259" s="196"/>
      <c r="AF259" s="196"/>
      <c r="AG259" s="196"/>
      <c r="AH259" s="196"/>
      <c r="AI259" s="196"/>
      <c r="AJ259" s="196"/>
      <c r="AK259" s="196"/>
      <c r="AL259" s="196"/>
      <c r="AM259" s="196"/>
      <c r="AN259" s="196"/>
      <c r="AO259" s="196"/>
      <c r="AP259" s="196"/>
      <c r="AQ259" s="196"/>
      <c r="AR259" s="196"/>
      <c r="AS259" s="196"/>
      <c r="AT259" s="197"/>
      <c r="AU259" s="198">
        <f>CHOOSE(UserInterface!$C$22,#REF!,#REF!,#REF!,#REF!,#REF!,Scotland!AU259,Southern!AU259,#REF!)</f>
        <v>0</v>
      </c>
      <c r="AV259" s="199">
        <f>CHOOSE(UserInterface!$C$22,#REF!,#REF!,#REF!,#REF!,#REF!,Scotland!AV259,Southern!AV259,#REF!)</f>
        <v>0</v>
      </c>
      <c r="AW259" s="199">
        <f>CHOOSE(UserInterface!$C$22,#REF!,#REF!,#REF!,#REF!,#REF!,Scotland!AW259,Southern!AW259,#REF!)</f>
        <v>0</v>
      </c>
      <c r="AX259" s="199">
        <f>CHOOSE(UserInterface!$C$22,#REF!,#REF!,#REF!,#REF!,#REF!,Scotland!AX259,Southern!AX259,#REF!)</f>
        <v>0</v>
      </c>
      <c r="AY259" s="200">
        <f>CHOOSE(UserInterface!$C$22,#REF!,#REF!,#REF!,#REF!,#REF!,Scotland!AY259,Southern!AY259,#REF!)</f>
        <v>0</v>
      </c>
      <c r="BA259" s="34" t="str">
        <f t="shared" ca="1" si="153"/>
        <v>LicenseeSelect</v>
      </c>
      <c r="BB259" s="34" t="str">
        <f t="shared" si="154"/>
        <v>Fixed Inputs</v>
      </c>
      <c r="BC259" s="34" t="str">
        <f t="shared" si="151"/>
        <v>Variant allowances</v>
      </c>
      <c r="BD259" s="34" t="str">
        <f t="shared" si="155"/>
        <v>Totex variant allowances allocation percentages</v>
      </c>
    </row>
    <row r="260" spans="5:56" x14ac:dyDescent="0.35">
      <c r="E260" s="187" t="str" cm="1">
        <f t="array" ref="E260">INDEX($E$99:$E$202,INT((ROW()-ROW($E$205))/5)+1)</f>
        <v>PCD_Glenmavis (Offtake) (SGN_Sc) / Full site and system rebuilds PCD (SGN)</v>
      </c>
      <c r="F260" s="188"/>
      <c r="G260" s="188" t="s">
        <v>109</v>
      </c>
      <c r="H260" s="188" t="s">
        <v>168</v>
      </c>
      <c r="I260" s="188"/>
      <c r="J260" s="188"/>
      <c r="K260" s="188"/>
      <c r="L260" s="188"/>
      <c r="M260" s="188"/>
      <c r="N260" s="188"/>
      <c r="O260" s="188"/>
      <c r="P260" s="188"/>
      <c r="Q260" s="188"/>
      <c r="R260" s="188"/>
      <c r="S260" s="188"/>
      <c r="T260" s="188"/>
      <c r="U260" s="188"/>
      <c r="V260" s="188"/>
      <c r="W260" s="188"/>
      <c r="X260" s="188"/>
      <c r="Y260" s="188"/>
      <c r="Z260" s="188"/>
      <c r="AA260" s="188"/>
      <c r="AB260" s="188"/>
      <c r="AC260" s="188"/>
      <c r="AD260" s="188"/>
      <c r="AE260" s="188"/>
      <c r="AF260" s="188"/>
      <c r="AG260" s="188"/>
      <c r="AH260" s="188"/>
      <c r="AI260" s="188"/>
      <c r="AJ260" s="188"/>
      <c r="AK260" s="188"/>
      <c r="AL260" s="188"/>
      <c r="AM260" s="188"/>
      <c r="AN260" s="188"/>
      <c r="AO260" s="188"/>
      <c r="AP260" s="188"/>
      <c r="AQ260" s="188"/>
      <c r="AR260" s="188"/>
      <c r="AS260" s="188"/>
      <c r="AT260" s="189"/>
      <c r="AU260" s="190">
        <f>CHOOSE(UserInterface!$C$22,#REF!,#REF!,#REF!,#REF!,#REF!,Scotland!AU260,Southern!AU260,#REF!)</f>
        <v>0</v>
      </c>
      <c r="AV260" s="191">
        <f>CHOOSE(UserInterface!$C$22,#REF!,#REF!,#REF!,#REF!,#REF!,Scotland!AV260,Southern!AV260,#REF!)</f>
        <v>0</v>
      </c>
      <c r="AW260" s="191">
        <f>CHOOSE(UserInterface!$C$22,#REF!,#REF!,#REF!,#REF!,#REF!,Scotland!AW260,Southern!AW260,#REF!)</f>
        <v>0</v>
      </c>
      <c r="AX260" s="191">
        <f>CHOOSE(UserInterface!$C$22,#REF!,#REF!,#REF!,#REF!,#REF!,Scotland!AX260,Southern!AX260,#REF!)</f>
        <v>0</v>
      </c>
      <c r="AY260" s="192">
        <f>CHOOSE(UserInterface!$C$22,#REF!,#REF!,#REF!,#REF!,#REF!,Scotland!AY260,Southern!AY260,#REF!)</f>
        <v>0</v>
      </c>
      <c r="BA260" s="34" t="str">
        <f t="shared" ca="1" si="153"/>
        <v>LicenseeSelect</v>
      </c>
      <c r="BB260" s="34" t="str">
        <f t="shared" si="154"/>
        <v>Fixed Inputs</v>
      </c>
      <c r="BC260" s="34" t="str">
        <f t="shared" si="151"/>
        <v>Variant allowances</v>
      </c>
      <c r="BD260" s="34" t="str">
        <f t="shared" si="155"/>
        <v>Totex variant allowances allocation percentages</v>
      </c>
    </row>
    <row r="261" spans="5:56" x14ac:dyDescent="0.35">
      <c r="E261" s="193" t="str" cm="1">
        <f t="array" ref="E261">INDEX($E$99:$E$202,INT((ROW()-ROW($E$205))/5)+1)</f>
        <v>PCD_Glenmavis (Offtake) (SGN_Sc) / Full site and system rebuilds PCD (SGN)</v>
      </c>
      <c r="G261" s="33" t="s">
        <v>109</v>
      </c>
      <c r="H261" s="33" t="s">
        <v>169</v>
      </c>
      <c r="AT261" s="108"/>
      <c r="AU261" s="140">
        <f>CHOOSE(UserInterface!$C$22,#REF!,#REF!,#REF!,#REF!,#REF!,Scotland!AU261,Southern!AU261,#REF!)</f>
        <v>1</v>
      </c>
      <c r="AV261" s="23">
        <f>CHOOSE(UserInterface!$C$22,#REF!,#REF!,#REF!,#REF!,#REF!,Scotland!AV261,Southern!AV261,#REF!)</f>
        <v>1</v>
      </c>
      <c r="AW261" s="23">
        <f>CHOOSE(UserInterface!$C$22,#REF!,#REF!,#REF!,#REF!,#REF!,Scotland!AW261,Southern!AW261,#REF!)</f>
        <v>1</v>
      </c>
      <c r="AX261" s="23">
        <f>CHOOSE(UserInterface!$C$22,#REF!,#REF!,#REF!,#REF!,#REF!,Scotland!AX261,Southern!AX261,#REF!)</f>
        <v>1</v>
      </c>
      <c r="AY261" s="194">
        <f>CHOOSE(UserInterface!$C$22,#REF!,#REF!,#REF!,#REF!,#REF!,Scotland!AY261,Southern!AY261,#REF!)</f>
        <v>1</v>
      </c>
      <c r="BA261" s="34" t="str">
        <f t="shared" ca="1" si="153"/>
        <v>LicenseeSelect</v>
      </c>
      <c r="BB261" s="34" t="str">
        <f t="shared" si="154"/>
        <v>Fixed Inputs</v>
      </c>
      <c r="BC261" s="34" t="str">
        <f t="shared" si="151"/>
        <v>Variant allowances</v>
      </c>
      <c r="BD261" s="34" t="str">
        <f t="shared" si="155"/>
        <v>Totex variant allowances allocation percentages</v>
      </c>
    </row>
    <row r="262" spans="5:56" x14ac:dyDescent="0.35">
      <c r="E262" s="193" t="str" cm="1">
        <f t="array" ref="E262">INDEX($E$99:$E$202,INT((ROW()-ROW($E$205))/5)+1)</f>
        <v>PCD_Glenmavis (Offtake) (SGN_Sc) / Full site and system rebuilds PCD (SGN)</v>
      </c>
      <c r="G262" s="33" t="s">
        <v>109</v>
      </c>
      <c r="H262" s="33" t="s">
        <v>170</v>
      </c>
      <c r="AT262" s="108"/>
      <c r="AU262" s="140">
        <f>CHOOSE(UserInterface!$C$22,#REF!,#REF!,#REF!,#REF!,#REF!,Scotland!AU262,Southern!AU262,#REF!)</f>
        <v>0</v>
      </c>
      <c r="AV262" s="23">
        <f>CHOOSE(UserInterface!$C$22,#REF!,#REF!,#REF!,#REF!,#REF!,Scotland!AV262,Southern!AV262,#REF!)</f>
        <v>0</v>
      </c>
      <c r="AW262" s="23">
        <f>CHOOSE(UserInterface!$C$22,#REF!,#REF!,#REF!,#REF!,#REF!,Scotland!AW262,Southern!AW262,#REF!)</f>
        <v>0</v>
      </c>
      <c r="AX262" s="23">
        <f>CHOOSE(UserInterface!$C$22,#REF!,#REF!,#REF!,#REF!,#REF!,Scotland!AX262,Southern!AX262,#REF!)</f>
        <v>0</v>
      </c>
      <c r="AY262" s="194">
        <f>CHOOSE(UserInterface!$C$22,#REF!,#REF!,#REF!,#REF!,#REF!,Scotland!AY262,Southern!AY262,#REF!)</f>
        <v>0</v>
      </c>
      <c r="BA262" s="34" t="str">
        <f t="shared" ca="1" si="153"/>
        <v>LicenseeSelect</v>
      </c>
      <c r="BB262" s="34" t="str">
        <f t="shared" si="154"/>
        <v>Fixed Inputs</v>
      </c>
      <c r="BC262" s="34" t="str">
        <f t="shared" si="151"/>
        <v>Variant allowances</v>
      </c>
      <c r="BD262" s="34" t="str">
        <f t="shared" si="155"/>
        <v>Totex variant allowances allocation percentages</v>
      </c>
    </row>
    <row r="263" spans="5:56" x14ac:dyDescent="0.35">
      <c r="E263" s="193" t="str" cm="1">
        <f t="array" ref="E263">INDEX($E$99:$E$202,INT((ROW()-ROW($E$205))/5)+1)</f>
        <v>PCD_Glenmavis (Offtake) (SGN_Sc) / Full site and system rebuilds PCD (SGN)</v>
      </c>
      <c r="G263" s="33" t="s">
        <v>109</v>
      </c>
      <c r="H263" s="33" t="s">
        <v>171</v>
      </c>
      <c r="AT263" s="108"/>
      <c r="AU263" s="140">
        <f>CHOOSE(UserInterface!$C$22,#REF!,#REF!,#REF!,#REF!,#REF!,Scotland!AU263,Southern!AU263,#REF!)</f>
        <v>0</v>
      </c>
      <c r="AV263" s="23">
        <f>CHOOSE(UserInterface!$C$22,#REF!,#REF!,#REF!,#REF!,#REF!,Scotland!AV263,Southern!AV263,#REF!)</f>
        <v>0</v>
      </c>
      <c r="AW263" s="23">
        <f>CHOOSE(UserInterface!$C$22,#REF!,#REF!,#REF!,#REF!,#REF!,Scotland!AW263,Southern!AW263,#REF!)</f>
        <v>0</v>
      </c>
      <c r="AX263" s="23">
        <f>CHOOSE(UserInterface!$C$22,#REF!,#REF!,#REF!,#REF!,#REF!,Scotland!AX263,Southern!AX263,#REF!)</f>
        <v>0</v>
      </c>
      <c r="AY263" s="194">
        <f>CHOOSE(UserInterface!$C$22,#REF!,#REF!,#REF!,#REF!,#REF!,Scotland!AY263,Southern!AY263,#REF!)</f>
        <v>0</v>
      </c>
      <c r="BA263" s="34" t="str">
        <f t="shared" ca="1" si="153"/>
        <v>LicenseeSelect</v>
      </c>
      <c r="BB263" s="34" t="str">
        <f t="shared" si="154"/>
        <v>Fixed Inputs</v>
      </c>
      <c r="BC263" s="34" t="str">
        <f t="shared" si="151"/>
        <v>Variant allowances</v>
      </c>
      <c r="BD263" s="34" t="str">
        <f t="shared" si="155"/>
        <v>Totex variant allowances allocation percentages</v>
      </c>
    </row>
    <row r="264" spans="5:56" x14ac:dyDescent="0.35">
      <c r="E264" s="195" t="str" cm="1">
        <f t="array" ref="E264">INDEX($E$99:$E$202,INT((ROW()-ROW($E$205))/5)+1)</f>
        <v>PCD_Glenmavis (Offtake) (SGN_Sc) / Full site and system rebuilds PCD (SGN)</v>
      </c>
      <c r="F264" s="196"/>
      <c r="G264" s="196" t="s">
        <v>109</v>
      </c>
      <c r="H264" s="196" t="s">
        <v>172</v>
      </c>
      <c r="I264" s="196"/>
      <c r="J264" s="196"/>
      <c r="K264" s="196"/>
      <c r="L264" s="196"/>
      <c r="M264" s="196"/>
      <c r="N264" s="196"/>
      <c r="O264" s="196"/>
      <c r="P264" s="196"/>
      <c r="Q264" s="196"/>
      <c r="R264" s="196"/>
      <c r="S264" s="196"/>
      <c r="T264" s="196"/>
      <c r="U264" s="196"/>
      <c r="V264" s="196"/>
      <c r="W264" s="196"/>
      <c r="X264" s="196"/>
      <c r="Y264" s="196"/>
      <c r="Z264" s="196"/>
      <c r="AA264" s="196"/>
      <c r="AB264" s="196"/>
      <c r="AC264" s="196"/>
      <c r="AD264" s="196"/>
      <c r="AE264" s="196"/>
      <c r="AF264" s="196"/>
      <c r="AG264" s="196"/>
      <c r="AH264" s="196"/>
      <c r="AI264" s="196"/>
      <c r="AJ264" s="196"/>
      <c r="AK264" s="196"/>
      <c r="AL264" s="196"/>
      <c r="AM264" s="196"/>
      <c r="AN264" s="196"/>
      <c r="AO264" s="196"/>
      <c r="AP264" s="196"/>
      <c r="AQ264" s="196"/>
      <c r="AR264" s="196"/>
      <c r="AS264" s="196"/>
      <c r="AT264" s="197"/>
      <c r="AU264" s="198">
        <f>CHOOSE(UserInterface!$C$22,#REF!,#REF!,#REF!,#REF!,#REF!,Scotland!AU264,Southern!AU264,#REF!)</f>
        <v>0</v>
      </c>
      <c r="AV264" s="199">
        <f>CHOOSE(UserInterface!$C$22,#REF!,#REF!,#REF!,#REF!,#REF!,Scotland!AV264,Southern!AV264,#REF!)</f>
        <v>0</v>
      </c>
      <c r="AW264" s="199">
        <f>CHOOSE(UserInterface!$C$22,#REF!,#REF!,#REF!,#REF!,#REF!,Scotland!AW264,Southern!AW264,#REF!)</f>
        <v>0</v>
      </c>
      <c r="AX264" s="199">
        <f>CHOOSE(UserInterface!$C$22,#REF!,#REF!,#REF!,#REF!,#REF!,Scotland!AX264,Southern!AX264,#REF!)</f>
        <v>0</v>
      </c>
      <c r="AY264" s="200">
        <f>CHOOSE(UserInterface!$C$22,#REF!,#REF!,#REF!,#REF!,#REF!,Scotland!AY264,Southern!AY264,#REF!)</f>
        <v>0</v>
      </c>
      <c r="BA264" s="34" t="str">
        <f t="shared" ca="1" si="153"/>
        <v>LicenseeSelect</v>
      </c>
      <c r="BB264" s="34" t="str">
        <f t="shared" si="154"/>
        <v>Fixed Inputs</v>
      </c>
      <c r="BC264" s="34" t="str">
        <f t="shared" si="151"/>
        <v>Variant allowances</v>
      </c>
      <c r="BD264" s="34" t="str">
        <f t="shared" si="155"/>
        <v>Totex variant allowances allocation percentages</v>
      </c>
    </row>
    <row r="265" spans="5:56" x14ac:dyDescent="0.35">
      <c r="E265" s="187" t="str" cm="1">
        <f t="array" ref="E265">INDEX($E$99:$E$202,INT((ROW()-ROW($E$205))/5)+1)</f>
        <v>PCD_Isle of Grain (SGN_So) / Full site and system rebuilds PCD (SGN)</v>
      </c>
      <c r="F265" s="188"/>
      <c r="G265" s="188" t="s">
        <v>109</v>
      </c>
      <c r="H265" s="188" t="s">
        <v>168</v>
      </c>
      <c r="I265" s="188"/>
      <c r="J265" s="188"/>
      <c r="K265" s="188"/>
      <c r="L265" s="188"/>
      <c r="M265" s="188"/>
      <c r="N265" s="188"/>
      <c r="O265" s="188"/>
      <c r="P265" s="188"/>
      <c r="Q265" s="188"/>
      <c r="R265" s="188"/>
      <c r="S265" s="188"/>
      <c r="T265" s="188"/>
      <c r="U265" s="188"/>
      <c r="V265" s="188"/>
      <c r="W265" s="188"/>
      <c r="X265" s="188"/>
      <c r="Y265" s="188"/>
      <c r="Z265" s="188"/>
      <c r="AA265" s="188"/>
      <c r="AB265" s="188"/>
      <c r="AC265" s="188"/>
      <c r="AD265" s="188"/>
      <c r="AE265" s="188"/>
      <c r="AF265" s="188"/>
      <c r="AG265" s="188"/>
      <c r="AH265" s="188"/>
      <c r="AI265" s="188"/>
      <c r="AJ265" s="188"/>
      <c r="AK265" s="188"/>
      <c r="AL265" s="188"/>
      <c r="AM265" s="188"/>
      <c r="AN265" s="188"/>
      <c r="AO265" s="188"/>
      <c r="AP265" s="188"/>
      <c r="AQ265" s="188"/>
      <c r="AR265" s="188"/>
      <c r="AS265" s="188"/>
      <c r="AT265" s="189"/>
      <c r="AU265" s="190">
        <f>CHOOSE(UserInterface!$C$22,#REF!,#REF!,#REF!,#REF!,#REF!,Scotland!AU265,Southern!AU265,#REF!)</f>
        <v>0</v>
      </c>
      <c r="AV265" s="191">
        <f>CHOOSE(UserInterface!$C$22,#REF!,#REF!,#REF!,#REF!,#REF!,Scotland!AV265,Southern!AV265,#REF!)</f>
        <v>0</v>
      </c>
      <c r="AW265" s="191">
        <f>CHOOSE(UserInterface!$C$22,#REF!,#REF!,#REF!,#REF!,#REF!,Scotland!AW265,Southern!AW265,#REF!)</f>
        <v>0</v>
      </c>
      <c r="AX265" s="191">
        <f>CHOOSE(UserInterface!$C$22,#REF!,#REF!,#REF!,#REF!,#REF!,Scotland!AX265,Southern!AX265,#REF!)</f>
        <v>0</v>
      </c>
      <c r="AY265" s="192">
        <f>CHOOSE(UserInterface!$C$22,#REF!,#REF!,#REF!,#REF!,#REF!,Scotland!AY265,Southern!AY265,#REF!)</f>
        <v>0</v>
      </c>
      <c r="BA265" s="34" t="str">
        <f t="shared" ca="1" si="153"/>
        <v>LicenseeSelect</v>
      </c>
      <c r="BB265" s="34" t="str">
        <f t="shared" si="154"/>
        <v>Fixed Inputs</v>
      </c>
      <c r="BC265" s="34" t="str">
        <f t="shared" si="151"/>
        <v>Variant allowances</v>
      </c>
      <c r="BD265" s="34" t="str">
        <f t="shared" si="155"/>
        <v>Totex variant allowances allocation percentages</v>
      </c>
    </row>
    <row r="266" spans="5:56" x14ac:dyDescent="0.35">
      <c r="E266" s="193" t="str" cm="1">
        <f t="array" ref="E266">INDEX($E$99:$E$202,INT((ROW()-ROW($E$205))/5)+1)</f>
        <v>PCD_Isle of Grain (SGN_So) / Full site and system rebuilds PCD (SGN)</v>
      </c>
      <c r="G266" s="33" t="s">
        <v>109</v>
      </c>
      <c r="H266" s="33" t="s">
        <v>169</v>
      </c>
      <c r="AT266" s="108"/>
      <c r="AU266" s="140">
        <f>CHOOSE(UserInterface!$C$22,#REF!,#REF!,#REF!,#REF!,#REF!,Scotland!AU266,Southern!AU266,#REF!)</f>
        <v>1</v>
      </c>
      <c r="AV266" s="23">
        <f>CHOOSE(UserInterface!$C$22,#REF!,#REF!,#REF!,#REF!,#REF!,Scotland!AV266,Southern!AV266,#REF!)</f>
        <v>1</v>
      </c>
      <c r="AW266" s="23">
        <f>CHOOSE(UserInterface!$C$22,#REF!,#REF!,#REF!,#REF!,#REF!,Scotland!AW266,Southern!AW266,#REF!)</f>
        <v>1</v>
      </c>
      <c r="AX266" s="23">
        <f>CHOOSE(UserInterface!$C$22,#REF!,#REF!,#REF!,#REF!,#REF!,Scotland!AX266,Southern!AX266,#REF!)</f>
        <v>1</v>
      </c>
      <c r="AY266" s="194">
        <f>CHOOSE(UserInterface!$C$22,#REF!,#REF!,#REF!,#REF!,#REF!,Scotland!AY266,Southern!AY266,#REF!)</f>
        <v>1</v>
      </c>
      <c r="BA266" s="34" t="str">
        <f t="shared" ca="1" si="153"/>
        <v>LicenseeSelect</v>
      </c>
      <c r="BB266" s="34" t="str">
        <f t="shared" si="154"/>
        <v>Fixed Inputs</v>
      </c>
      <c r="BC266" s="34" t="str">
        <f t="shared" si="151"/>
        <v>Variant allowances</v>
      </c>
      <c r="BD266" s="34" t="str">
        <f t="shared" si="155"/>
        <v>Totex variant allowances allocation percentages</v>
      </c>
    </row>
    <row r="267" spans="5:56" x14ac:dyDescent="0.35">
      <c r="E267" s="193" t="str" cm="1">
        <f t="array" ref="E267">INDEX($E$99:$E$202,INT((ROW()-ROW($E$205))/5)+1)</f>
        <v>PCD_Isle of Grain (SGN_So) / Full site and system rebuilds PCD (SGN)</v>
      </c>
      <c r="G267" s="33" t="s">
        <v>109</v>
      </c>
      <c r="H267" s="33" t="s">
        <v>170</v>
      </c>
      <c r="AT267" s="108"/>
      <c r="AU267" s="140">
        <f>CHOOSE(UserInterface!$C$22,#REF!,#REF!,#REF!,#REF!,#REF!,Scotland!AU267,Southern!AU267,#REF!)</f>
        <v>0</v>
      </c>
      <c r="AV267" s="23">
        <f>CHOOSE(UserInterface!$C$22,#REF!,#REF!,#REF!,#REF!,#REF!,Scotland!AV267,Southern!AV267,#REF!)</f>
        <v>0</v>
      </c>
      <c r="AW267" s="23">
        <f>CHOOSE(UserInterface!$C$22,#REF!,#REF!,#REF!,#REF!,#REF!,Scotland!AW267,Southern!AW267,#REF!)</f>
        <v>0</v>
      </c>
      <c r="AX267" s="23">
        <f>CHOOSE(UserInterface!$C$22,#REF!,#REF!,#REF!,#REF!,#REF!,Scotland!AX267,Southern!AX267,#REF!)</f>
        <v>0</v>
      </c>
      <c r="AY267" s="194">
        <f>CHOOSE(UserInterface!$C$22,#REF!,#REF!,#REF!,#REF!,#REF!,Scotland!AY267,Southern!AY267,#REF!)</f>
        <v>0</v>
      </c>
      <c r="BA267" s="34" t="str">
        <f t="shared" ca="1" si="153"/>
        <v>LicenseeSelect</v>
      </c>
      <c r="BB267" s="34" t="str">
        <f t="shared" si="154"/>
        <v>Fixed Inputs</v>
      </c>
      <c r="BC267" s="34" t="str">
        <f t="shared" si="151"/>
        <v>Variant allowances</v>
      </c>
      <c r="BD267" s="34" t="str">
        <f t="shared" si="155"/>
        <v>Totex variant allowances allocation percentages</v>
      </c>
    </row>
    <row r="268" spans="5:56" x14ac:dyDescent="0.35">
      <c r="E268" s="193" t="str" cm="1">
        <f t="array" ref="E268">INDEX($E$99:$E$202,INT((ROW()-ROW($E$205))/5)+1)</f>
        <v>PCD_Isle of Grain (SGN_So) / Full site and system rebuilds PCD (SGN)</v>
      </c>
      <c r="G268" s="33" t="s">
        <v>109</v>
      </c>
      <c r="H268" s="33" t="s">
        <v>171</v>
      </c>
      <c r="AT268" s="108"/>
      <c r="AU268" s="140">
        <f>CHOOSE(UserInterface!$C$22,#REF!,#REF!,#REF!,#REF!,#REF!,Scotland!AU268,Southern!AU268,#REF!)</f>
        <v>0</v>
      </c>
      <c r="AV268" s="23">
        <f>CHOOSE(UserInterface!$C$22,#REF!,#REF!,#REF!,#REF!,#REF!,Scotland!AV268,Southern!AV268,#REF!)</f>
        <v>0</v>
      </c>
      <c r="AW268" s="23">
        <f>CHOOSE(UserInterface!$C$22,#REF!,#REF!,#REF!,#REF!,#REF!,Scotland!AW268,Southern!AW268,#REF!)</f>
        <v>0</v>
      </c>
      <c r="AX268" s="23">
        <f>CHOOSE(UserInterface!$C$22,#REF!,#REF!,#REF!,#REF!,#REF!,Scotland!AX268,Southern!AX268,#REF!)</f>
        <v>0</v>
      </c>
      <c r="AY268" s="194">
        <f>CHOOSE(UserInterface!$C$22,#REF!,#REF!,#REF!,#REF!,#REF!,Scotland!AY268,Southern!AY268,#REF!)</f>
        <v>0</v>
      </c>
      <c r="BA268" s="34" t="str">
        <f t="shared" ca="1" si="153"/>
        <v>LicenseeSelect</v>
      </c>
      <c r="BB268" s="34" t="str">
        <f t="shared" si="154"/>
        <v>Fixed Inputs</v>
      </c>
      <c r="BC268" s="34" t="str">
        <f t="shared" si="151"/>
        <v>Variant allowances</v>
      </c>
      <c r="BD268" s="34" t="str">
        <f t="shared" si="155"/>
        <v>Totex variant allowances allocation percentages</v>
      </c>
    </row>
    <row r="269" spans="5:56" x14ac:dyDescent="0.35">
      <c r="E269" s="195" t="str" cm="1">
        <f t="array" ref="E269">INDEX($E$99:$E$202,INT((ROW()-ROW($E$205))/5)+1)</f>
        <v>PCD_Isle of Grain (SGN_So) / Full site and system rebuilds PCD (SGN)</v>
      </c>
      <c r="F269" s="196"/>
      <c r="G269" s="196" t="s">
        <v>109</v>
      </c>
      <c r="H269" s="196" t="s">
        <v>172</v>
      </c>
      <c r="I269" s="196"/>
      <c r="J269" s="196"/>
      <c r="K269" s="196"/>
      <c r="L269" s="196"/>
      <c r="M269" s="196"/>
      <c r="N269" s="196"/>
      <c r="O269" s="196"/>
      <c r="P269" s="196"/>
      <c r="Q269" s="196"/>
      <c r="R269" s="196"/>
      <c r="S269" s="196"/>
      <c r="T269" s="196"/>
      <c r="U269" s="196"/>
      <c r="V269" s="196"/>
      <c r="W269" s="196"/>
      <c r="X269" s="196"/>
      <c r="Y269" s="196"/>
      <c r="Z269" s="196"/>
      <c r="AA269" s="196"/>
      <c r="AB269" s="196"/>
      <c r="AC269" s="196"/>
      <c r="AD269" s="196"/>
      <c r="AE269" s="196"/>
      <c r="AF269" s="196"/>
      <c r="AG269" s="196"/>
      <c r="AH269" s="196"/>
      <c r="AI269" s="196"/>
      <c r="AJ269" s="196"/>
      <c r="AK269" s="196"/>
      <c r="AL269" s="196"/>
      <c r="AM269" s="196"/>
      <c r="AN269" s="196"/>
      <c r="AO269" s="196"/>
      <c r="AP269" s="196"/>
      <c r="AQ269" s="196"/>
      <c r="AR269" s="196"/>
      <c r="AS269" s="196"/>
      <c r="AT269" s="197"/>
      <c r="AU269" s="198">
        <f>CHOOSE(UserInterface!$C$22,#REF!,#REF!,#REF!,#REF!,#REF!,Scotland!AU269,Southern!AU269,#REF!)</f>
        <v>0</v>
      </c>
      <c r="AV269" s="199">
        <f>CHOOSE(UserInterface!$C$22,#REF!,#REF!,#REF!,#REF!,#REF!,Scotland!AV269,Southern!AV269,#REF!)</f>
        <v>0</v>
      </c>
      <c r="AW269" s="199">
        <f>CHOOSE(UserInterface!$C$22,#REF!,#REF!,#REF!,#REF!,#REF!,Scotland!AW269,Southern!AW269,#REF!)</f>
        <v>0</v>
      </c>
      <c r="AX269" s="199">
        <f>CHOOSE(UserInterface!$C$22,#REF!,#REF!,#REF!,#REF!,#REF!,Scotland!AX269,Southern!AX269,#REF!)</f>
        <v>0</v>
      </c>
      <c r="AY269" s="200">
        <f>CHOOSE(UserInterface!$C$22,#REF!,#REF!,#REF!,#REF!,#REF!,Scotland!AY269,Southern!AY269,#REF!)</f>
        <v>0</v>
      </c>
      <c r="BA269" s="34" t="str">
        <f t="shared" ca="1" si="153"/>
        <v>LicenseeSelect</v>
      </c>
      <c r="BB269" s="34" t="str">
        <f t="shared" si="154"/>
        <v>Fixed Inputs</v>
      </c>
      <c r="BC269" s="34" t="str">
        <f t="shared" ref="BC269:BC332" si="156">$B$151</f>
        <v>Variant allowances</v>
      </c>
      <c r="BD269" s="34" t="str">
        <f t="shared" si="155"/>
        <v>Totex variant allowances allocation percentages</v>
      </c>
    </row>
    <row r="270" spans="5:56" x14ac:dyDescent="0.35">
      <c r="E270" s="187" t="str" cm="1">
        <f t="array" ref="E270">INDEX($E$99:$E$202,INT((ROW()-ROW($E$205))/5)+1)</f>
        <v>PCD_EVs  / Operational Transport Emissions Reduction PCD</v>
      </c>
      <c r="F270" s="188"/>
      <c r="G270" s="188" t="s">
        <v>109</v>
      </c>
      <c r="H270" s="188" t="s">
        <v>168</v>
      </c>
      <c r="I270" s="188"/>
      <c r="J270" s="188"/>
      <c r="K270" s="188"/>
      <c r="L270" s="188"/>
      <c r="M270" s="188"/>
      <c r="N270" s="188"/>
      <c r="O270" s="188"/>
      <c r="P270" s="188"/>
      <c r="Q270" s="188"/>
      <c r="R270" s="188"/>
      <c r="S270" s="188"/>
      <c r="T270" s="188"/>
      <c r="U270" s="188"/>
      <c r="V270" s="188"/>
      <c r="W270" s="188"/>
      <c r="X270" s="188"/>
      <c r="Y270" s="188"/>
      <c r="Z270" s="188"/>
      <c r="AA270" s="188"/>
      <c r="AB270" s="188"/>
      <c r="AC270" s="188"/>
      <c r="AD270" s="188"/>
      <c r="AE270" s="188"/>
      <c r="AF270" s="188"/>
      <c r="AG270" s="188"/>
      <c r="AH270" s="188"/>
      <c r="AI270" s="188"/>
      <c r="AJ270" s="188"/>
      <c r="AK270" s="188"/>
      <c r="AL270" s="188"/>
      <c r="AM270" s="188"/>
      <c r="AN270" s="188"/>
      <c r="AO270" s="188"/>
      <c r="AP270" s="188"/>
      <c r="AQ270" s="188"/>
      <c r="AR270" s="188"/>
      <c r="AS270" s="188"/>
      <c r="AT270" s="189"/>
      <c r="AU270" s="190">
        <f>CHOOSE(UserInterface!$C$22,#REF!,#REF!,#REF!,#REF!,#REF!,Scotland!AU270,Southern!AU270,#REF!)</f>
        <v>0</v>
      </c>
      <c r="AV270" s="191">
        <f>CHOOSE(UserInterface!$C$22,#REF!,#REF!,#REF!,#REF!,#REF!,Scotland!AV270,Southern!AV270,#REF!)</f>
        <v>0</v>
      </c>
      <c r="AW270" s="191">
        <f>CHOOSE(UserInterface!$C$22,#REF!,#REF!,#REF!,#REF!,#REF!,Scotland!AW270,Southern!AW270,#REF!)</f>
        <v>0</v>
      </c>
      <c r="AX270" s="191">
        <f>CHOOSE(UserInterface!$C$22,#REF!,#REF!,#REF!,#REF!,#REF!,Scotland!AX270,Southern!AX270,#REF!)</f>
        <v>0</v>
      </c>
      <c r="AY270" s="192">
        <f>CHOOSE(UserInterface!$C$22,#REF!,#REF!,#REF!,#REF!,#REF!,Scotland!AY270,Southern!AY270,#REF!)</f>
        <v>0</v>
      </c>
      <c r="BA270" s="34" t="str">
        <f t="shared" ca="1" si="153"/>
        <v>LicenseeSelect</v>
      </c>
      <c r="BB270" s="34" t="str">
        <f t="shared" si="154"/>
        <v>Fixed Inputs</v>
      </c>
      <c r="BC270" s="34" t="str">
        <f t="shared" si="156"/>
        <v>Variant allowances</v>
      </c>
      <c r="BD270" s="34" t="str">
        <f t="shared" si="155"/>
        <v>Totex variant allowances allocation percentages</v>
      </c>
    </row>
    <row r="271" spans="5:56" x14ac:dyDescent="0.35">
      <c r="E271" s="193" t="str" cm="1">
        <f t="array" ref="E271">INDEX($E$99:$E$202,INT((ROW()-ROW($E$205))/5)+1)</f>
        <v>PCD_EVs  / Operational Transport Emissions Reduction PCD</v>
      </c>
      <c r="G271" s="33" t="s">
        <v>109</v>
      </c>
      <c r="H271" s="33" t="s">
        <v>169</v>
      </c>
      <c r="AT271" s="108"/>
      <c r="AU271" s="140">
        <f>CHOOSE(UserInterface!$C$22,#REF!,#REF!,#REF!,#REF!,#REF!,Scotland!AU271,Southern!AU271,#REF!)</f>
        <v>0</v>
      </c>
      <c r="AV271" s="23">
        <f>CHOOSE(UserInterface!$C$22,#REF!,#REF!,#REF!,#REF!,#REF!,Scotland!AV271,Southern!AV271,#REF!)</f>
        <v>0</v>
      </c>
      <c r="AW271" s="23">
        <f>CHOOSE(UserInterface!$C$22,#REF!,#REF!,#REF!,#REF!,#REF!,Scotland!AW271,Southern!AW271,#REF!)</f>
        <v>0</v>
      </c>
      <c r="AX271" s="23">
        <f>CHOOSE(UserInterface!$C$22,#REF!,#REF!,#REF!,#REF!,#REF!,Scotland!AX271,Southern!AX271,#REF!)</f>
        <v>0</v>
      </c>
      <c r="AY271" s="194">
        <f>CHOOSE(UserInterface!$C$22,#REF!,#REF!,#REF!,#REF!,#REF!,Scotland!AY271,Southern!AY271,#REF!)</f>
        <v>0</v>
      </c>
      <c r="BA271" s="34" t="str">
        <f t="shared" ca="1" si="149"/>
        <v>LicenseeSelect</v>
      </c>
      <c r="BB271" s="34" t="str">
        <f t="shared" si="150"/>
        <v>Fixed Inputs</v>
      </c>
      <c r="BC271" s="34" t="str">
        <f t="shared" si="156"/>
        <v>Variant allowances</v>
      </c>
      <c r="BD271" s="34" t="str">
        <f t="shared" si="152"/>
        <v>Totex variant allowances allocation percentages</v>
      </c>
    </row>
    <row r="272" spans="5:56" x14ac:dyDescent="0.35">
      <c r="E272" s="193" t="str" cm="1">
        <f t="array" ref="E272">INDEX($E$99:$E$202,INT((ROW()-ROW($E$205))/5)+1)</f>
        <v>PCD_EVs  / Operational Transport Emissions Reduction PCD</v>
      </c>
      <c r="G272" s="33" t="s">
        <v>109</v>
      </c>
      <c r="H272" s="33" t="s">
        <v>170</v>
      </c>
      <c r="AT272" s="108"/>
      <c r="AU272" s="140">
        <f>CHOOSE(UserInterface!$C$22,#REF!,#REF!,#REF!,#REF!,#REF!,Scotland!AU272,Southern!AU272,#REF!)</f>
        <v>0</v>
      </c>
      <c r="AV272" s="23">
        <f>CHOOSE(UserInterface!$C$22,#REF!,#REF!,#REF!,#REF!,#REF!,Scotland!AV272,Southern!AV272,#REF!)</f>
        <v>0</v>
      </c>
      <c r="AW272" s="23">
        <f>CHOOSE(UserInterface!$C$22,#REF!,#REF!,#REF!,#REF!,#REF!,Scotland!AW272,Southern!AW272,#REF!)</f>
        <v>0</v>
      </c>
      <c r="AX272" s="23">
        <f>CHOOSE(UserInterface!$C$22,#REF!,#REF!,#REF!,#REF!,#REF!,Scotland!AX272,Southern!AX272,#REF!)</f>
        <v>0</v>
      </c>
      <c r="AY272" s="194">
        <f>CHOOSE(UserInterface!$C$22,#REF!,#REF!,#REF!,#REF!,#REF!,Scotland!AY272,Southern!AY272,#REF!)</f>
        <v>0</v>
      </c>
      <c r="BA272" s="34" t="str">
        <f t="shared" ca="1" si="149"/>
        <v>LicenseeSelect</v>
      </c>
      <c r="BB272" s="34" t="str">
        <f t="shared" si="150"/>
        <v>Fixed Inputs</v>
      </c>
      <c r="BC272" s="34" t="str">
        <f t="shared" si="156"/>
        <v>Variant allowances</v>
      </c>
      <c r="BD272" s="34" t="str">
        <f t="shared" si="152"/>
        <v>Totex variant allowances allocation percentages</v>
      </c>
    </row>
    <row r="273" spans="5:56" x14ac:dyDescent="0.35">
      <c r="E273" s="193" t="str" cm="1">
        <f t="array" ref="E273">INDEX($E$99:$E$202,INT((ROW()-ROW($E$205))/5)+1)</f>
        <v>PCD_EVs  / Operational Transport Emissions Reduction PCD</v>
      </c>
      <c r="G273" s="33" t="s">
        <v>109</v>
      </c>
      <c r="H273" s="33" t="s">
        <v>171</v>
      </c>
      <c r="AT273" s="108"/>
      <c r="AU273" s="140">
        <f>CHOOSE(UserInterface!$C$22,#REF!,#REF!,#REF!,#REF!,#REF!,Scotland!AU273,Southern!AU273,#REF!)</f>
        <v>1</v>
      </c>
      <c r="AV273" s="23">
        <f>CHOOSE(UserInterface!$C$22,#REF!,#REF!,#REF!,#REF!,#REF!,Scotland!AV273,Southern!AV273,#REF!)</f>
        <v>1</v>
      </c>
      <c r="AW273" s="23">
        <f>CHOOSE(UserInterface!$C$22,#REF!,#REF!,#REF!,#REF!,#REF!,Scotland!AW273,Southern!AW273,#REF!)</f>
        <v>1</v>
      </c>
      <c r="AX273" s="23">
        <f>CHOOSE(UserInterface!$C$22,#REF!,#REF!,#REF!,#REF!,#REF!,Scotland!AX273,Southern!AX273,#REF!)</f>
        <v>1</v>
      </c>
      <c r="AY273" s="194">
        <f>CHOOSE(UserInterface!$C$22,#REF!,#REF!,#REF!,#REF!,#REF!,Scotland!AY273,Southern!AY273,#REF!)</f>
        <v>1</v>
      </c>
      <c r="BA273" s="34" t="str">
        <f t="shared" ca="1" si="149"/>
        <v>LicenseeSelect</v>
      </c>
      <c r="BB273" s="34" t="str">
        <f t="shared" si="150"/>
        <v>Fixed Inputs</v>
      </c>
      <c r="BC273" s="34" t="str">
        <f t="shared" si="156"/>
        <v>Variant allowances</v>
      </c>
      <c r="BD273" s="34" t="str">
        <f t="shared" si="152"/>
        <v>Totex variant allowances allocation percentages</v>
      </c>
    </row>
    <row r="274" spans="5:56" x14ac:dyDescent="0.35">
      <c r="E274" s="195" t="str" cm="1">
        <f t="array" ref="E274">INDEX($E$99:$E$202,INT((ROW()-ROW($E$205))/5)+1)</f>
        <v>PCD_EVs  / Operational Transport Emissions Reduction PCD</v>
      </c>
      <c r="F274" s="196"/>
      <c r="G274" s="196" t="s">
        <v>109</v>
      </c>
      <c r="H274" s="196" t="s">
        <v>172</v>
      </c>
      <c r="I274" s="196"/>
      <c r="J274" s="196"/>
      <c r="K274" s="196"/>
      <c r="L274" s="196"/>
      <c r="M274" s="196"/>
      <c r="N274" s="196"/>
      <c r="O274" s="196"/>
      <c r="P274" s="196"/>
      <c r="Q274" s="196"/>
      <c r="R274" s="196"/>
      <c r="S274" s="196"/>
      <c r="T274" s="196"/>
      <c r="U274" s="196"/>
      <c r="V274" s="196"/>
      <c r="W274" s="196"/>
      <c r="X274" s="196"/>
      <c r="Y274" s="196"/>
      <c r="Z274" s="196"/>
      <c r="AA274" s="196"/>
      <c r="AB274" s="196"/>
      <c r="AC274" s="196"/>
      <c r="AD274" s="196"/>
      <c r="AE274" s="196"/>
      <c r="AF274" s="196"/>
      <c r="AG274" s="196"/>
      <c r="AH274" s="196"/>
      <c r="AI274" s="196"/>
      <c r="AJ274" s="196"/>
      <c r="AK274" s="196"/>
      <c r="AL274" s="196"/>
      <c r="AM274" s="196"/>
      <c r="AN274" s="196"/>
      <c r="AO274" s="196"/>
      <c r="AP274" s="196"/>
      <c r="AQ274" s="196"/>
      <c r="AR274" s="196"/>
      <c r="AS274" s="196"/>
      <c r="AT274" s="197"/>
      <c r="AU274" s="198">
        <f>CHOOSE(UserInterface!$C$22,#REF!,#REF!,#REF!,#REF!,#REF!,Scotland!AU274,Southern!AU274,#REF!)</f>
        <v>0</v>
      </c>
      <c r="AV274" s="199">
        <f>CHOOSE(UserInterface!$C$22,#REF!,#REF!,#REF!,#REF!,#REF!,Scotland!AV274,Southern!AV274,#REF!)</f>
        <v>0</v>
      </c>
      <c r="AW274" s="199">
        <f>CHOOSE(UserInterface!$C$22,#REF!,#REF!,#REF!,#REF!,#REF!,Scotland!AW274,Southern!AW274,#REF!)</f>
        <v>0</v>
      </c>
      <c r="AX274" s="199">
        <f>CHOOSE(UserInterface!$C$22,#REF!,#REF!,#REF!,#REF!,#REF!,Scotland!AX274,Southern!AX274,#REF!)</f>
        <v>0</v>
      </c>
      <c r="AY274" s="200">
        <f>CHOOSE(UserInterface!$C$22,#REF!,#REF!,#REF!,#REF!,#REF!,Scotland!AY274,Southern!AY274,#REF!)</f>
        <v>0</v>
      </c>
      <c r="BA274" s="34" t="str">
        <f t="shared" ca="1" si="149"/>
        <v>LicenseeSelect</v>
      </c>
      <c r="BB274" s="34" t="str">
        <f t="shared" si="150"/>
        <v>Fixed Inputs</v>
      </c>
      <c r="BC274" s="34" t="str">
        <f t="shared" si="156"/>
        <v>Variant allowances</v>
      </c>
      <c r="BD274" s="34" t="str">
        <f t="shared" si="152"/>
        <v>Totex variant allowances allocation percentages</v>
      </c>
    </row>
    <row r="275" spans="5:56" x14ac:dyDescent="0.35">
      <c r="E275" s="187" t="str" cm="1">
        <f t="array" ref="E275">INDEX($E$99:$E$202,INT((ROW()-ROW($E$205))/5)+1)</f>
        <v>PCD_South London Mains (SGN_So)</v>
      </c>
      <c r="F275" s="188"/>
      <c r="G275" s="188" t="s">
        <v>109</v>
      </c>
      <c r="H275" s="188" t="s">
        <v>168</v>
      </c>
      <c r="I275" s="188"/>
      <c r="J275" s="188"/>
      <c r="K275" s="188"/>
      <c r="L275" s="188"/>
      <c r="M275" s="188"/>
      <c r="N275" s="188"/>
      <c r="O275" s="188"/>
      <c r="P275" s="188"/>
      <c r="Q275" s="188"/>
      <c r="R275" s="188"/>
      <c r="S275" s="188"/>
      <c r="T275" s="188"/>
      <c r="U275" s="188"/>
      <c r="V275" s="188"/>
      <c r="W275" s="188"/>
      <c r="X275" s="188"/>
      <c r="Y275" s="188"/>
      <c r="Z275" s="188"/>
      <c r="AA275" s="188"/>
      <c r="AB275" s="188"/>
      <c r="AC275" s="188"/>
      <c r="AD275" s="188"/>
      <c r="AE275" s="188"/>
      <c r="AF275" s="188"/>
      <c r="AG275" s="188"/>
      <c r="AH275" s="188"/>
      <c r="AI275" s="188"/>
      <c r="AJ275" s="188"/>
      <c r="AK275" s="188"/>
      <c r="AL275" s="188"/>
      <c r="AM275" s="188"/>
      <c r="AN275" s="188"/>
      <c r="AO275" s="188"/>
      <c r="AP275" s="188"/>
      <c r="AQ275" s="188"/>
      <c r="AR275" s="188"/>
      <c r="AS275" s="188"/>
      <c r="AT275" s="189"/>
      <c r="AU275" s="190">
        <f>CHOOSE(UserInterface!$C$22,#REF!,#REF!,#REF!,#REF!,#REF!,Scotland!AU275,Southern!AU275,#REF!)</f>
        <v>0</v>
      </c>
      <c r="AV275" s="191">
        <f>CHOOSE(UserInterface!$C$22,#REF!,#REF!,#REF!,#REF!,#REF!,Scotland!AV275,Southern!AV275,#REF!)</f>
        <v>0</v>
      </c>
      <c r="AW275" s="191">
        <f>CHOOSE(UserInterface!$C$22,#REF!,#REF!,#REF!,#REF!,#REF!,Scotland!AW275,Southern!AW275,#REF!)</f>
        <v>0</v>
      </c>
      <c r="AX275" s="191">
        <f>CHOOSE(UserInterface!$C$22,#REF!,#REF!,#REF!,#REF!,#REF!,Scotland!AX275,Southern!AX275,#REF!)</f>
        <v>0</v>
      </c>
      <c r="AY275" s="192">
        <f>CHOOSE(UserInterface!$C$22,#REF!,#REF!,#REF!,#REF!,#REF!,Scotland!AY275,Southern!AY275,#REF!)</f>
        <v>0</v>
      </c>
      <c r="BA275" s="34" t="str">
        <f t="shared" ca="1" si="149"/>
        <v>LicenseeSelect</v>
      </c>
      <c r="BB275" s="34" t="str">
        <f t="shared" si="150"/>
        <v>Fixed Inputs</v>
      </c>
      <c r="BC275" s="34" t="str">
        <f t="shared" si="156"/>
        <v>Variant allowances</v>
      </c>
      <c r="BD275" s="34" t="str">
        <f t="shared" si="152"/>
        <v>Totex variant allowances allocation percentages</v>
      </c>
    </row>
    <row r="276" spans="5:56" x14ac:dyDescent="0.35">
      <c r="E276" s="193" t="str" cm="1">
        <f t="array" ref="E276">INDEX($E$99:$E$202,INT((ROW()-ROW($E$205))/5)+1)</f>
        <v>PCD_South London Mains (SGN_So)</v>
      </c>
      <c r="G276" s="33" t="s">
        <v>109</v>
      </c>
      <c r="H276" s="33" t="s">
        <v>169</v>
      </c>
      <c r="AT276" s="108"/>
      <c r="AU276" s="140">
        <f>CHOOSE(UserInterface!$C$22,#REF!,#REF!,#REF!,#REF!,#REF!,Scotland!AU276,Southern!AU276,#REF!)</f>
        <v>0</v>
      </c>
      <c r="AV276" s="23">
        <f>CHOOSE(UserInterface!$C$22,#REF!,#REF!,#REF!,#REF!,#REF!,Scotland!AV276,Southern!AV276,#REF!)</f>
        <v>0</v>
      </c>
      <c r="AW276" s="23">
        <f>CHOOSE(UserInterface!$C$22,#REF!,#REF!,#REF!,#REF!,#REF!,Scotland!AW276,Southern!AW276,#REF!)</f>
        <v>0</v>
      </c>
      <c r="AX276" s="23">
        <f>CHOOSE(UserInterface!$C$22,#REF!,#REF!,#REF!,#REF!,#REF!,Scotland!AX276,Southern!AX276,#REF!)</f>
        <v>0</v>
      </c>
      <c r="AY276" s="194">
        <f>CHOOSE(UserInterface!$C$22,#REF!,#REF!,#REF!,#REF!,#REF!,Scotland!AY276,Southern!AY276,#REF!)</f>
        <v>0</v>
      </c>
      <c r="BA276" s="34" t="str">
        <f t="shared" ca="1" si="149"/>
        <v>LicenseeSelect</v>
      </c>
      <c r="BB276" s="34" t="str">
        <f t="shared" si="150"/>
        <v>Fixed Inputs</v>
      </c>
      <c r="BC276" s="34" t="str">
        <f t="shared" si="156"/>
        <v>Variant allowances</v>
      </c>
      <c r="BD276" s="34" t="str">
        <f t="shared" si="152"/>
        <v>Totex variant allowances allocation percentages</v>
      </c>
    </row>
    <row r="277" spans="5:56" x14ac:dyDescent="0.35">
      <c r="E277" s="193" t="str" cm="1">
        <f t="array" ref="E277">INDEX($E$99:$E$202,INT((ROW()-ROW($E$205))/5)+1)</f>
        <v>PCD_South London Mains (SGN_So)</v>
      </c>
      <c r="G277" s="33" t="s">
        <v>109</v>
      </c>
      <c r="H277" s="33" t="s">
        <v>170</v>
      </c>
      <c r="AT277" s="108"/>
      <c r="AU277" s="140">
        <f>CHOOSE(UserInterface!$C$22,#REF!,#REF!,#REF!,#REF!,#REF!,Scotland!AU277,Southern!AU277,#REF!)</f>
        <v>0</v>
      </c>
      <c r="AV277" s="23">
        <f>CHOOSE(UserInterface!$C$22,#REF!,#REF!,#REF!,#REF!,#REF!,Scotland!AV277,Southern!AV277,#REF!)</f>
        <v>0</v>
      </c>
      <c r="AW277" s="23">
        <f>CHOOSE(UserInterface!$C$22,#REF!,#REF!,#REF!,#REF!,#REF!,Scotland!AW277,Southern!AW277,#REF!)</f>
        <v>0</v>
      </c>
      <c r="AX277" s="23">
        <f>CHOOSE(UserInterface!$C$22,#REF!,#REF!,#REF!,#REF!,#REF!,Scotland!AX277,Southern!AX277,#REF!)</f>
        <v>0</v>
      </c>
      <c r="AY277" s="194">
        <f>CHOOSE(UserInterface!$C$22,#REF!,#REF!,#REF!,#REF!,#REF!,Scotland!AY277,Southern!AY277,#REF!)</f>
        <v>0</v>
      </c>
      <c r="BA277" s="34" t="str">
        <f t="shared" ca="1" si="149"/>
        <v>LicenseeSelect</v>
      </c>
      <c r="BB277" s="34" t="str">
        <f t="shared" si="150"/>
        <v>Fixed Inputs</v>
      </c>
      <c r="BC277" s="34" t="str">
        <f t="shared" si="156"/>
        <v>Variant allowances</v>
      </c>
      <c r="BD277" s="34" t="str">
        <f t="shared" si="152"/>
        <v>Totex variant allowances allocation percentages</v>
      </c>
    </row>
    <row r="278" spans="5:56" x14ac:dyDescent="0.35">
      <c r="E278" s="193" t="str" cm="1">
        <f t="array" ref="E278">INDEX($E$99:$E$202,INT((ROW()-ROW($E$205))/5)+1)</f>
        <v>PCD_South London Mains (SGN_So)</v>
      </c>
      <c r="G278" s="33" t="s">
        <v>109</v>
      </c>
      <c r="H278" s="33" t="s">
        <v>171</v>
      </c>
      <c r="AT278" s="108"/>
      <c r="AU278" s="140">
        <f>CHOOSE(UserInterface!$C$22,#REF!,#REF!,#REF!,#REF!,#REF!,Scotland!AU278,Southern!AU278,#REF!)</f>
        <v>0</v>
      </c>
      <c r="AV278" s="23">
        <f>CHOOSE(UserInterface!$C$22,#REF!,#REF!,#REF!,#REF!,#REF!,Scotland!AV278,Southern!AV278,#REF!)</f>
        <v>0</v>
      </c>
      <c r="AW278" s="23">
        <f>CHOOSE(UserInterface!$C$22,#REF!,#REF!,#REF!,#REF!,#REF!,Scotland!AW278,Southern!AW278,#REF!)</f>
        <v>0</v>
      </c>
      <c r="AX278" s="23">
        <f>CHOOSE(UserInterface!$C$22,#REF!,#REF!,#REF!,#REF!,#REF!,Scotland!AX278,Southern!AX278,#REF!)</f>
        <v>0</v>
      </c>
      <c r="AY278" s="194">
        <f>CHOOSE(UserInterface!$C$22,#REF!,#REF!,#REF!,#REF!,#REF!,Scotland!AY278,Southern!AY278,#REF!)</f>
        <v>0</v>
      </c>
      <c r="BA278" s="34" t="str">
        <f t="shared" ca="1" si="149"/>
        <v>LicenseeSelect</v>
      </c>
      <c r="BB278" s="34" t="str">
        <f t="shared" si="150"/>
        <v>Fixed Inputs</v>
      </c>
      <c r="BC278" s="34" t="str">
        <f t="shared" si="156"/>
        <v>Variant allowances</v>
      </c>
      <c r="BD278" s="34" t="str">
        <f t="shared" si="152"/>
        <v>Totex variant allowances allocation percentages</v>
      </c>
    </row>
    <row r="279" spans="5:56" x14ac:dyDescent="0.35">
      <c r="E279" s="195" t="str" cm="1">
        <f t="array" ref="E279">INDEX($E$99:$E$202,INT((ROW()-ROW($E$205))/5)+1)</f>
        <v>PCD_South London Mains (SGN_So)</v>
      </c>
      <c r="F279" s="196"/>
      <c r="G279" s="196" t="s">
        <v>109</v>
      </c>
      <c r="H279" s="196" t="s">
        <v>172</v>
      </c>
      <c r="I279" s="196"/>
      <c r="J279" s="196"/>
      <c r="K279" s="196"/>
      <c r="L279" s="196"/>
      <c r="M279" s="196"/>
      <c r="N279" s="196"/>
      <c r="O279" s="196"/>
      <c r="P279" s="196"/>
      <c r="Q279" s="196"/>
      <c r="R279" s="196"/>
      <c r="S279" s="196"/>
      <c r="T279" s="196"/>
      <c r="U279" s="196"/>
      <c r="V279" s="196"/>
      <c r="W279" s="196"/>
      <c r="X279" s="196"/>
      <c r="Y279" s="196"/>
      <c r="Z279" s="196"/>
      <c r="AA279" s="196"/>
      <c r="AB279" s="196"/>
      <c r="AC279" s="196"/>
      <c r="AD279" s="196"/>
      <c r="AE279" s="196"/>
      <c r="AF279" s="196"/>
      <c r="AG279" s="196"/>
      <c r="AH279" s="196"/>
      <c r="AI279" s="196"/>
      <c r="AJ279" s="196"/>
      <c r="AK279" s="196"/>
      <c r="AL279" s="196"/>
      <c r="AM279" s="196"/>
      <c r="AN279" s="196"/>
      <c r="AO279" s="196"/>
      <c r="AP279" s="196"/>
      <c r="AQ279" s="196"/>
      <c r="AR279" s="196"/>
      <c r="AS279" s="196"/>
      <c r="AT279" s="197"/>
      <c r="AU279" s="198">
        <f>CHOOSE(UserInterface!$C$22,#REF!,#REF!,#REF!,#REF!,#REF!,Scotland!AU279,Southern!AU279,#REF!)</f>
        <v>1</v>
      </c>
      <c r="AV279" s="199">
        <f>CHOOSE(UserInterface!$C$22,#REF!,#REF!,#REF!,#REF!,#REF!,Scotland!AV279,Southern!AV279,#REF!)</f>
        <v>1</v>
      </c>
      <c r="AW279" s="199">
        <f>CHOOSE(UserInterface!$C$22,#REF!,#REF!,#REF!,#REF!,#REF!,Scotland!AW279,Southern!AW279,#REF!)</f>
        <v>1</v>
      </c>
      <c r="AX279" s="199">
        <f>CHOOSE(UserInterface!$C$22,#REF!,#REF!,#REF!,#REF!,#REF!,Scotland!AX279,Southern!AX279,#REF!)</f>
        <v>1</v>
      </c>
      <c r="AY279" s="200">
        <f>CHOOSE(UserInterface!$C$22,#REF!,#REF!,#REF!,#REF!,#REF!,Scotland!AY279,Southern!AY279,#REF!)</f>
        <v>1</v>
      </c>
      <c r="BA279" s="34" t="str">
        <f t="shared" ca="1" si="149"/>
        <v>LicenseeSelect</v>
      </c>
      <c r="BB279" s="34" t="str">
        <f t="shared" si="150"/>
        <v>Fixed Inputs</v>
      </c>
      <c r="BC279" s="34" t="str">
        <f t="shared" si="156"/>
        <v>Variant allowances</v>
      </c>
      <c r="BD279" s="34" t="str">
        <f t="shared" si="152"/>
        <v>Totex variant allowances allocation percentages</v>
      </c>
    </row>
    <row r="280" spans="5:56" x14ac:dyDescent="0.35">
      <c r="E280" s="187" t="str" cm="1">
        <f t="array" ref="E280">INDEX($E$99:$E$202,INT((ROW()-ROW($E$205))/5)+1)</f>
        <v>PCD_WWU.7 - HS007 (WWU_WWU) / Pipeline Replacements PCD (WWU)</v>
      </c>
      <c r="F280" s="188"/>
      <c r="G280" s="188" t="s">
        <v>109</v>
      </c>
      <c r="H280" s="188" t="s">
        <v>168</v>
      </c>
      <c r="I280" s="188"/>
      <c r="J280" s="188"/>
      <c r="K280" s="188"/>
      <c r="L280" s="188"/>
      <c r="M280" s="188"/>
      <c r="N280" s="188"/>
      <c r="O280" s="188"/>
      <c r="P280" s="188"/>
      <c r="Q280" s="188"/>
      <c r="R280" s="188"/>
      <c r="S280" s="188"/>
      <c r="T280" s="188"/>
      <c r="U280" s="188"/>
      <c r="V280" s="188"/>
      <c r="W280" s="188"/>
      <c r="X280" s="188"/>
      <c r="Y280" s="188"/>
      <c r="Z280" s="188"/>
      <c r="AA280" s="188"/>
      <c r="AB280" s="188"/>
      <c r="AC280" s="188"/>
      <c r="AD280" s="188"/>
      <c r="AE280" s="188"/>
      <c r="AF280" s="188"/>
      <c r="AG280" s="188"/>
      <c r="AH280" s="188"/>
      <c r="AI280" s="188"/>
      <c r="AJ280" s="188"/>
      <c r="AK280" s="188"/>
      <c r="AL280" s="188"/>
      <c r="AM280" s="188"/>
      <c r="AN280" s="188"/>
      <c r="AO280" s="188"/>
      <c r="AP280" s="188"/>
      <c r="AQ280" s="188"/>
      <c r="AR280" s="188"/>
      <c r="AS280" s="188"/>
      <c r="AT280" s="189"/>
      <c r="AU280" s="190">
        <f>CHOOSE(UserInterface!$C$22,#REF!,#REF!,#REF!,#REF!,#REF!,Scotland!AU280,Southern!AU280,#REF!)</f>
        <v>0</v>
      </c>
      <c r="AV280" s="191">
        <f>CHOOSE(UserInterface!$C$22,#REF!,#REF!,#REF!,#REF!,#REF!,Scotland!AV280,Southern!AV280,#REF!)</f>
        <v>0</v>
      </c>
      <c r="AW280" s="191">
        <f>CHOOSE(UserInterface!$C$22,#REF!,#REF!,#REF!,#REF!,#REF!,Scotland!AW280,Southern!AW280,#REF!)</f>
        <v>0</v>
      </c>
      <c r="AX280" s="191">
        <f>CHOOSE(UserInterface!$C$22,#REF!,#REF!,#REF!,#REF!,#REF!,Scotland!AX280,Southern!AX280,#REF!)</f>
        <v>0</v>
      </c>
      <c r="AY280" s="192">
        <f>CHOOSE(UserInterface!$C$22,#REF!,#REF!,#REF!,#REF!,#REF!,Scotland!AY280,Southern!AY280,#REF!)</f>
        <v>0</v>
      </c>
      <c r="BA280" s="34" t="str">
        <f t="shared" ca="1" si="149"/>
        <v>LicenseeSelect</v>
      </c>
      <c r="BB280" s="34" t="str">
        <f t="shared" si="150"/>
        <v>Fixed Inputs</v>
      </c>
      <c r="BC280" s="34" t="str">
        <f t="shared" si="156"/>
        <v>Variant allowances</v>
      </c>
      <c r="BD280" s="34" t="str">
        <f t="shared" si="152"/>
        <v>Totex variant allowances allocation percentages</v>
      </c>
    </row>
    <row r="281" spans="5:56" x14ac:dyDescent="0.35">
      <c r="E281" s="193" t="str" cm="1">
        <f t="array" ref="E281">INDEX($E$99:$E$202,INT((ROW()-ROW($E$205))/5)+1)</f>
        <v>PCD_WWU.7 - HS007 (WWU_WWU) / Pipeline Replacements PCD (WWU)</v>
      </c>
      <c r="G281" s="33" t="s">
        <v>109</v>
      </c>
      <c r="H281" s="33" t="s">
        <v>169</v>
      </c>
      <c r="AT281" s="108"/>
      <c r="AU281" s="140">
        <f>CHOOSE(UserInterface!$C$22,#REF!,#REF!,#REF!,#REF!,#REF!,Scotland!AU281,Southern!AU281,#REF!)</f>
        <v>1</v>
      </c>
      <c r="AV281" s="23">
        <f>CHOOSE(UserInterface!$C$22,#REF!,#REF!,#REF!,#REF!,#REF!,Scotland!AV281,Southern!AV281,#REF!)</f>
        <v>1</v>
      </c>
      <c r="AW281" s="23">
        <f>CHOOSE(UserInterface!$C$22,#REF!,#REF!,#REF!,#REF!,#REF!,Scotland!AW281,Southern!AW281,#REF!)</f>
        <v>1</v>
      </c>
      <c r="AX281" s="23">
        <f>CHOOSE(UserInterface!$C$22,#REF!,#REF!,#REF!,#REF!,#REF!,Scotland!AX281,Southern!AX281,#REF!)</f>
        <v>1</v>
      </c>
      <c r="AY281" s="194">
        <f>CHOOSE(UserInterface!$C$22,#REF!,#REF!,#REF!,#REF!,#REF!,Scotland!AY281,Southern!AY281,#REF!)</f>
        <v>1</v>
      </c>
      <c r="BA281" s="34" t="str">
        <f t="shared" ca="1" si="149"/>
        <v>LicenseeSelect</v>
      </c>
      <c r="BB281" s="34" t="str">
        <f t="shared" si="150"/>
        <v>Fixed Inputs</v>
      </c>
      <c r="BC281" s="34" t="str">
        <f t="shared" si="156"/>
        <v>Variant allowances</v>
      </c>
      <c r="BD281" s="34" t="str">
        <f t="shared" si="152"/>
        <v>Totex variant allowances allocation percentages</v>
      </c>
    </row>
    <row r="282" spans="5:56" x14ac:dyDescent="0.35">
      <c r="E282" s="193" t="str" cm="1">
        <f t="array" ref="E282">INDEX($E$99:$E$202,INT((ROW()-ROW($E$205))/5)+1)</f>
        <v>PCD_WWU.7 - HS007 (WWU_WWU) / Pipeline Replacements PCD (WWU)</v>
      </c>
      <c r="G282" s="33" t="s">
        <v>109</v>
      </c>
      <c r="H282" s="33" t="s">
        <v>170</v>
      </c>
      <c r="AT282" s="108"/>
      <c r="AU282" s="140">
        <f>CHOOSE(UserInterface!$C$22,#REF!,#REF!,#REF!,#REF!,#REF!,Scotland!AU282,Southern!AU282,#REF!)</f>
        <v>0</v>
      </c>
      <c r="AV282" s="23">
        <f>CHOOSE(UserInterface!$C$22,#REF!,#REF!,#REF!,#REF!,#REF!,Scotland!AV282,Southern!AV282,#REF!)</f>
        <v>0</v>
      </c>
      <c r="AW282" s="23">
        <f>CHOOSE(UserInterface!$C$22,#REF!,#REF!,#REF!,#REF!,#REF!,Scotland!AW282,Southern!AW282,#REF!)</f>
        <v>0</v>
      </c>
      <c r="AX282" s="23">
        <f>CHOOSE(UserInterface!$C$22,#REF!,#REF!,#REF!,#REF!,#REF!,Scotland!AX282,Southern!AX282,#REF!)</f>
        <v>0</v>
      </c>
      <c r="AY282" s="194">
        <f>CHOOSE(UserInterface!$C$22,#REF!,#REF!,#REF!,#REF!,#REF!,Scotland!AY282,Southern!AY282,#REF!)</f>
        <v>0</v>
      </c>
      <c r="BA282" s="34" t="str">
        <f t="shared" ca="1" si="149"/>
        <v>LicenseeSelect</v>
      </c>
      <c r="BB282" s="34" t="str">
        <f t="shared" si="150"/>
        <v>Fixed Inputs</v>
      </c>
      <c r="BC282" s="34" t="str">
        <f t="shared" si="156"/>
        <v>Variant allowances</v>
      </c>
      <c r="BD282" s="34" t="str">
        <f t="shared" si="152"/>
        <v>Totex variant allowances allocation percentages</v>
      </c>
    </row>
    <row r="283" spans="5:56" x14ac:dyDescent="0.35">
      <c r="E283" s="193" t="str" cm="1">
        <f t="array" ref="E283">INDEX($E$99:$E$202,INT((ROW()-ROW($E$205))/5)+1)</f>
        <v>PCD_WWU.7 - HS007 (WWU_WWU) / Pipeline Replacements PCD (WWU)</v>
      </c>
      <c r="G283" s="33" t="s">
        <v>109</v>
      </c>
      <c r="H283" s="33" t="s">
        <v>171</v>
      </c>
      <c r="AT283" s="108"/>
      <c r="AU283" s="140">
        <f>CHOOSE(UserInterface!$C$22,#REF!,#REF!,#REF!,#REF!,#REF!,Scotland!AU283,Southern!AU283,#REF!)</f>
        <v>0</v>
      </c>
      <c r="AV283" s="23">
        <f>CHOOSE(UserInterface!$C$22,#REF!,#REF!,#REF!,#REF!,#REF!,Scotland!AV283,Southern!AV283,#REF!)</f>
        <v>0</v>
      </c>
      <c r="AW283" s="23">
        <f>CHOOSE(UserInterface!$C$22,#REF!,#REF!,#REF!,#REF!,#REF!,Scotland!AW283,Southern!AW283,#REF!)</f>
        <v>0</v>
      </c>
      <c r="AX283" s="23">
        <f>CHOOSE(UserInterface!$C$22,#REF!,#REF!,#REF!,#REF!,#REF!,Scotland!AX283,Southern!AX283,#REF!)</f>
        <v>0</v>
      </c>
      <c r="AY283" s="194">
        <f>CHOOSE(UserInterface!$C$22,#REF!,#REF!,#REF!,#REF!,#REF!,Scotland!AY283,Southern!AY283,#REF!)</f>
        <v>0</v>
      </c>
      <c r="BA283" s="34" t="str">
        <f t="shared" ca="1" si="149"/>
        <v>LicenseeSelect</v>
      </c>
      <c r="BB283" s="34" t="str">
        <f t="shared" si="150"/>
        <v>Fixed Inputs</v>
      </c>
      <c r="BC283" s="34" t="str">
        <f t="shared" si="156"/>
        <v>Variant allowances</v>
      </c>
      <c r="BD283" s="34" t="str">
        <f t="shared" si="152"/>
        <v>Totex variant allowances allocation percentages</v>
      </c>
    </row>
    <row r="284" spans="5:56" x14ac:dyDescent="0.35">
      <c r="E284" s="195" t="str" cm="1">
        <f t="array" ref="E284">INDEX($E$99:$E$202,INT((ROW()-ROW($E$205))/5)+1)</f>
        <v>PCD_WWU.7 - HS007 (WWU_WWU) / Pipeline Replacements PCD (WWU)</v>
      </c>
      <c r="F284" s="196"/>
      <c r="G284" s="196" t="s">
        <v>109</v>
      </c>
      <c r="H284" s="196" t="s">
        <v>172</v>
      </c>
      <c r="I284" s="196"/>
      <c r="J284" s="196"/>
      <c r="K284" s="196"/>
      <c r="L284" s="196"/>
      <c r="M284" s="196"/>
      <c r="N284" s="196"/>
      <c r="O284" s="196"/>
      <c r="P284" s="196"/>
      <c r="Q284" s="196"/>
      <c r="R284" s="196"/>
      <c r="S284" s="196"/>
      <c r="T284" s="196"/>
      <c r="U284" s="196"/>
      <c r="V284" s="196"/>
      <c r="W284" s="196"/>
      <c r="X284" s="196"/>
      <c r="Y284" s="196"/>
      <c r="Z284" s="196"/>
      <c r="AA284" s="196"/>
      <c r="AB284" s="196"/>
      <c r="AC284" s="196"/>
      <c r="AD284" s="196"/>
      <c r="AE284" s="196"/>
      <c r="AF284" s="196"/>
      <c r="AG284" s="196"/>
      <c r="AH284" s="196"/>
      <c r="AI284" s="196"/>
      <c r="AJ284" s="196"/>
      <c r="AK284" s="196"/>
      <c r="AL284" s="196"/>
      <c r="AM284" s="196"/>
      <c r="AN284" s="196"/>
      <c r="AO284" s="196"/>
      <c r="AP284" s="196"/>
      <c r="AQ284" s="196"/>
      <c r="AR284" s="196"/>
      <c r="AS284" s="196"/>
      <c r="AT284" s="197"/>
      <c r="AU284" s="198">
        <f>CHOOSE(UserInterface!$C$22,#REF!,#REF!,#REF!,#REF!,#REF!,Scotland!AU284,Southern!AU284,#REF!)</f>
        <v>0</v>
      </c>
      <c r="AV284" s="199">
        <f>CHOOSE(UserInterface!$C$22,#REF!,#REF!,#REF!,#REF!,#REF!,Scotland!AV284,Southern!AV284,#REF!)</f>
        <v>0</v>
      </c>
      <c r="AW284" s="199">
        <f>CHOOSE(UserInterface!$C$22,#REF!,#REF!,#REF!,#REF!,#REF!,Scotland!AW284,Southern!AW284,#REF!)</f>
        <v>0</v>
      </c>
      <c r="AX284" s="199">
        <f>CHOOSE(UserInterface!$C$22,#REF!,#REF!,#REF!,#REF!,#REF!,Scotland!AX284,Southern!AX284,#REF!)</f>
        <v>0</v>
      </c>
      <c r="AY284" s="200">
        <f>CHOOSE(UserInterface!$C$22,#REF!,#REF!,#REF!,#REF!,#REF!,Scotland!AY284,Southern!AY284,#REF!)</f>
        <v>0</v>
      </c>
      <c r="BA284" s="34" t="str">
        <f t="shared" ca="1" si="149"/>
        <v>LicenseeSelect</v>
      </c>
      <c r="BB284" s="34" t="str">
        <f t="shared" si="150"/>
        <v>Fixed Inputs</v>
      </c>
      <c r="BC284" s="34" t="str">
        <f t="shared" si="156"/>
        <v>Variant allowances</v>
      </c>
      <c r="BD284" s="34" t="str">
        <f t="shared" si="152"/>
        <v>Totex variant allowances allocation percentages</v>
      </c>
    </row>
    <row r="285" spans="5:56" x14ac:dyDescent="0.35">
      <c r="E285" s="187" t="str" cm="1">
        <f t="array" ref="E285">INDEX($E$99:$E$202,INT((ROW()-ROW($E$205))/5)+1)</f>
        <v>PCD_WWU.9 - HS009 (WWU_WWU) / Pipeline Replacements PCD (WWU)</v>
      </c>
      <c r="F285" s="188"/>
      <c r="G285" s="188" t="s">
        <v>109</v>
      </c>
      <c r="H285" s="188" t="s">
        <v>168</v>
      </c>
      <c r="I285" s="188"/>
      <c r="J285" s="188"/>
      <c r="K285" s="188"/>
      <c r="L285" s="188"/>
      <c r="M285" s="188"/>
      <c r="N285" s="188"/>
      <c r="O285" s="188"/>
      <c r="P285" s="188"/>
      <c r="Q285" s="188"/>
      <c r="R285" s="188"/>
      <c r="S285" s="188"/>
      <c r="T285" s="188"/>
      <c r="U285" s="188"/>
      <c r="V285" s="188"/>
      <c r="W285" s="188"/>
      <c r="X285" s="188"/>
      <c r="Y285" s="188"/>
      <c r="Z285" s="188"/>
      <c r="AA285" s="188"/>
      <c r="AB285" s="188"/>
      <c r="AC285" s="188"/>
      <c r="AD285" s="188"/>
      <c r="AE285" s="188"/>
      <c r="AF285" s="188"/>
      <c r="AG285" s="188"/>
      <c r="AH285" s="188"/>
      <c r="AI285" s="188"/>
      <c r="AJ285" s="188"/>
      <c r="AK285" s="188"/>
      <c r="AL285" s="188"/>
      <c r="AM285" s="188"/>
      <c r="AN285" s="188"/>
      <c r="AO285" s="188"/>
      <c r="AP285" s="188"/>
      <c r="AQ285" s="188"/>
      <c r="AR285" s="188"/>
      <c r="AS285" s="188"/>
      <c r="AT285" s="189"/>
      <c r="AU285" s="190">
        <f>CHOOSE(UserInterface!$C$22,#REF!,#REF!,#REF!,#REF!,#REF!,Scotland!AU285,Southern!AU285,#REF!)</f>
        <v>0</v>
      </c>
      <c r="AV285" s="191">
        <f>CHOOSE(UserInterface!$C$22,#REF!,#REF!,#REF!,#REF!,#REF!,Scotland!AV285,Southern!AV285,#REF!)</f>
        <v>0</v>
      </c>
      <c r="AW285" s="191">
        <f>CHOOSE(UserInterface!$C$22,#REF!,#REF!,#REF!,#REF!,#REF!,Scotland!AW285,Southern!AW285,#REF!)</f>
        <v>0</v>
      </c>
      <c r="AX285" s="191">
        <f>CHOOSE(UserInterface!$C$22,#REF!,#REF!,#REF!,#REF!,#REF!,Scotland!AX285,Southern!AX285,#REF!)</f>
        <v>0</v>
      </c>
      <c r="AY285" s="192">
        <f>CHOOSE(UserInterface!$C$22,#REF!,#REF!,#REF!,#REF!,#REF!,Scotland!AY285,Southern!AY285,#REF!)</f>
        <v>0</v>
      </c>
      <c r="BA285" s="34" t="str">
        <f t="shared" ca="1" si="149"/>
        <v>LicenseeSelect</v>
      </c>
      <c r="BB285" s="34" t="str">
        <f t="shared" si="150"/>
        <v>Fixed Inputs</v>
      </c>
      <c r="BC285" s="34" t="str">
        <f t="shared" si="156"/>
        <v>Variant allowances</v>
      </c>
      <c r="BD285" s="34" t="str">
        <f t="shared" si="152"/>
        <v>Totex variant allowances allocation percentages</v>
      </c>
    </row>
    <row r="286" spans="5:56" x14ac:dyDescent="0.35">
      <c r="E286" s="193" t="str" cm="1">
        <f t="array" ref="E286">INDEX($E$99:$E$202,INT((ROW()-ROW($E$205))/5)+1)</f>
        <v>PCD_WWU.9 - HS009 (WWU_WWU) / Pipeline Replacements PCD (WWU)</v>
      </c>
      <c r="G286" s="33" t="s">
        <v>109</v>
      </c>
      <c r="H286" s="33" t="s">
        <v>169</v>
      </c>
      <c r="AT286" s="108"/>
      <c r="AU286" s="140">
        <f>CHOOSE(UserInterface!$C$22,#REF!,#REF!,#REF!,#REF!,#REF!,Scotland!AU286,Southern!AU286,#REF!)</f>
        <v>1</v>
      </c>
      <c r="AV286" s="23">
        <f>CHOOSE(UserInterface!$C$22,#REF!,#REF!,#REF!,#REF!,#REF!,Scotland!AV286,Southern!AV286,#REF!)</f>
        <v>1</v>
      </c>
      <c r="AW286" s="23">
        <f>CHOOSE(UserInterface!$C$22,#REF!,#REF!,#REF!,#REF!,#REF!,Scotland!AW286,Southern!AW286,#REF!)</f>
        <v>1</v>
      </c>
      <c r="AX286" s="23">
        <f>CHOOSE(UserInterface!$C$22,#REF!,#REF!,#REF!,#REF!,#REF!,Scotland!AX286,Southern!AX286,#REF!)</f>
        <v>1</v>
      </c>
      <c r="AY286" s="194">
        <f>CHOOSE(UserInterface!$C$22,#REF!,#REF!,#REF!,#REF!,#REF!,Scotland!AY286,Southern!AY286,#REF!)</f>
        <v>1</v>
      </c>
      <c r="BA286" s="34" t="str">
        <f t="shared" ca="1" si="149"/>
        <v>LicenseeSelect</v>
      </c>
      <c r="BB286" s="34" t="str">
        <f t="shared" si="150"/>
        <v>Fixed Inputs</v>
      </c>
      <c r="BC286" s="34" t="str">
        <f t="shared" si="156"/>
        <v>Variant allowances</v>
      </c>
      <c r="BD286" s="34" t="str">
        <f t="shared" si="152"/>
        <v>Totex variant allowances allocation percentages</v>
      </c>
    </row>
    <row r="287" spans="5:56" x14ac:dyDescent="0.35">
      <c r="E287" s="193" t="str" cm="1">
        <f t="array" ref="E287">INDEX($E$99:$E$202,INT((ROW()-ROW($E$205))/5)+1)</f>
        <v>PCD_WWU.9 - HS009 (WWU_WWU) / Pipeline Replacements PCD (WWU)</v>
      </c>
      <c r="G287" s="33" t="s">
        <v>109</v>
      </c>
      <c r="H287" s="33" t="s">
        <v>170</v>
      </c>
      <c r="AT287" s="108"/>
      <c r="AU287" s="140">
        <f>CHOOSE(UserInterface!$C$22,#REF!,#REF!,#REF!,#REF!,#REF!,Scotland!AU287,Southern!AU287,#REF!)</f>
        <v>0</v>
      </c>
      <c r="AV287" s="23">
        <f>CHOOSE(UserInterface!$C$22,#REF!,#REF!,#REF!,#REF!,#REF!,Scotland!AV287,Southern!AV287,#REF!)</f>
        <v>0</v>
      </c>
      <c r="AW287" s="23">
        <f>CHOOSE(UserInterface!$C$22,#REF!,#REF!,#REF!,#REF!,#REF!,Scotland!AW287,Southern!AW287,#REF!)</f>
        <v>0</v>
      </c>
      <c r="AX287" s="23">
        <f>CHOOSE(UserInterface!$C$22,#REF!,#REF!,#REF!,#REF!,#REF!,Scotland!AX287,Southern!AX287,#REF!)</f>
        <v>0</v>
      </c>
      <c r="AY287" s="194">
        <f>CHOOSE(UserInterface!$C$22,#REF!,#REF!,#REF!,#REF!,#REF!,Scotland!AY287,Southern!AY287,#REF!)</f>
        <v>0</v>
      </c>
      <c r="BA287" s="34" t="str">
        <f t="shared" ca="1" si="149"/>
        <v>LicenseeSelect</v>
      </c>
      <c r="BB287" s="34" t="str">
        <f t="shared" si="150"/>
        <v>Fixed Inputs</v>
      </c>
      <c r="BC287" s="34" t="str">
        <f t="shared" si="156"/>
        <v>Variant allowances</v>
      </c>
      <c r="BD287" s="34" t="str">
        <f t="shared" si="152"/>
        <v>Totex variant allowances allocation percentages</v>
      </c>
    </row>
    <row r="288" spans="5:56" x14ac:dyDescent="0.35">
      <c r="E288" s="193" t="str" cm="1">
        <f t="array" ref="E288">INDEX($E$99:$E$202,INT((ROW()-ROW($E$205))/5)+1)</f>
        <v>PCD_WWU.9 - HS009 (WWU_WWU) / Pipeline Replacements PCD (WWU)</v>
      </c>
      <c r="G288" s="33" t="s">
        <v>109</v>
      </c>
      <c r="H288" s="33" t="s">
        <v>171</v>
      </c>
      <c r="AT288" s="108"/>
      <c r="AU288" s="140">
        <f>CHOOSE(UserInterface!$C$22,#REF!,#REF!,#REF!,#REF!,#REF!,Scotland!AU288,Southern!AU288,#REF!)</f>
        <v>0</v>
      </c>
      <c r="AV288" s="23">
        <f>CHOOSE(UserInterface!$C$22,#REF!,#REF!,#REF!,#REF!,#REF!,Scotland!AV288,Southern!AV288,#REF!)</f>
        <v>0</v>
      </c>
      <c r="AW288" s="23">
        <f>CHOOSE(UserInterface!$C$22,#REF!,#REF!,#REF!,#REF!,#REF!,Scotland!AW288,Southern!AW288,#REF!)</f>
        <v>0</v>
      </c>
      <c r="AX288" s="23">
        <f>CHOOSE(UserInterface!$C$22,#REF!,#REF!,#REF!,#REF!,#REF!,Scotland!AX288,Southern!AX288,#REF!)</f>
        <v>0</v>
      </c>
      <c r="AY288" s="194">
        <f>CHOOSE(UserInterface!$C$22,#REF!,#REF!,#REF!,#REF!,#REF!,Scotland!AY288,Southern!AY288,#REF!)</f>
        <v>0</v>
      </c>
      <c r="BA288" s="34" t="str">
        <f t="shared" ca="1" si="149"/>
        <v>LicenseeSelect</v>
      </c>
      <c r="BB288" s="34" t="str">
        <f t="shared" si="150"/>
        <v>Fixed Inputs</v>
      </c>
      <c r="BC288" s="34" t="str">
        <f t="shared" si="156"/>
        <v>Variant allowances</v>
      </c>
      <c r="BD288" s="34" t="str">
        <f t="shared" si="152"/>
        <v>Totex variant allowances allocation percentages</v>
      </c>
    </row>
    <row r="289" spans="5:56" x14ac:dyDescent="0.35">
      <c r="E289" s="195" t="str" cm="1">
        <f t="array" ref="E289">INDEX($E$99:$E$202,INT((ROW()-ROW($E$205))/5)+1)</f>
        <v>PCD_WWU.9 - HS009 (WWU_WWU) / Pipeline Replacements PCD (WWU)</v>
      </c>
      <c r="F289" s="196"/>
      <c r="G289" s="196" t="s">
        <v>109</v>
      </c>
      <c r="H289" s="196" t="s">
        <v>172</v>
      </c>
      <c r="I289" s="196"/>
      <c r="J289" s="196"/>
      <c r="K289" s="196"/>
      <c r="L289" s="196"/>
      <c r="M289" s="196"/>
      <c r="N289" s="196"/>
      <c r="O289" s="196"/>
      <c r="P289" s="196"/>
      <c r="Q289" s="196"/>
      <c r="R289" s="196"/>
      <c r="S289" s="196"/>
      <c r="T289" s="196"/>
      <c r="U289" s="196"/>
      <c r="V289" s="196"/>
      <c r="W289" s="196"/>
      <c r="X289" s="196"/>
      <c r="Y289" s="196"/>
      <c r="Z289" s="196"/>
      <c r="AA289" s="196"/>
      <c r="AB289" s="196"/>
      <c r="AC289" s="196"/>
      <c r="AD289" s="196"/>
      <c r="AE289" s="196"/>
      <c r="AF289" s="196"/>
      <c r="AG289" s="196"/>
      <c r="AH289" s="196"/>
      <c r="AI289" s="196"/>
      <c r="AJ289" s="196"/>
      <c r="AK289" s="196"/>
      <c r="AL289" s="196"/>
      <c r="AM289" s="196"/>
      <c r="AN289" s="196"/>
      <c r="AO289" s="196"/>
      <c r="AP289" s="196"/>
      <c r="AQ289" s="196"/>
      <c r="AR289" s="196"/>
      <c r="AS289" s="196"/>
      <c r="AT289" s="197"/>
      <c r="AU289" s="198">
        <f>CHOOSE(UserInterface!$C$22,#REF!,#REF!,#REF!,#REF!,#REF!,Scotland!AU289,Southern!AU289,#REF!)</f>
        <v>0</v>
      </c>
      <c r="AV289" s="199">
        <f>CHOOSE(UserInterface!$C$22,#REF!,#REF!,#REF!,#REF!,#REF!,Scotland!AV289,Southern!AV289,#REF!)</f>
        <v>0</v>
      </c>
      <c r="AW289" s="199">
        <f>CHOOSE(UserInterface!$C$22,#REF!,#REF!,#REF!,#REF!,#REF!,Scotland!AW289,Southern!AW289,#REF!)</f>
        <v>0</v>
      </c>
      <c r="AX289" s="199">
        <f>CHOOSE(UserInterface!$C$22,#REF!,#REF!,#REF!,#REF!,#REF!,Scotland!AX289,Southern!AX289,#REF!)</f>
        <v>0</v>
      </c>
      <c r="AY289" s="200">
        <f>CHOOSE(UserInterface!$C$22,#REF!,#REF!,#REF!,#REF!,#REF!,Scotland!AY289,Southern!AY289,#REF!)</f>
        <v>0</v>
      </c>
      <c r="BA289" s="34" t="str">
        <f t="shared" ca="1" si="149"/>
        <v>LicenseeSelect</v>
      </c>
      <c r="BB289" s="34" t="str">
        <f t="shared" si="150"/>
        <v>Fixed Inputs</v>
      </c>
      <c r="BC289" s="34" t="str">
        <f t="shared" si="156"/>
        <v>Variant allowances</v>
      </c>
      <c r="BD289" s="34" t="str">
        <f t="shared" si="152"/>
        <v>Totex variant allowances allocation percentages</v>
      </c>
    </row>
    <row r="290" spans="5:56" x14ac:dyDescent="0.35">
      <c r="E290" s="187" t="str" cm="1">
        <f t="array" ref="E290">INDEX($E$99:$E$202,INT((ROW()-ROW($E$205))/5)+1)</f>
        <v>PCD_WWU.9 - HS010 (WWU_WWU) / Pipeline Replacements PCD (WWU)</v>
      </c>
      <c r="F290" s="188"/>
      <c r="G290" s="188" t="s">
        <v>109</v>
      </c>
      <c r="H290" s="188" t="s">
        <v>168</v>
      </c>
      <c r="I290" s="188"/>
      <c r="J290" s="188"/>
      <c r="K290" s="188"/>
      <c r="L290" s="188"/>
      <c r="M290" s="188"/>
      <c r="N290" s="188"/>
      <c r="O290" s="188"/>
      <c r="P290" s="188"/>
      <c r="Q290" s="188"/>
      <c r="R290" s="188"/>
      <c r="S290" s="188"/>
      <c r="T290" s="188"/>
      <c r="U290" s="188"/>
      <c r="V290" s="188"/>
      <c r="W290" s="188"/>
      <c r="X290" s="188"/>
      <c r="Y290" s="188"/>
      <c r="Z290" s="188"/>
      <c r="AA290" s="188"/>
      <c r="AB290" s="188"/>
      <c r="AC290" s="188"/>
      <c r="AD290" s="188"/>
      <c r="AE290" s="188"/>
      <c r="AF290" s="188"/>
      <c r="AG290" s="188"/>
      <c r="AH290" s="188"/>
      <c r="AI290" s="188"/>
      <c r="AJ290" s="188"/>
      <c r="AK290" s="188"/>
      <c r="AL290" s="188"/>
      <c r="AM290" s="188"/>
      <c r="AN290" s="188"/>
      <c r="AO290" s="188"/>
      <c r="AP290" s="188"/>
      <c r="AQ290" s="188"/>
      <c r="AR290" s="188"/>
      <c r="AS290" s="188"/>
      <c r="AT290" s="189"/>
      <c r="AU290" s="190">
        <f>CHOOSE(UserInterface!$C$22,#REF!,#REF!,#REF!,#REF!,#REF!,Scotland!AU290,Southern!AU290,#REF!)</f>
        <v>0</v>
      </c>
      <c r="AV290" s="191">
        <f>CHOOSE(UserInterface!$C$22,#REF!,#REF!,#REF!,#REF!,#REF!,Scotland!AV290,Southern!AV290,#REF!)</f>
        <v>0</v>
      </c>
      <c r="AW290" s="191">
        <f>CHOOSE(UserInterface!$C$22,#REF!,#REF!,#REF!,#REF!,#REF!,Scotland!AW290,Southern!AW290,#REF!)</f>
        <v>0</v>
      </c>
      <c r="AX290" s="191">
        <f>CHOOSE(UserInterface!$C$22,#REF!,#REF!,#REF!,#REF!,#REF!,Scotland!AX290,Southern!AX290,#REF!)</f>
        <v>0</v>
      </c>
      <c r="AY290" s="192">
        <f>CHOOSE(UserInterface!$C$22,#REF!,#REF!,#REF!,#REF!,#REF!,Scotland!AY290,Southern!AY290,#REF!)</f>
        <v>0</v>
      </c>
      <c r="BA290" s="34" t="str">
        <f t="shared" ca="1" si="149"/>
        <v>LicenseeSelect</v>
      </c>
      <c r="BB290" s="34" t="str">
        <f t="shared" si="150"/>
        <v>Fixed Inputs</v>
      </c>
      <c r="BC290" s="34" t="str">
        <f t="shared" si="156"/>
        <v>Variant allowances</v>
      </c>
      <c r="BD290" s="34" t="str">
        <f t="shared" si="152"/>
        <v>Totex variant allowances allocation percentages</v>
      </c>
    </row>
    <row r="291" spans="5:56" x14ac:dyDescent="0.35">
      <c r="E291" s="193" t="str" cm="1">
        <f t="array" ref="E291">INDEX($E$99:$E$202,INT((ROW()-ROW($E$205))/5)+1)</f>
        <v>PCD_WWU.9 - HS010 (WWU_WWU) / Pipeline Replacements PCD (WWU)</v>
      </c>
      <c r="G291" s="33" t="s">
        <v>109</v>
      </c>
      <c r="H291" s="33" t="s">
        <v>169</v>
      </c>
      <c r="AT291" s="108"/>
      <c r="AU291" s="140">
        <f>CHOOSE(UserInterface!$C$22,#REF!,#REF!,#REF!,#REF!,#REF!,Scotland!AU291,Southern!AU291,#REF!)</f>
        <v>1</v>
      </c>
      <c r="AV291" s="23">
        <f>CHOOSE(UserInterface!$C$22,#REF!,#REF!,#REF!,#REF!,#REF!,Scotland!AV291,Southern!AV291,#REF!)</f>
        <v>1</v>
      </c>
      <c r="AW291" s="23">
        <f>CHOOSE(UserInterface!$C$22,#REF!,#REF!,#REF!,#REF!,#REF!,Scotland!AW291,Southern!AW291,#REF!)</f>
        <v>1</v>
      </c>
      <c r="AX291" s="23">
        <f>CHOOSE(UserInterface!$C$22,#REF!,#REF!,#REF!,#REF!,#REF!,Scotland!AX291,Southern!AX291,#REF!)</f>
        <v>1</v>
      </c>
      <c r="AY291" s="194">
        <f>CHOOSE(UserInterface!$C$22,#REF!,#REF!,#REF!,#REF!,#REF!,Scotland!AY291,Southern!AY291,#REF!)</f>
        <v>1</v>
      </c>
      <c r="BA291" s="34" t="str">
        <f t="shared" ca="1" si="149"/>
        <v>LicenseeSelect</v>
      </c>
      <c r="BB291" s="34" t="str">
        <f t="shared" si="150"/>
        <v>Fixed Inputs</v>
      </c>
      <c r="BC291" s="34" t="str">
        <f t="shared" si="156"/>
        <v>Variant allowances</v>
      </c>
      <c r="BD291" s="34" t="str">
        <f t="shared" si="152"/>
        <v>Totex variant allowances allocation percentages</v>
      </c>
    </row>
    <row r="292" spans="5:56" x14ac:dyDescent="0.35">
      <c r="E292" s="193" t="str" cm="1">
        <f t="array" ref="E292">INDEX($E$99:$E$202,INT((ROW()-ROW($E$205))/5)+1)</f>
        <v>PCD_WWU.9 - HS010 (WWU_WWU) / Pipeline Replacements PCD (WWU)</v>
      </c>
      <c r="G292" s="33" t="s">
        <v>109</v>
      </c>
      <c r="H292" s="33" t="s">
        <v>170</v>
      </c>
      <c r="AT292" s="108"/>
      <c r="AU292" s="140">
        <f>CHOOSE(UserInterface!$C$22,#REF!,#REF!,#REF!,#REF!,#REF!,Scotland!AU292,Southern!AU292,#REF!)</f>
        <v>0</v>
      </c>
      <c r="AV292" s="23">
        <f>CHOOSE(UserInterface!$C$22,#REF!,#REF!,#REF!,#REF!,#REF!,Scotland!AV292,Southern!AV292,#REF!)</f>
        <v>0</v>
      </c>
      <c r="AW292" s="23">
        <f>CHOOSE(UserInterface!$C$22,#REF!,#REF!,#REF!,#REF!,#REF!,Scotland!AW292,Southern!AW292,#REF!)</f>
        <v>0</v>
      </c>
      <c r="AX292" s="23">
        <f>CHOOSE(UserInterface!$C$22,#REF!,#REF!,#REF!,#REF!,#REF!,Scotland!AX292,Southern!AX292,#REF!)</f>
        <v>0</v>
      </c>
      <c r="AY292" s="194">
        <f>CHOOSE(UserInterface!$C$22,#REF!,#REF!,#REF!,#REF!,#REF!,Scotland!AY292,Southern!AY292,#REF!)</f>
        <v>0</v>
      </c>
      <c r="BA292" s="34" t="str">
        <f t="shared" ca="1" si="149"/>
        <v>LicenseeSelect</v>
      </c>
      <c r="BB292" s="34" t="str">
        <f t="shared" si="150"/>
        <v>Fixed Inputs</v>
      </c>
      <c r="BC292" s="34" t="str">
        <f t="shared" si="156"/>
        <v>Variant allowances</v>
      </c>
      <c r="BD292" s="34" t="str">
        <f t="shared" si="152"/>
        <v>Totex variant allowances allocation percentages</v>
      </c>
    </row>
    <row r="293" spans="5:56" x14ac:dyDescent="0.35">
      <c r="E293" s="193" t="str" cm="1">
        <f t="array" ref="E293">INDEX($E$99:$E$202,INT((ROW()-ROW($E$205))/5)+1)</f>
        <v>PCD_WWU.9 - HS010 (WWU_WWU) / Pipeline Replacements PCD (WWU)</v>
      </c>
      <c r="G293" s="33" t="s">
        <v>109</v>
      </c>
      <c r="H293" s="33" t="s">
        <v>171</v>
      </c>
      <c r="AT293" s="108"/>
      <c r="AU293" s="140">
        <f>CHOOSE(UserInterface!$C$22,#REF!,#REF!,#REF!,#REF!,#REF!,Scotland!AU293,Southern!AU293,#REF!)</f>
        <v>0</v>
      </c>
      <c r="AV293" s="23">
        <f>CHOOSE(UserInterface!$C$22,#REF!,#REF!,#REF!,#REF!,#REF!,Scotland!AV293,Southern!AV293,#REF!)</f>
        <v>0</v>
      </c>
      <c r="AW293" s="23">
        <f>CHOOSE(UserInterface!$C$22,#REF!,#REF!,#REF!,#REF!,#REF!,Scotland!AW293,Southern!AW293,#REF!)</f>
        <v>0</v>
      </c>
      <c r="AX293" s="23">
        <f>CHOOSE(UserInterface!$C$22,#REF!,#REF!,#REF!,#REF!,#REF!,Scotland!AX293,Southern!AX293,#REF!)</f>
        <v>0</v>
      </c>
      <c r="AY293" s="194">
        <f>CHOOSE(UserInterface!$C$22,#REF!,#REF!,#REF!,#REF!,#REF!,Scotland!AY293,Southern!AY293,#REF!)</f>
        <v>0</v>
      </c>
      <c r="BA293" s="34" t="str">
        <f t="shared" ca="1" si="149"/>
        <v>LicenseeSelect</v>
      </c>
      <c r="BB293" s="34" t="str">
        <f t="shared" si="150"/>
        <v>Fixed Inputs</v>
      </c>
      <c r="BC293" s="34" t="str">
        <f t="shared" si="156"/>
        <v>Variant allowances</v>
      </c>
      <c r="BD293" s="34" t="str">
        <f t="shared" si="152"/>
        <v>Totex variant allowances allocation percentages</v>
      </c>
    </row>
    <row r="294" spans="5:56" x14ac:dyDescent="0.35">
      <c r="E294" s="195" t="str" cm="1">
        <f t="array" ref="E294">INDEX($E$99:$E$202,INT((ROW()-ROW($E$205))/5)+1)</f>
        <v>PCD_WWU.9 - HS010 (WWU_WWU) / Pipeline Replacements PCD (WWU)</v>
      </c>
      <c r="F294" s="196"/>
      <c r="G294" s="196" t="s">
        <v>109</v>
      </c>
      <c r="H294" s="196" t="s">
        <v>172</v>
      </c>
      <c r="I294" s="196"/>
      <c r="J294" s="196"/>
      <c r="K294" s="196"/>
      <c r="L294" s="196"/>
      <c r="M294" s="196"/>
      <c r="N294" s="196"/>
      <c r="O294" s="196"/>
      <c r="P294" s="196"/>
      <c r="Q294" s="196"/>
      <c r="R294" s="196"/>
      <c r="S294" s="196"/>
      <c r="T294" s="196"/>
      <c r="U294" s="196"/>
      <c r="V294" s="196"/>
      <c r="W294" s="196"/>
      <c r="X294" s="196"/>
      <c r="Y294" s="196"/>
      <c r="Z294" s="196"/>
      <c r="AA294" s="196"/>
      <c r="AB294" s="196"/>
      <c r="AC294" s="196"/>
      <c r="AD294" s="196"/>
      <c r="AE294" s="196"/>
      <c r="AF294" s="196"/>
      <c r="AG294" s="196"/>
      <c r="AH294" s="196"/>
      <c r="AI294" s="196"/>
      <c r="AJ294" s="196"/>
      <c r="AK294" s="196"/>
      <c r="AL294" s="196"/>
      <c r="AM294" s="196"/>
      <c r="AN294" s="196"/>
      <c r="AO294" s="196"/>
      <c r="AP294" s="196"/>
      <c r="AQ294" s="196"/>
      <c r="AR294" s="196"/>
      <c r="AS294" s="196"/>
      <c r="AT294" s="197"/>
      <c r="AU294" s="198">
        <f>CHOOSE(UserInterface!$C$22,#REF!,#REF!,#REF!,#REF!,#REF!,Scotland!AU294,Southern!AU294,#REF!)</f>
        <v>0</v>
      </c>
      <c r="AV294" s="199">
        <f>CHOOSE(UserInterface!$C$22,#REF!,#REF!,#REF!,#REF!,#REF!,Scotland!AV294,Southern!AV294,#REF!)</f>
        <v>0</v>
      </c>
      <c r="AW294" s="199">
        <f>CHOOSE(UserInterface!$C$22,#REF!,#REF!,#REF!,#REF!,#REF!,Scotland!AW294,Southern!AW294,#REF!)</f>
        <v>0</v>
      </c>
      <c r="AX294" s="199">
        <f>CHOOSE(UserInterface!$C$22,#REF!,#REF!,#REF!,#REF!,#REF!,Scotland!AX294,Southern!AX294,#REF!)</f>
        <v>0</v>
      </c>
      <c r="AY294" s="200">
        <f>CHOOSE(UserInterface!$C$22,#REF!,#REF!,#REF!,#REF!,#REF!,Scotland!AY294,Southern!AY294,#REF!)</f>
        <v>0</v>
      </c>
      <c r="BA294" s="34" t="str">
        <f t="shared" ca="1" si="149"/>
        <v>LicenseeSelect</v>
      </c>
      <c r="BB294" s="34" t="str">
        <f t="shared" si="150"/>
        <v>Fixed Inputs</v>
      </c>
      <c r="BC294" s="34" t="str">
        <f t="shared" si="156"/>
        <v>Variant allowances</v>
      </c>
      <c r="BD294" s="34" t="str">
        <f t="shared" si="152"/>
        <v>Totex variant allowances allocation percentages</v>
      </c>
    </row>
    <row r="295" spans="5:56" x14ac:dyDescent="0.35">
      <c r="E295" s="187" t="str" cm="1">
        <f t="array" ref="E295">INDEX($E$99:$E$202,INT((ROW()-ROW($E$205))/5)+1)</f>
        <v>PCD_Mandated Category 3 Security (Cadent_all)</v>
      </c>
      <c r="F295" s="188"/>
      <c r="G295" s="188" t="s">
        <v>109</v>
      </c>
      <c r="H295" s="188" t="s">
        <v>168</v>
      </c>
      <c r="I295" s="188"/>
      <c r="J295" s="188"/>
      <c r="K295" s="188"/>
      <c r="L295" s="188"/>
      <c r="M295" s="188"/>
      <c r="N295" s="188"/>
      <c r="O295" s="188"/>
      <c r="P295" s="188"/>
      <c r="Q295" s="188"/>
      <c r="R295" s="188"/>
      <c r="S295" s="188"/>
      <c r="T295" s="188"/>
      <c r="U295" s="188"/>
      <c r="V295" s="188"/>
      <c r="W295" s="188"/>
      <c r="X295" s="188"/>
      <c r="Y295" s="188"/>
      <c r="Z295" s="188"/>
      <c r="AA295" s="188"/>
      <c r="AB295" s="188"/>
      <c r="AC295" s="188"/>
      <c r="AD295" s="188"/>
      <c r="AE295" s="188"/>
      <c r="AF295" s="188"/>
      <c r="AG295" s="188"/>
      <c r="AH295" s="188"/>
      <c r="AI295" s="188"/>
      <c r="AJ295" s="188"/>
      <c r="AK295" s="188"/>
      <c r="AL295" s="188"/>
      <c r="AM295" s="188"/>
      <c r="AN295" s="188"/>
      <c r="AO295" s="188"/>
      <c r="AP295" s="188"/>
      <c r="AQ295" s="188"/>
      <c r="AR295" s="188"/>
      <c r="AS295" s="188"/>
      <c r="AT295" s="189"/>
      <c r="AU295" s="190">
        <f>CHOOSE(UserInterface!$C$22,#REF!,#REF!,#REF!,#REF!,#REF!,Scotland!AU295,Southern!AU295,#REF!)</f>
        <v>0</v>
      </c>
      <c r="AV295" s="191">
        <f>CHOOSE(UserInterface!$C$22,#REF!,#REF!,#REF!,#REF!,#REF!,Scotland!AV295,Southern!AV295,#REF!)</f>
        <v>0</v>
      </c>
      <c r="AW295" s="191">
        <f>CHOOSE(UserInterface!$C$22,#REF!,#REF!,#REF!,#REF!,#REF!,Scotland!AW295,Southern!AW295,#REF!)</f>
        <v>0</v>
      </c>
      <c r="AX295" s="191">
        <f>CHOOSE(UserInterface!$C$22,#REF!,#REF!,#REF!,#REF!,#REF!,Scotland!AX295,Southern!AX295,#REF!)</f>
        <v>0</v>
      </c>
      <c r="AY295" s="192">
        <f>CHOOSE(UserInterface!$C$22,#REF!,#REF!,#REF!,#REF!,#REF!,Scotland!AY295,Southern!AY295,#REF!)</f>
        <v>0</v>
      </c>
      <c r="BA295" s="34" t="str">
        <f t="shared" ca="1" si="149"/>
        <v>LicenseeSelect</v>
      </c>
      <c r="BB295" s="34" t="str">
        <f t="shared" si="150"/>
        <v>Fixed Inputs</v>
      </c>
      <c r="BC295" s="34" t="str">
        <f t="shared" si="156"/>
        <v>Variant allowances</v>
      </c>
      <c r="BD295" s="34" t="str">
        <f t="shared" si="152"/>
        <v>Totex variant allowances allocation percentages</v>
      </c>
    </row>
    <row r="296" spans="5:56" x14ac:dyDescent="0.35">
      <c r="E296" s="193" t="str" cm="1">
        <f t="array" ref="E296">INDEX($E$99:$E$202,INT((ROW()-ROW($E$205))/5)+1)</f>
        <v>PCD_Mandated Category 3 Security (Cadent_all)</v>
      </c>
      <c r="G296" s="33" t="s">
        <v>109</v>
      </c>
      <c r="H296" s="33" t="s">
        <v>169</v>
      </c>
      <c r="AT296" s="108"/>
      <c r="AU296" s="140">
        <f>CHOOSE(UserInterface!$C$22,#REF!,#REF!,#REF!,#REF!,#REF!,Scotland!AU296,Southern!AU296,#REF!)</f>
        <v>1</v>
      </c>
      <c r="AV296" s="23">
        <f>CHOOSE(UserInterface!$C$22,#REF!,#REF!,#REF!,#REF!,#REF!,Scotland!AV296,Southern!AV296,#REF!)</f>
        <v>1</v>
      </c>
      <c r="AW296" s="23">
        <f>CHOOSE(UserInterface!$C$22,#REF!,#REF!,#REF!,#REF!,#REF!,Scotland!AW296,Southern!AW296,#REF!)</f>
        <v>1</v>
      </c>
      <c r="AX296" s="23">
        <f>CHOOSE(UserInterface!$C$22,#REF!,#REF!,#REF!,#REF!,#REF!,Scotland!AX296,Southern!AX296,#REF!)</f>
        <v>1</v>
      </c>
      <c r="AY296" s="194">
        <f>CHOOSE(UserInterface!$C$22,#REF!,#REF!,#REF!,#REF!,#REF!,Scotland!AY296,Southern!AY296,#REF!)</f>
        <v>1</v>
      </c>
      <c r="BA296" s="34" t="str">
        <f t="shared" ca="1" si="149"/>
        <v>LicenseeSelect</v>
      </c>
      <c r="BB296" s="34" t="str">
        <f t="shared" si="150"/>
        <v>Fixed Inputs</v>
      </c>
      <c r="BC296" s="34" t="str">
        <f t="shared" si="156"/>
        <v>Variant allowances</v>
      </c>
      <c r="BD296" s="34" t="str">
        <f t="shared" si="152"/>
        <v>Totex variant allowances allocation percentages</v>
      </c>
    </row>
    <row r="297" spans="5:56" x14ac:dyDescent="0.35">
      <c r="E297" s="193" t="str" cm="1">
        <f t="array" ref="E297">INDEX($E$99:$E$202,INT((ROW()-ROW($E$205))/5)+1)</f>
        <v>PCD_Mandated Category 3 Security (Cadent_all)</v>
      </c>
      <c r="G297" s="33" t="s">
        <v>109</v>
      </c>
      <c r="H297" s="33" t="s">
        <v>170</v>
      </c>
      <c r="AT297" s="108"/>
      <c r="AU297" s="140">
        <f>CHOOSE(UserInterface!$C$22,#REF!,#REF!,#REF!,#REF!,#REF!,Scotland!AU297,Southern!AU297,#REF!)</f>
        <v>0</v>
      </c>
      <c r="AV297" s="23">
        <f>CHOOSE(UserInterface!$C$22,#REF!,#REF!,#REF!,#REF!,#REF!,Scotland!AV297,Southern!AV297,#REF!)</f>
        <v>0</v>
      </c>
      <c r="AW297" s="23">
        <f>CHOOSE(UserInterface!$C$22,#REF!,#REF!,#REF!,#REF!,#REF!,Scotland!AW297,Southern!AW297,#REF!)</f>
        <v>0</v>
      </c>
      <c r="AX297" s="23">
        <f>CHOOSE(UserInterface!$C$22,#REF!,#REF!,#REF!,#REF!,#REF!,Scotland!AX297,Southern!AX297,#REF!)</f>
        <v>0</v>
      </c>
      <c r="AY297" s="194">
        <f>CHOOSE(UserInterface!$C$22,#REF!,#REF!,#REF!,#REF!,#REF!,Scotland!AY297,Southern!AY297,#REF!)</f>
        <v>0</v>
      </c>
      <c r="BA297" s="34" t="str">
        <f t="shared" ca="1" si="149"/>
        <v>LicenseeSelect</v>
      </c>
      <c r="BB297" s="34" t="str">
        <f t="shared" si="150"/>
        <v>Fixed Inputs</v>
      </c>
      <c r="BC297" s="34" t="str">
        <f t="shared" si="156"/>
        <v>Variant allowances</v>
      </c>
      <c r="BD297" s="34" t="str">
        <f t="shared" si="152"/>
        <v>Totex variant allowances allocation percentages</v>
      </c>
    </row>
    <row r="298" spans="5:56" x14ac:dyDescent="0.35">
      <c r="E298" s="193" t="str" cm="1">
        <f t="array" ref="E298">INDEX($E$99:$E$202,INT((ROW()-ROW($E$205))/5)+1)</f>
        <v>PCD_Mandated Category 3 Security (Cadent_all)</v>
      </c>
      <c r="G298" s="33" t="s">
        <v>109</v>
      </c>
      <c r="H298" s="33" t="s">
        <v>171</v>
      </c>
      <c r="AT298" s="108"/>
      <c r="AU298" s="140">
        <f>CHOOSE(UserInterface!$C$22,#REF!,#REF!,#REF!,#REF!,#REF!,Scotland!AU298,Southern!AU298,#REF!)</f>
        <v>0</v>
      </c>
      <c r="AV298" s="23">
        <f>CHOOSE(UserInterface!$C$22,#REF!,#REF!,#REF!,#REF!,#REF!,Scotland!AV298,Southern!AV298,#REF!)</f>
        <v>0</v>
      </c>
      <c r="AW298" s="23">
        <f>CHOOSE(UserInterface!$C$22,#REF!,#REF!,#REF!,#REF!,#REF!,Scotland!AW298,Southern!AW298,#REF!)</f>
        <v>0</v>
      </c>
      <c r="AX298" s="23">
        <f>CHOOSE(UserInterface!$C$22,#REF!,#REF!,#REF!,#REF!,#REF!,Scotland!AX298,Southern!AX298,#REF!)</f>
        <v>0</v>
      </c>
      <c r="AY298" s="194">
        <f>CHOOSE(UserInterface!$C$22,#REF!,#REF!,#REF!,#REF!,#REF!,Scotland!AY298,Southern!AY298,#REF!)</f>
        <v>0</v>
      </c>
      <c r="BA298" s="34" t="str">
        <f t="shared" ca="1" si="149"/>
        <v>LicenseeSelect</v>
      </c>
      <c r="BB298" s="34" t="str">
        <f t="shared" si="150"/>
        <v>Fixed Inputs</v>
      </c>
      <c r="BC298" s="34" t="str">
        <f t="shared" si="156"/>
        <v>Variant allowances</v>
      </c>
      <c r="BD298" s="34" t="str">
        <f t="shared" si="152"/>
        <v>Totex variant allowances allocation percentages</v>
      </c>
    </row>
    <row r="299" spans="5:56" x14ac:dyDescent="0.35">
      <c r="E299" s="195" t="str" cm="1">
        <f t="array" ref="E299">INDEX($E$99:$E$202,INT((ROW()-ROW($E$205))/5)+1)</f>
        <v>PCD_Mandated Category 3 Security (Cadent_all)</v>
      </c>
      <c r="F299" s="196"/>
      <c r="G299" s="196" t="s">
        <v>109</v>
      </c>
      <c r="H299" s="196" t="s">
        <v>172</v>
      </c>
      <c r="I299" s="196"/>
      <c r="J299" s="196"/>
      <c r="K299" s="196"/>
      <c r="L299" s="196"/>
      <c r="M299" s="196"/>
      <c r="N299" s="196"/>
      <c r="O299" s="196"/>
      <c r="P299" s="196"/>
      <c r="Q299" s="196"/>
      <c r="R299" s="196"/>
      <c r="S299" s="196"/>
      <c r="T299" s="196"/>
      <c r="U299" s="196"/>
      <c r="V299" s="196"/>
      <c r="W299" s="196"/>
      <c r="X299" s="196"/>
      <c r="Y299" s="196"/>
      <c r="Z299" s="196"/>
      <c r="AA299" s="196"/>
      <c r="AB299" s="196"/>
      <c r="AC299" s="196"/>
      <c r="AD299" s="196"/>
      <c r="AE299" s="196"/>
      <c r="AF299" s="196"/>
      <c r="AG299" s="196"/>
      <c r="AH299" s="196"/>
      <c r="AI299" s="196"/>
      <c r="AJ299" s="196"/>
      <c r="AK299" s="196"/>
      <c r="AL299" s="196"/>
      <c r="AM299" s="196"/>
      <c r="AN299" s="196"/>
      <c r="AO299" s="196"/>
      <c r="AP299" s="196"/>
      <c r="AQ299" s="196"/>
      <c r="AR299" s="196"/>
      <c r="AS299" s="196"/>
      <c r="AT299" s="197"/>
      <c r="AU299" s="198">
        <f>CHOOSE(UserInterface!$C$22,#REF!,#REF!,#REF!,#REF!,#REF!,Scotland!AU299,Southern!AU299,#REF!)</f>
        <v>0</v>
      </c>
      <c r="AV299" s="199">
        <f>CHOOSE(UserInterface!$C$22,#REF!,#REF!,#REF!,#REF!,#REF!,Scotland!AV299,Southern!AV299,#REF!)</f>
        <v>0</v>
      </c>
      <c r="AW299" s="199">
        <f>CHOOSE(UserInterface!$C$22,#REF!,#REF!,#REF!,#REF!,#REF!,Scotland!AW299,Southern!AW299,#REF!)</f>
        <v>0</v>
      </c>
      <c r="AX299" s="199">
        <f>CHOOSE(UserInterface!$C$22,#REF!,#REF!,#REF!,#REF!,#REF!,Scotland!AX299,Southern!AX299,#REF!)</f>
        <v>0</v>
      </c>
      <c r="AY299" s="200">
        <f>CHOOSE(UserInterface!$C$22,#REF!,#REF!,#REF!,#REF!,#REF!,Scotland!AY299,Southern!AY299,#REF!)</f>
        <v>0</v>
      </c>
      <c r="BA299" s="34" t="str">
        <f t="shared" ca="1" si="149"/>
        <v>LicenseeSelect</v>
      </c>
      <c r="BB299" s="34" t="str">
        <f t="shared" si="150"/>
        <v>Fixed Inputs</v>
      </c>
      <c r="BC299" s="34" t="str">
        <f t="shared" si="156"/>
        <v>Variant allowances</v>
      </c>
      <c r="BD299" s="34" t="str">
        <f t="shared" si="152"/>
        <v>Totex variant allowances allocation percentages</v>
      </c>
    </row>
    <row r="300" spans="5:56" x14ac:dyDescent="0.35">
      <c r="E300" s="187" t="str" cm="1">
        <f t="array" ref="E300">INDEX($E$99:$E$202,INT((ROW()-ROW($E$205))/5)+1)</f>
        <v>VD_GSIUR Disconnections Volume Driver</v>
      </c>
      <c r="F300" s="188"/>
      <c r="G300" s="188" t="s">
        <v>109</v>
      </c>
      <c r="H300" s="188" t="s">
        <v>168</v>
      </c>
      <c r="I300" s="188"/>
      <c r="J300" s="188"/>
      <c r="K300" s="188"/>
      <c r="L300" s="188"/>
      <c r="M300" s="188"/>
      <c r="N300" s="188"/>
      <c r="O300" s="188"/>
      <c r="P300" s="188"/>
      <c r="Q300" s="188"/>
      <c r="R300" s="188"/>
      <c r="S300" s="188"/>
      <c r="T300" s="188"/>
      <c r="U300" s="188"/>
      <c r="V300" s="188"/>
      <c r="W300" s="188"/>
      <c r="X300" s="188"/>
      <c r="Y300" s="188"/>
      <c r="Z300" s="188"/>
      <c r="AA300" s="188"/>
      <c r="AB300" s="188"/>
      <c r="AC300" s="188"/>
      <c r="AD300" s="188"/>
      <c r="AE300" s="188"/>
      <c r="AF300" s="188"/>
      <c r="AG300" s="188"/>
      <c r="AH300" s="188"/>
      <c r="AI300" s="188"/>
      <c r="AJ300" s="188"/>
      <c r="AK300" s="188"/>
      <c r="AL300" s="188"/>
      <c r="AM300" s="188"/>
      <c r="AN300" s="188"/>
      <c r="AO300" s="188"/>
      <c r="AP300" s="188"/>
      <c r="AQ300" s="188"/>
      <c r="AR300" s="188"/>
      <c r="AS300" s="188"/>
      <c r="AT300" s="189"/>
      <c r="AU300" s="190">
        <f>CHOOSE(UserInterface!$C$22,#REF!,#REF!,#REF!,#REF!,#REF!,Scotland!AU300,Southern!AU300,#REF!)</f>
        <v>0</v>
      </c>
      <c r="AV300" s="191">
        <f>CHOOSE(UserInterface!$C$22,#REF!,#REF!,#REF!,#REF!,#REF!,Scotland!AV300,Southern!AV300,#REF!)</f>
        <v>0</v>
      </c>
      <c r="AW300" s="191">
        <f>CHOOSE(UserInterface!$C$22,#REF!,#REF!,#REF!,#REF!,#REF!,Scotland!AW300,Southern!AW300,#REF!)</f>
        <v>0</v>
      </c>
      <c r="AX300" s="191">
        <f>CHOOSE(UserInterface!$C$22,#REF!,#REF!,#REF!,#REF!,#REF!,Scotland!AX300,Southern!AX300,#REF!)</f>
        <v>0</v>
      </c>
      <c r="AY300" s="192">
        <f>CHOOSE(UserInterface!$C$22,#REF!,#REF!,#REF!,#REF!,#REF!,Scotland!AY300,Southern!AY300,#REF!)</f>
        <v>0</v>
      </c>
      <c r="BA300" s="34" t="str">
        <f t="shared" ca="1" si="149"/>
        <v>LicenseeSelect</v>
      </c>
      <c r="BB300" s="34" t="str">
        <f t="shared" si="150"/>
        <v>Fixed Inputs</v>
      </c>
      <c r="BC300" s="34" t="str">
        <f t="shared" si="156"/>
        <v>Variant allowances</v>
      </c>
      <c r="BD300" s="34" t="str">
        <f t="shared" si="152"/>
        <v>Totex variant allowances allocation percentages</v>
      </c>
    </row>
    <row r="301" spans="5:56" x14ac:dyDescent="0.35">
      <c r="E301" s="193" t="str" cm="1">
        <f t="array" ref="E301">INDEX($E$99:$E$202,INT((ROW()-ROW($E$205))/5)+1)</f>
        <v>VD_GSIUR Disconnections Volume Driver</v>
      </c>
      <c r="G301" s="33" t="s">
        <v>109</v>
      </c>
      <c r="H301" s="33" t="s">
        <v>169</v>
      </c>
      <c r="AT301" s="108"/>
      <c r="AU301" s="140">
        <f>CHOOSE(UserInterface!$C$22,#REF!,#REF!,#REF!,#REF!,#REF!,Scotland!AU301,Southern!AU301,#REF!)</f>
        <v>0</v>
      </c>
      <c r="AV301" s="23">
        <f>CHOOSE(UserInterface!$C$22,#REF!,#REF!,#REF!,#REF!,#REF!,Scotland!AV301,Southern!AV301,#REF!)</f>
        <v>0</v>
      </c>
      <c r="AW301" s="23">
        <f>CHOOSE(UserInterface!$C$22,#REF!,#REF!,#REF!,#REF!,#REF!,Scotland!AW301,Southern!AW301,#REF!)</f>
        <v>0</v>
      </c>
      <c r="AX301" s="23">
        <f>CHOOSE(UserInterface!$C$22,#REF!,#REF!,#REF!,#REF!,#REF!,Scotland!AX301,Southern!AX301,#REF!)</f>
        <v>0</v>
      </c>
      <c r="AY301" s="194">
        <f>CHOOSE(UserInterface!$C$22,#REF!,#REF!,#REF!,#REF!,#REF!,Scotland!AY301,Southern!AY301,#REF!)</f>
        <v>0</v>
      </c>
      <c r="BA301" s="34" t="str">
        <f t="shared" ca="1" si="149"/>
        <v>LicenseeSelect</v>
      </c>
      <c r="BB301" s="34" t="str">
        <f t="shared" si="150"/>
        <v>Fixed Inputs</v>
      </c>
      <c r="BC301" s="34" t="str">
        <f t="shared" si="156"/>
        <v>Variant allowances</v>
      </c>
      <c r="BD301" s="34" t="str">
        <f t="shared" si="152"/>
        <v>Totex variant allowances allocation percentages</v>
      </c>
    </row>
    <row r="302" spans="5:56" x14ac:dyDescent="0.35">
      <c r="E302" s="193" t="str" cm="1">
        <f t="array" ref="E302">INDEX($E$99:$E$202,INT((ROW()-ROW($E$205))/5)+1)</f>
        <v>VD_GSIUR Disconnections Volume Driver</v>
      </c>
      <c r="G302" s="33" t="s">
        <v>109</v>
      </c>
      <c r="H302" s="33" t="s">
        <v>170</v>
      </c>
      <c r="AT302" s="108"/>
      <c r="AU302" s="140">
        <f>CHOOSE(UserInterface!$C$22,#REF!,#REF!,#REF!,#REF!,#REF!,Scotland!AU302,Southern!AU302,#REF!)</f>
        <v>0</v>
      </c>
      <c r="AV302" s="23">
        <f>CHOOSE(UserInterface!$C$22,#REF!,#REF!,#REF!,#REF!,#REF!,Scotland!AV302,Southern!AV302,#REF!)</f>
        <v>0</v>
      </c>
      <c r="AW302" s="23">
        <f>CHOOSE(UserInterface!$C$22,#REF!,#REF!,#REF!,#REF!,#REF!,Scotland!AW302,Southern!AW302,#REF!)</f>
        <v>0</v>
      </c>
      <c r="AX302" s="23">
        <f>CHOOSE(UserInterface!$C$22,#REF!,#REF!,#REF!,#REF!,#REF!,Scotland!AX302,Southern!AX302,#REF!)</f>
        <v>0</v>
      </c>
      <c r="AY302" s="194">
        <f>CHOOSE(UserInterface!$C$22,#REF!,#REF!,#REF!,#REF!,#REF!,Scotland!AY302,Southern!AY302,#REF!)</f>
        <v>0</v>
      </c>
      <c r="BA302" s="34" t="str">
        <f t="shared" ca="1" si="149"/>
        <v>LicenseeSelect</v>
      </c>
      <c r="BB302" s="34" t="str">
        <f t="shared" si="150"/>
        <v>Fixed Inputs</v>
      </c>
      <c r="BC302" s="34" t="str">
        <f t="shared" si="156"/>
        <v>Variant allowances</v>
      </c>
      <c r="BD302" s="34" t="str">
        <f t="shared" si="152"/>
        <v>Totex variant allowances allocation percentages</v>
      </c>
    </row>
    <row r="303" spans="5:56" x14ac:dyDescent="0.35">
      <c r="E303" s="193" t="str" cm="1">
        <f t="array" ref="E303">INDEX($E$99:$E$202,INT((ROW()-ROW($E$205))/5)+1)</f>
        <v>VD_GSIUR Disconnections Volume Driver</v>
      </c>
      <c r="G303" s="33" t="s">
        <v>109</v>
      </c>
      <c r="H303" s="33" t="s">
        <v>171</v>
      </c>
      <c r="AT303" s="108"/>
      <c r="AU303" s="140">
        <f>CHOOSE(UserInterface!$C$22,#REF!,#REF!,#REF!,#REF!,#REF!,Scotland!AU303,Southern!AU303,#REF!)</f>
        <v>1</v>
      </c>
      <c r="AV303" s="23">
        <f>CHOOSE(UserInterface!$C$22,#REF!,#REF!,#REF!,#REF!,#REF!,Scotland!AV303,Southern!AV303,#REF!)</f>
        <v>1</v>
      </c>
      <c r="AW303" s="23">
        <f>CHOOSE(UserInterface!$C$22,#REF!,#REF!,#REF!,#REF!,#REF!,Scotland!AW303,Southern!AW303,#REF!)</f>
        <v>1</v>
      </c>
      <c r="AX303" s="23">
        <f>CHOOSE(UserInterface!$C$22,#REF!,#REF!,#REF!,#REF!,#REF!,Scotland!AX303,Southern!AX303,#REF!)</f>
        <v>1</v>
      </c>
      <c r="AY303" s="194">
        <f>CHOOSE(UserInterface!$C$22,#REF!,#REF!,#REF!,#REF!,#REF!,Scotland!AY303,Southern!AY303,#REF!)</f>
        <v>1</v>
      </c>
      <c r="BA303" s="34" t="str">
        <f t="shared" ca="1" si="149"/>
        <v>LicenseeSelect</v>
      </c>
      <c r="BB303" s="34" t="str">
        <f t="shared" si="150"/>
        <v>Fixed Inputs</v>
      </c>
      <c r="BC303" s="34" t="str">
        <f t="shared" si="156"/>
        <v>Variant allowances</v>
      </c>
      <c r="BD303" s="34" t="str">
        <f t="shared" si="152"/>
        <v>Totex variant allowances allocation percentages</v>
      </c>
    </row>
    <row r="304" spans="5:56" x14ac:dyDescent="0.35">
      <c r="E304" s="195" t="str" cm="1">
        <f t="array" ref="E304">INDEX($E$99:$E$202,INT((ROW()-ROW($E$205))/5)+1)</f>
        <v>VD_GSIUR Disconnections Volume Driver</v>
      </c>
      <c r="F304" s="196"/>
      <c r="G304" s="196" t="s">
        <v>109</v>
      </c>
      <c r="H304" s="196" t="s">
        <v>172</v>
      </c>
      <c r="I304" s="196"/>
      <c r="J304" s="196"/>
      <c r="K304" s="196"/>
      <c r="L304" s="196"/>
      <c r="M304" s="196"/>
      <c r="N304" s="196"/>
      <c r="O304" s="196"/>
      <c r="P304" s="196"/>
      <c r="Q304" s="196"/>
      <c r="R304" s="196"/>
      <c r="S304" s="196"/>
      <c r="T304" s="196"/>
      <c r="U304" s="196"/>
      <c r="V304" s="196"/>
      <c r="W304" s="196"/>
      <c r="X304" s="196"/>
      <c r="Y304" s="196"/>
      <c r="Z304" s="196"/>
      <c r="AA304" s="196"/>
      <c r="AB304" s="196"/>
      <c r="AC304" s="196"/>
      <c r="AD304" s="196"/>
      <c r="AE304" s="196"/>
      <c r="AF304" s="196"/>
      <c r="AG304" s="196"/>
      <c r="AH304" s="196"/>
      <c r="AI304" s="196"/>
      <c r="AJ304" s="196"/>
      <c r="AK304" s="196"/>
      <c r="AL304" s="196"/>
      <c r="AM304" s="196"/>
      <c r="AN304" s="196"/>
      <c r="AO304" s="196"/>
      <c r="AP304" s="196"/>
      <c r="AQ304" s="196"/>
      <c r="AR304" s="196"/>
      <c r="AS304" s="196"/>
      <c r="AT304" s="197"/>
      <c r="AU304" s="198">
        <f>CHOOSE(UserInterface!$C$22,#REF!,#REF!,#REF!,#REF!,#REF!,Scotland!AU304,Southern!AU304,#REF!)</f>
        <v>0</v>
      </c>
      <c r="AV304" s="199">
        <f>CHOOSE(UserInterface!$C$22,#REF!,#REF!,#REF!,#REF!,#REF!,Scotland!AV304,Southern!AV304,#REF!)</f>
        <v>0</v>
      </c>
      <c r="AW304" s="199">
        <f>CHOOSE(UserInterface!$C$22,#REF!,#REF!,#REF!,#REF!,#REF!,Scotland!AW304,Southern!AW304,#REF!)</f>
        <v>0</v>
      </c>
      <c r="AX304" s="199">
        <f>CHOOSE(UserInterface!$C$22,#REF!,#REF!,#REF!,#REF!,#REF!,Scotland!AX304,Southern!AX304,#REF!)</f>
        <v>0</v>
      </c>
      <c r="AY304" s="200">
        <f>CHOOSE(UserInterface!$C$22,#REF!,#REF!,#REF!,#REF!,#REF!,Scotland!AY304,Southern!AY304,#REF!)</f>
        <v>0</v>
      </c>
      <c r="BA304" s="34" t="str">
        <f t="shared" ca="1" si="149"/>
        <v>LicenseeSelect</v>
      </c>
      <c r="BB304" s="34" t="str">
        <f t="shared" si="150"/>
        <v>Fixed Inputs</v>
      </c>
      <c r="BC304" s="34" t="str">
        <f t="shared" si="156"/>
        <v>Variant allowances</v>
      </c>
      <c r="BD304" s="34" t="str">
        <f t="shared" si="152"/>
        <v>Totex variant allowances allocation percentages</v>
      </c>
    </row>
    <row r="305" spans="5:56" x14ac:dyDescent="0.35">
      <c r="E305" s="187" t="str" cm="1">
        <f t="array" ref="E305">INDEX($E$99:$E$202,INT((ROW()-ROW($E$205))/5)+1)</f>
        <v>VD_[spare slot]</v>
      </c>
      <c r="F305" s="188"/>
      <c r="G305" s="188" t="s">
        <v>109</v>
      </c>
      <c r="H305" s="188" t="s">
        <v>168</v>
      </c>
      <c r="I305" s="188"/>
      <c r="J305" s="188"/>
      <c r="K305" s="188"/>
      <c r="L305" s="188"/>
      <c r="M305" s="188"/>
      <c r="N305" s="188"/>
      <c r="O305" s="188"/>
      <c r="P305" s="188"/>
      <c r="Q305" s="188"/>
      <c r="R305" s="188"/>
      <c r="S305" s="188"/>
      <c r="T305" s="188"/>
      <c r="U305" s="188"/>
      <c r="V305" s="188"/>
      <c r="W305" s="188"/>
      <c r="X305" s="188"/>
      <c r="Y305" s="188"/>
      <c r="Z305" s="188"/>
      <c r="AA305" s="188"/>
      <c r="AB305" s="188"/>
      <c r="AC305" s="188"/>
      <c r="AD305" s="188"/>
      <c r="AE305" s="188"/>
      <c r="AF305" s="188"/>
      <c r="AG305" s="188"/>
      <c r="AH305" s="188"/>
      <c r="AI305" s="188"/>
      <c r="AJ305" s="188"/>
      <c r="AK305" s="188"/>
      <c r="AL305" s="188"/>
      <c r="AM305" s="188"/>
      <c r="AN305" s="188"/>
      <c r="AO305" s="188"/>
      <c r="AP305" s="188"/>
      <c r="AQ305" s="188"/>
      <c r="AR305" s="188"/>
      <c r="AS305" s="188"/>
      <c r="AT305" s="189"/>
      <c r="AU305" s="190">
        <f>CHOOSE(UserInterface!$C$22,#REF!,#REF!,#REF!,#REF!,#REF!,Scotland!AU305,Southern!AU305,#REF!)</f>
        <v>0</v>
      </c>
      <c r="AV305" s="191">
        <f>CHOOSE(UserInterface!$C$22,#REF!,#REF!,#REF!,#REF!,#REF!,Scotland!AV305,Southern!AV305,#REF!)</f>
        <v>0</v>
      </c>
      <c r="AW305" s="191">
        <f>CHOOSE(UserInterface!$C$22,#REF!,#REF!,#REF!,#REF!,#REF!,Scotland!AW305,Southern!AW305,#REF!)</f>
        <v>0</v>
      </c>
      <c r="AX305" s="191">
        <f>CHOOSE(UserInterface!$C$22,#REF!,#REF!,#REF!,#REF!,#REF!,Scotland!AX305,Southern!AX305,#REF!)</f>
        <v>0</v>
      </c>
      <c r="AY305" s="192">
        <f>CHOOSE(UserInterface!$C$22,#REF!,#REF!,#REF!,#REF!,#REF!,Scotland!AY305,Southern!AY305,#REF!)</f>
        <v>0</v>
      </c>
      <c r="BA305" s="34" t="str">
        <f t="shared" ca="1" si="149"/>
        <v>LicenseeSelect</v>
      </c>
      <c r="BB305" s="34" t="str">
        <f t="shared" si="150"/>
        <v>Fixed Inputs</v>
      </c>
      <c r="BC305" s="34" t="str">
        <f t="shared" si="156"/>
        <v>Variant allowances</v>
      </c>
      <c r="BD305" s="34" t="str">
        <f t="shared" si="152"/>
        <v>Totex variant allowances allocation percentages</v>
      </c>
    </row>
    <row r="306" spans="5:56" x14ac:dyDescent="0.35">
      <c r="E306" s="193" t="str" cm="1">
        <f t="array" ref="E306">INDEX($E$99:$E$202,INT((ROW()-ROW($E$205))/5)+1)</f>
        <v>VD_[spare slot]</v>
      </c>
      <c r="G306" s="33" t="s">
        <v>109</v>
      </c>
      <c r="H306" s="33" t="s">
        <v>169</v>
      </c>
      <c r="AT306" s="108"/>
      <c r="AU306" s="140">
        <f>CHOOSE(UserInterface!$C$22,#REF!,#REF!,#REF!,#REF!,#REF!,Scotland!AU306,Southern!AU306,#REF!)</f>
        <v>0</v>
      </c>
      <c r="AV306" s="23">
        <f>CHOOSE(UserInterface!$C$22,#REF!,#REF!,#REF!,#REF!,#REF!,Scotland!AV306,Southern!AV306,#REF!)</f>
        <v>0</v>
      </c>
      <c r="AW306" s="23">
        <f>CHOOSE(UserInterface!$C$22,#REF!,#REF!,#REF!,#REF!,#REF!,Scotland!AW306,Southern!AW306,#REF!)</f>
        <v>0</v>
      </c>
      <c r="AX306" s="23">
        <f>CHOOSE(UserInterface!$C$22,#REF!,#REF!,#REF!,#REF!,#REF!,Scotland!AX306,Southern!AX306,#REF!)</f>
        <v>0</v>
      </c>
      <c r="AY306" s="194">
        <f>CHOOSE(UserInterface!$C$22,#REF!,#REF!,#REF!,#REF!,#REF!,Scotland!AY306,Southern!AY306,#REF!)</f>
        <v>0</v>
      </c>
      <c r="BA306" s="34" t="str">
        <f t="shared" ca="1" si="149"/>
        <v>LicenseeSelect</v>
      </c>
      <c r="BB306" s="34" t="str">
        <f t="shared" si="150"/>
        <v>Fixed Inputs</v>
      </c>
      <c r="BC306" s="34" t="str">
        <f t="shared" si="156"/>
        <v>Variant allowances</v>
      </c>
      <c r="BD306" s="34" t="str">
        <f t="shared" si="152"/>
        <v>Totex variant allowances allocation percentages</v>
      </c>
    </row>
    <row r="307" spans="5:56" x14ac:dyDescent="0.35">
      <c r="E307" s="193" t="str" cm="1">
        <f t="array" ref="E307">INDEX($E$99:$E$202,INT((ROW()-ROW($E$205))/5)+1)</f>
        <v>VD_[spare slot]</v>
      </c>
      <c r="G307" s="33" t="s">
        <v>109</v>
      </c>
      <c r="H307" s="33" t="s">
        <v>170</v>
      </c>
      <c r="AT307" s="108"/>
      <c r="AU307" s="140">
        <f>CHOOSE(UserInterface!$C$22,#REF!,#REF!,#REF!,#REF!,#REF!,Scotland!AU307,Southern!AU307,#REF!)</f>
        <v>0</v>
      </c>
      <c r="AV307" s="23">
        <f>CHOOSE(UserInterface!$C$22,#REF!,#REF!,#REF!,#REF!,#REF!,Scotland!AV307,Southern!AV307,#REF!)</f>
        <v>0</v>
      </c>
      <c r="AW307" s="23">
        <f>CHOOSE(UserInterface!$C$22,#REF!,#REF!,#REF!,#REF!,#REF!,Scotland!AW307,Southern!AW307,#REF!)</f>
        <v>0</v>
      </c>
      <c r="AX307" s="23">
        <f>CHOOSE(UserInterface!$C$22,#REF!,#REF!,#REF!,#REF!,#REF!,Scotland!AX307,Southern!AX307,#REF!)</f>
        <v>0</v>
      </c>
      <c r="AY307" s="194">
        <f>CHOOSE(UserInterface!$C$22,#REF!,#REF!,#REF!,#REF!,#REF!,Scotland!AY307,Southern!AY307,#REF!)</f>
        <v>0</v>
      </c>
      <c r="BA307" s="34" t="str">
        <f t="shared" ca="1" si="149"/>
        <v>LicenseeSelect</v>
      </c>
      <c r="BB307" s="34" t="str">
        <f t="shared" si="150"/>
        <v>Fixed Inputs</v>
      </c>
      <c r="BC307" s="34" t="str">
        <f t="shared" si="156"/>
        <v>Variant allowances</v>
      </c>
      <c r="BD307" s="34" t="str">
        <f t="shared" si="152"/>
        <v>Totex variant allowances allocation percentages</v>
      </c>
    </row>
    <row r="308" spans="5:56" x14ac:dyDescent="0.35">
      <c r="E308" s="193" t="str" cm="1">
        <f t="array" ref="E308">INDEX($E$99:$E$202,INT((ROW()-ROW($E$205))/5)+1)</f>
        <v>VD_[spare slot]</v>
      </c>
      <c r="G308" s="33" t="s">
        <v>109</v>
      </c>
      <c r="H308" s="33" t="s">
        <v>171</v>
      </c>
      <c r="AT308" s="108"/>
      <c r="AU308" s="21">
        <f>CHOOSE(UserInterface!$C$22,#REF!,#REF!,#REF!,#REF!,#REF!,Scotland!AU308,Southern!AU308,#REF!)</f>
        <v>0</v>
      </c>
      <c r="AV308" s="21">
        <f>CHOOSE(UserInterface!$C$22,#REF!,#REF!,#REF!,#REF!,#REF!,Scotland!AV308,Southern!AV308,#REF!)</f>
        <v>0</v>
      </c>
      <c r="AW308" s="21">
        <f>CHOOSE(UserInterface!$C$22,#REF!,#REF!,#REF!,#REF!,#REF!,Scotland!AW308,Southern!AW308,#REF!)</f>
        <v>0</v>
      </c>
      <c r="AX308" s="21">
        <f>CHOOSE(UserInterface!$C$22,#REF!,#REF!,#REF!,#REF!,#REF!,Scotland!AX308,Southern!AX308,#REF!)</f>
        <v>0</v>
      </c>
      <c r="AY308" s="222">
        <f>CHOOSE(UserInterface!$C$22,#REF!,#REF!,#REF!,#REF!,#REF!,Scotland!AY308,Southern!AY308,#REF!)</f>
        <v>0</v>
      </c>
      <c r="BA308" s="34" t="str">
        <f t="shared" ca="1" si="149"/>
        <v>LicenseeSelect</v>
      </c>
      <c r="BB308" s="34" t="str">
        <f t="shared" si="150"/>
        <v>Fixed Inputs</v>
      </c>
      <c r="BC308" s="34" t="str">
        <f t="shared" si="156"/>
        <v>Variant allowances</v>
      </c>
      <c r="BD308" s="34" t="str">
        <f t="shared" si="152"/>
        <v>Totex variant allowances allocation percentages</v>
      </c>
    </row>
    <row r="309" spans="5:56" x14ac:dyDescent="0.35">
      <c r="E309" s="195" t="str" cm="1">
        <f t="array" ref="E309">INDEX($E$99:$E$202,INT((ROW()-ROW($E$205))/5)+1)</f>
        <v>VD_[spare slot]</v>
      </c>
      <c r="F309" s="196"/>
      <c r="G309" s="196" t="s">
        <v>109</v>
      </c>
      <c r="H309" s="196" t="s">
        <v>172</v>
      </c>
      <c r="I309" s="196"/>
      <c r="J309" s="196"/>
      <c r="K309" s="196"/>
      <c r="L309" s="196"/>
      <c r="M309" s="196"/>
      <c r="N309" s="196"/>
      <c r="O309" s="196"/>
      <c r="P309" s="196"/>
      <c r="Q309" s="196"/>
      <c r="R309" s="196"/>
      <c r="S309" s="196"/>
      <c r="T309" s="196"/>
      <c r="U309" s="196"/>
      <c r="V309" s="196"/>
      <c r="W309" s="196"/>
      <c r="X309" s="196"/>
      <c r="Y309" s="196"/>
      <c r="Z309" s="196"/>
      <c r="AA309" s="196"/>
      <c r="AB309" s="196"/>
      <c r="AC309" s="196"/>
      <c r="AD309" s="196"/>
      <c r="AE309" s="196"/>
      <c r="AF309" s="196"/>
      <c r="AG309" s="196"/>
      <c r="AH309" s="196"/>
      <c r="AI309" s="196"/>
      <c r="AJ309" s="196"/>
      <c r="AK309" s="196"/>
      <c r="AL309" s="196"/>
      <c r="AM309" s="196"/>
      <c r="AN309" s="196"/>
      <c r="AO309" s="196"/>
      <c r="AP309" s="196"/>
      <c r="AQ309" s="196"/>
      <c r="AR309" s="196"/>
      <c r="AS309" s="196"/>
      <c r="AT309" s="197"/>
      <c r="AU309" s="223">
        <f>CHOOSE(UserInterface!$C$22,#REF!,#REF!,#REF!,#REF!,#REF!,Scotland!AU309,Southern!AU309,#REF!)</f>
        <v>0</v>
      </c>
      <c r="AV309" s="223">
        <f>CHOOSE(UserInterface!$C$22,#REF!,#REF!,#REF!,#REF!,#REF!,Scotland!AV309,Southern!AV309,#REF!)</f>
        <v>0</v>
      </c>
      <c r="AW309" s="223">
        <f>CHOOSE(UserInterface!$C$22,#REF!,#REF!,#REF!,#REF!,#REF!,Scotland!AW309,Southern!AW309,#REF!)</f>
        <v>0</v>
      </c>
      <c r="AX309" s="223">
        <f>CHOOSE(UserInterface!$C$22,#REF!,#REF!,#REF!,#REF!,#REF!,Scotland!AX309,Southern!AX309,#REF!)</f>
        <v>0</v>
      </c>
      <c r="AY309" s="224">
        <f>CHOOSE(UserInterface!$C$22,#REF!,#REF!,#REF!,#REF!,#REF!,Scotland!AY309,Southern!AY309,#REF!)</f>
        <v>0</v>
      </c>
      <c r="BA309" s="34" t="str">
        <f t="shared" ca="1" si="149"/>
        <v>LicenseeSelect</v>
      </c>
      <c r="BB309" s="34" t="str">
        <f t="shared" si="150"/>
        <v>Fixed Inputs</v>
      </c>
      <c r="BC309" s="34" t="str">
        <f t="shared" si="156"/>
        <v>Variant allowances</v>
      </c>
      <c r="BD309" s="34" t="str">
        <f t="shared" si="152"/>
        <v>Totex variant allowances allocation percentages</v>
      </c>
    </row>
    <row r="310" spans="5:56" x14ac:dyDescent="0.35">
      <c r="E310" s="193" t="str" cm="1">
        <f t="array" ref="E310">INDEX($E$99:$E$202,INT((ROW()-ROW($E$205))/5)+1)</f>
        <v>VD_Tier 2A Mains and Services Replacement Volume Driver</v>
      </c>
      <c r="G310" s="33" t="s">
        <v>109</v>
      </c>
      <c r="H310" s="33" t="s">
        <v>168</v>
      </c>
      <c r="AT310" s="108"/>
      <c r="AU310" s="219">
        <f>CHOOSE(UserInterface!$C$22,#REF!,#REF!,#REF!,#REF!,#REF!,Scotland!AU310,Southern!AU310,#REF!)</f>
        <v>0</v>
      </c>
      <c r="AV310" s="220">
        <f>CHOOSE(UserInterface!$C$22,#REF!,#REF!,#REF!,#REF!,#REF!,Scotland!AV310,Southern!AV310,#REF!)</f>
        <v>0</v>
      </c>
      <c r="AW310" s="220">
        <f>CHOOSE(UserInterface!$C$22,#REF!,#REF!,#REF!,#REF!,#REF!,Scotland!AW310,Southern!AW310,#REF!)</f>
        <v>0</v>
      </c>
      <c r="AX310" s="220">
        <f>CHOOSE(UserInterface!$C$22,#REF!,#REF!,#REF!,#REF!,#REF!,Scotland!AX310,Southern!AX310,#REF!)</f>
        <v>0</v>
      </c>
      <c r="AY310" s="221">
        <f>CHOOSE(UserInterface!$C$22,#REF!,#REF!,#REF!,#REF!,#REF!,Scotland!AY310,Southern!AY310,#REF!)</f>
        <v>0</v>
      </c>
      <c r="BA310" s="34" t="str">
        <f t="shared" ca="1" si="149"/>
        <v>LicenseeSelect</v>
      </c>
      <c r="BB310" s="34" t="str">
        <f t="shared" si="150"/>
        <v>Fixed Inputs</v>
      </c>
      <c r="BC310" s="34" t="str">
        <f t="shared" si="156"/>
        <v>Variant allowances</v>
      </c>
      <c r="BD310" s="34" t="str">
        <f t="shared" si="152"/>
        <v>Totex variant allowances allocation percentages</v>
      </c>
    </row>
    <row r="311" spans="5:56" x14ac:dyDescent="0.35">
      <c r="E311" s="193" t="str" cm="1">
        <f t="array" ref="E311">INDEX($E$99:$E$202,INT((ROW()-ROW($E$205))/5)+1)</f>
        <v>VD_Tier 2A Mains and Services Replacement Volume Driver</v>
      </c>
      <c r="G311" s="33" t="s">
        <v>109</v>
      </c>
      <c r="H311" s="33" t="s">
        <v>169</v>
      </c>
      <c r="AT311" s="108"/>
      <c r="AU311" s="140">
        <f>CHOOSE(UserInterface!$C$22,#REF!,#REF!,#REF!,#REF!,#REF!,Scotland!AU311,Southern!AU311,#REF!)</f>
        <v>0</v>
      </c>
      <c r="AV311" s="23">
        <f>CHOOSE(UserInterface!$C$22,#REF!,#REF!,#REF!,#REF!,#REF!,Scotland!AV311,Southern!AV311,#REF!)</f>
        <v>0</v>
      </c>
      <c r="AW311" s="23">
        <f>CHOOSE(UserInterface!$C$22,#REF!,#REF!,#REF!,#REF!,#REF!,Scotland!AW311,Southern!AW311,#REF!)</f>
        <v>0</v>
      </c>
      <c r="AX311" s="23">
        <f>CHOOSE(UserInterface!$C$22,#REF!,#REF!,#REF!,#REF!,#REF!,Scotland!AX311,Southern!AX311,#REF!)</f>
        <v>0</v>
      </c>
      <c r="AY311" s="194">
        <f>CHOOSE(UserInterface!$C$22,#REF!,#REF!,#REF!,#REF!,#REF!,Scotland!AY311,Southern!AY311,#REF!)</f>
        <v>0</v>
      </c>
      <c r="BA311" s="34" t="str">
        <f t="shared" ca="1" si="149"/>
        <v>LicenseeSelect</v>
      </c>
      <c r="BB311" s="34" t="str">
        <f t="shared" si="150"/>
        <v>Fixed Inputs</v>
      </c>
      <c r="BC311" s="34" t="str">
        <f t="shared" si="156"/>
        <v>Variant allowances</v>
      </c>
      <c r="BD311" s="34" t="str">
        <f t="shared" si="152"/>
        <v>Totex variant allowances allocation percentages</v>
      </c>
    </row>
    <row r="312" spans="5:56" x14ac:dyDescent="0.35">
      <c r="E312" s="193" t="str" cm="1">
        <f t="array" ref="E312">INDEX($E$99:$E$202,INT((ROW()-ROW($E$205))/5)+1)</f>
        <v>VD_Tier 2A Mains and Services Replacement Volume Driver</v>
      </c>
      <c r="G312" s="33" t="s">
        <v>109</v>
      </c>
      <c r="H312" s="33" t="s">
        <v>170</v>
      </c>
      <c r="AT312" s="108"/>
      <c r="AU312" s="140">
        <f>CHOOSE(UserInterface!$C$22,#REF!,#REF!,#REF!,#REF!,#REF!,Scotland!AU312,Southern!AU312,#REF!)</f>
        <v>0</v>
      </c>
      <c r="AV312" s="23">
        <f>CHOOSE(UserInterface!$C$22,#REF!,#REF!,#REF!,#REF!,#REF!,Scotland!AV312,Southern!AV312,#REF!)</f>
        <v>0</v>
      </c>
      <c r="AW312" s="23">
        <f>CHOOSE(UserInterface!$C$22,#REF!,#REF!,#REF!,#REF!,#REF!,Scotland!AW312,Southern!AW312,#REF!)</f>
        <v>0</v>
      </c>
      <c r="AX312" s="23">
        <f>CHOOSE(UserInterface!$C$22,#REF!,#REF!,#REF!,#REF!,#REF!,Scotland!AX312,Southern!AX312,#REF!)</f>
        <v>0</v>
      </c>
      <c r="AY312" s="194">
        <f>CHOOSE(UserInterface!$C$22,#REF!,#REF!,#REF!,#REF!,#REF!,Scotland!AY312,Southern!AY312,#REF!)</f>
        <v>0</v>
      </c>
      <c r="BA312" s="34" t="str">
        <f t="shared" ca="1" si="149"/>
        <v>LicenseeSelect</v>
      </c>
      <c r="BB312" s="34" t="str">
        <f t="shared" si="150"/>
        <v>Fixed Inputs</v>
      </c>
      <c r="BC312" s="34" t="str">
        <f t="shared" si="156"/>
        <v>Variant allowances</v>
      </c>
      <c r="BD312" s="34" t="str">
        <f t="shared" si="152"/>
        <v>Totex variant allowances allocation percentages</v>
      </c>
    </row>
    <row r="313" spans="5:56" x14ac:dyDescent="0.35">
      <c r="E313" s="193" t="str" cm="1">
        <f t="array" ref="E313">INDEX($E$99:$E$202,INT((ROW()-ROW($E$205))/5)+1)</f>
        <v>VD_Tier 2A Mains and Services Replacement Volume Driver</v>
      </c>
      <c r="G313" s="33" t="s">
        <v>109</v>
      </c>
      <c r="H313" s="33" t="s">
        <v>171</v>
      </c>
      <c r="AT313" s="108"/>
      <c r="AU313" s="140">
        <f>CHOOSE(UserInterface!$C$22,#REF!,#REF!,#REF!,#REF!,#REF!,Scotland!AU313,Southern!AU313,#REF!)</f>
        <v>0</v>
      </c>
      <c r="AV313" s="23">
        <f>CHOOSE(UserInterface!$C$22,#REF!,#REF!,#REF!,#REF!,#REF!,Scotland!AV313,Southern!AV313,#REF!)</f>
        <v>0</v>
      </c>
      <c r="AW313" s="23">
        <f>CHOOSE(UserInterface!$C$22,#REF!,#REF!,#REF!,#REF!,#REF!,Scotland!AW313,Southern!AW313,#REF!)</f>
        <v>0</v>
      </c>
      <c r="AX313" s="23">
        <f>CHOOSE(UserInterface!$C$22,#REF!,#REF!,#REF!,#REF!,#REF!,Scotland!AX313,Southern!AX313,#REF!)</f>
        <v>0</v>
      </c>
      <c r="AY313" s="194">
        <f>CHOOSE(UserInterface!$C$22,#REF!,#REF!,#REF!,#REF!,#REF!,Scotland!AY313,Southern!AY313,#REF!)</f>
        <v>0</v>
      </c>
      <c r="BA313" s="34" t="str">
        <f t="shared" ca="1" si="149"/>
        <v>LicenseeSelect</v>
      </c>
      <c r="BB313" s="34" t="str">
        <f t="shared" si="150"/>
        <v>Fixed Inputs</v>
      </c>
      <c r="BC313" s="34" t="str">
        <f t="shared" si="156"/>
        <v>Variant allowances</v>
      </c>
      <c r="BD313" s="34" t="str">
        <f t="shared" si="152"/>
        <v>Totex variant allowances allocation percentages</v>
      </c>
    </row>
    <row r="314" spans="5:56" x14ac:dyDescent="0.35">
      <c r="E314" s="195" t="str" cm="1">
        <f t="array" ref="E314">INDEX($E$99:$E$202,INT((ROW()-ROW($E$205))/5)+1)</f>
        <v>VD_Tier 2A Mains and Services Replacement Volume Driver</v>
      </c>
      <c r="F314" s="196"/>
      <c r="G314" s="196" t="s">
        <v>109</v>
      </c>
      <c r="H314" s="196" t="s">
        <v>172</v>
      </c>
      <c r="I314" s="196"/>
      <c r="J314" s="196"/>
      <c r="K314" s="196"/>
      <c r="L314" s="196"/>
      <c r="M314" s="196"/>
      <c r="N314" s="196"/>
      <c r="O314" s="196"/>
      <c r="P314" s="196"/>
      <c r="Q314" s="196"/>
      <c r="R314" s="196"/>
      <c r="S314" s="196"/>
      <c r="T314" s="196"/>
      <c r="U314" s="196"/>
      <c r="V314" s="196"/>
      <c r="W314" s="196"/>
      <c r="X314" s="196"/>
      <c r="Y314" s="196"/>
      <c r="Z314" s="196"/>
      <c r="AA314" s="196"/>
      <c r="AB314" s="196"/>
      <c r="AC314" s="196"/>
      <c r="AD314" s="196"/>
      <c r="AE314" s="196"/>
      <c r="AF314" s="196"/>
      <c r="AG314" s="196"/>
      <c r="AH314" s="196"/>
      <c r="AI314" s="196"/>
      <c r="AJ314" s="196"/>
      <c r="AK314" s="196"/>
      <c r="AL314" s="196"/>
      <c r="AM314" s="196"/>
      <c r="AN314" s="196"/>
      <c r="AO314" s="196"/>
      <c r="AP314" s="196"/>
      <c r="AQ314" s="196"/>
      <c r="AR314" s="196"/>
      <c r="AS314" s="196"/>
      <c r="AT314" s="197"/>
      <c r="AU314" s="198">
        <f>CHOOSE(UserInterface!$C$22,#REF!,#REF!,#REF!,#REF!,#REF!,Scotland!AU314,Southern!AU314,#REF!)</f>
        <v>1</v>
      </c>
      <c r="AV314" s="199">
        <f>CHOOSE(UserInterface!$C$22,#REF!,#REF!,#REF!,#REF!,#REF!,Scotland!AV314,Southern!AV314,#REF!)</f>
        <v>1</v>
      </c>
      <c r="AW314" s="199">
        <f>CHOOSE(UserInterface!$C$22,#REF!,#REF!,#REF!,#REF!,#REF!,Scotland!AW314,Southern!AW314,#REF!)</f>
        <v>1</v>
      </c>
      <c r="AX314" s="199">
        <f>CHOOSE(UserInterface!$C$22,#REF!,#REF!,#REF!,#REF!,#REF!,Scotland!AX314,Southern!AX314,#REF!)</f>
        <v>1</v>
      </c>
      <c r="AY314" s="200">
        <f>CHOOSE(UserInterface!$C$22,#REF!,#REF!,#REF!,#REF!,#REF!,Scotland!AY314,Southern!AY314,#REF!)</f>
        <v>1</v>
      </c>
      <c r="BA314" s="34" t="str">
        <f t="shared" ca="1" si="149"/>
        <v>LicenseeSelect</v>
      </c>
      <c r="BB314" s="34" t="str">
        <f t="shared" si="150"/>
        <v>Fixed Inputs</v>
      </c>
      <c r="BC314" s="34" t="str">
        <f t="shared" si="156"/>
        <v>Variant allowances</v>
      </c>
      <c r="BD314" s="34" t="str">
        <f t="shared" si="152"/>
        <v>Totex variant allowances allocation percentages</v>
      </c>
    </row>
    <row r="315" spans="5:56" x14ac:dyDescent="0.35">
      <c r="E315" s="187" t="str" cm="1">
        <f t="array" ref="E315">INDEX($E$99:$E$202,INT((ROW()-ROW($E$205))/5)+1)</f>
        <v>UIOLI_Net Zero and Re-opener Development Fund / Decarbonisation Project Development Fund UIOLI</v>
      </c>
      <c r="F315" s="188"/>
      <c r="G315" s="188" t="s">
        <v>109</v>
      </c>
      <c r="H315" s="188" t="s">
        <v>168</v>
      </c>
      <c r="I315" s="188"/>
      <c r="J315" s="188"/>
      <c r="K315" s="188"/>
      <c r="L315" s="188"/>
      <c r="M315" s="188"/>
      <c r="N315" s="188"/>
      <c r="O315" s="188"/>
      <c r="P315" s="188"/>
      <c r="Q315" s="188"/>
      <c r="R315" s="188"/>
      <c r="S315" s="188"/>
      <c r="T315" s="188"/>
      <c r="U315" s="188"/>
      <c r="V315" s="188"/>
      <c r="W315" s="188"/>
      <c r="X315" s="188"/>
      <c r="Y315" s="188"/>
      <c r="Z315" s="188"/>
      <c r="AA315" s="188"/>
      <c r="AB315" s="188"/>
      <c r="AC315" s="188"/>
      <c r="AD315" s="188"/>
      <c r="AE315" s="188"/>
      <c r="AF315" s="188"/>
      <c r="AG315" s="188"/>
      <c r="AH315" s="188"/>
      <c r="AI315" s="188"/>
      <c r="AJ315" s="188"/>
      <c r="AK315" s="188"/>
      <c r="AL315" s="188"/>
      <c r="AM315" s="188"/>
      <c r="AN315" s="188"/>
      <c r="AO315" s="188"/>
      <c r="AP315" s="188"/>
      <c r="AQ315" s="188"/>
      <c r="AR315" s="188"/>
      <c r="AS315" s="188"/>
      <c r="AT315" s="189"/>
      <c r="AU315" s="190">
        <f>CHOOSE(UserInterface!$C$22,#REF!,#REF!,#REF!,#REF!,#REF!,Scotland!AU315,Southern!AU315,#REF!)</f>
        <v>0</v>
      </c>
      <c r="AV315" s="191">
        <f>CHOOSE(UserInterface!$C$22,#REF!,#REF!,#REF!,#REF!,#REF!,Scotland!AV315,Southern!AV315,#REF!)</f>
        <v>0</v>
      </c>
      <c r="AW315" s="191">
        <f>CHOOSE(UserInterface!$C$22,#REF!,#REF!,#REF!,#REF!,#REF!,Scotland!AW315,Southern!AW315,#REF!)</f>
        <v>0</v>
      </c>
      <c r="AX315" s="191">
        <f>CHOOSE(UserInterface!$C$22,#REF!,#REF!,#REF!,#REF!,#REF!,Scotland!AX315,Southern!AX315,#REF!)</f>
        <v>0</v>
      </c>
      <c r="AY315" s="192">
        <f>CHOOSE(UserInterface!$C$22,#REF!,#REF!,#REF!,#REF!,#REF!,Scotland!AY315,Southern!AY315,#REF!)</f>
        <v>0</v>
      </c>
      <c r="BA315" s="34" t="str">
        <f t="shared" ca="1" si="149"/>
        <v>LicenseeSelect</v>
      </c>
      <c r="BB315" s="34" t="str">
        <f t="shared" si="150"/>
        <v>Fixed Inputs</v>
      </c>
      <c r="BC315" s="34" t="str">
        <f t="shared" si="156"/>
        <v>Variant allowances</v>
      </c>
      <c r="BD315" s="34" t="str">
        <f t="shared" si="152"/>
        <v>Totex variant allowances allocation percentages</v>
      </c>
    </row>
    <row r="316" spans="5:56" x14ac:dyDescent="0.35">
      <c r="E316" s="193" t="str" cm="1">
        <f t="array" ref="E316">INDEX($E$99:$E$202,INT((ROW()-ROW($E$205))/5)+1)</f>
        <v>UIOLI_Net Zero and Re-opener Development Fund / Decarbonisation Project Development Fund UIOLI</v>
      </c>
      <c r="G316" s="33" t="s">
        <v>109</v>
      </c>
      <c r="H316" s="33" t="s">
        <v>169</v>
      </c>
      <c r="AT316" s="108"/>
      <c r="AU316" s="140">
        <f>CHOOSE(UserInterface!$C$22,#REF!,#REF!,#REF!,#REF!,#REF!,Scotland!AU316,Southern!AU316,#REF!)</f>
        <v>0.2</v>
      </c>
      <c r="AV316" s="23">
        <f>CHOOSE(UserInterface!$C$22,#REF!,#REF!,#REF!,#REF!,#REF!,Scotland!AV316,Southern!AV316,#REF!)</f>
        <v>0.2</v>
      </c>
      <c r="AW316" s="23">
        <f>CHOOSE(UserInterface!$C$22,#REF!,#REF!,#REF!,#REF!,#REF!,Scotland!AW316,Southern!AW316,#REF!)</f>
        <v>0.2</v>
      </c>
      <c r="AX316" s="23">
        <f>CHOOSE(UserInterface!$C$22,#REF!,#REF!,#REF!,#REF!,#REF!,Scotland!AX316,Southern!AX316,#REF!)</f>
        <v>0.2</v>
      </c>
      <c r="AY316" s="194">
        <f>CHOOSE(UserInterface!$C$22,#REF!,#REF!,#REF!,#REF!,#REF!,Scotland!AY316,Southern!AY316,#REF!)</f>
        <v>0.2</v>
      </c>
      <c r="BA316" s="34" t="str">
        <f t="shared" ca="1" si="149"/>
        <v>LicenseeSelect</v>
      </c>
      <c r="BB316" s="34" t="str">
        <f t="shared" si="150"/>
        <v>Fixed Inputs</v>
      </c>
      <c r="BC316" s="34" t="str">
        <f t="shared" si="156"/>
        <v>Variant allowances</v>
      </c>
      <c r="BD316" s="34" t="str">
        <f t="shared" si="152"/>
        <v>Totex variant allowances allocation percentages</v>
      </c>
    </row>
    <row r="317" spans="5:56" x14ac:dyDescent="0.35">
      <c r="E317" s="193" t="str" cm="1">
        <f t="array" ref="E317">INDEX($E$99:$E$202,INT((ROW()-ROW($E$205))/5)+1)</f>
        <v>UIOLI_Net Zero and Re-opener Development Fund / Decarbonisation Project Development Fund UIOLI</v>
      </c>
      <c r="G317" s="33" t="s">
        <v>109</v>
      </c>
      <c r="H317" s="33" t="s">
        <v>170</v>
      </c>
      <c r="AT317" s="108"/>
      <c r="AU317" s="140">
        <f>CHOOSE(UserInterface!$C$22,#REF!,#REF!,#REF!,#REF!,#REF!,Scotland!AU317,Southern!AU317,#REF!)</f>
        <v>0</v>
      </c>
      <c r="AV317" s="23">
        <f>CHOOSE(UserInterface!$C$22,#REF!,#REF!,#REF!,#REF!,#REF!,Scotland!AV317,Southern!AV317,#REF!)</f>
        <v>0</v>
      </c>
      <c r="AW317" s="23">
        <f>CHOOSE(UserInterface!$C$22,#REF!,#REF!,#REF!,#REF!,#REF!,Scotland!AW317,Southern!AW317,#REF!)</f>
        <v>0</v>
      </c>
      <c r="AX317" s="23">
        <f>CHOOSE(UserInterface!$C$22,#REF!,#REF!,#REF!,#REF!,#REF!,Scotland!AX317,Southern!AX317,#REF!)</f>
        <v>0</v>
      </c>
      <c r="AY317" s="194">
        <f>CHOOSE(UserInterface!$C$22,#REF!,#REF!,#REF!,#REF!,#REF!,Scotland!AY317,Southern!AY317,#REF!)</f>
        <v>0</v>
      </c>
      <c r="BA317" s="34" t="str">
        <f t="shared" ca="1" si="149"/>
        <v>LicenseeSelect</v>
      </c>
      <c r="BB317" s="34" t="str">
        <f t="shared" si="150"/>
        <v>Fixed Inputs</v>
      </c>
      <c r="BC317" s="34" t="str">
        <f t="shared" si="156"/>
        <v>Variant allowances</v>
      </c>
      <c r="BD317" s="34" t="str">
        <f t="shared" si="152"/>
        <v>Totex variant allowances allocation percentages</v>
      </c>
    </row>
    <row r="318" spans="5:56" x14ac:dyDescent="0.35">
      <c r="E318" s="193" t="str" cm="1">
        <f t="array" ref="E318">INDEX($E$99:$E$202,INT((ROW()-ROW($E$205))/5)+1)</f>
        <v>UIOLI_Net Zero and Re-opener Development Fund / Decarbonisation Project Development Fund UIOLI</v>
      </c>
      <c r="G318" s="33" t="s">
        <v>109</v>
      </c>
      <c r="H318" s="33" t="s">
        <v>171</v>
      </c>
      <c r="AT318" s="108"/>
      <c r="AU318" s="140">
        <f>CHOOSE(UserInterface!$C$22,#REF!,#REF!,#REF!,#REF!,#REF!,Scotland!AU318,Southern!AU318,#REF!)</f>
        <v>0.8</v>
      </c>
      <c r="AV318" s="23">
        <f>CHOOSE(UserInterface!$C$22,#REF!,#REF!,#REF!,#REF!,#REF!,Scotland!AV318,Southern!AV318,#REF!)</f>
        <v>0.8</v>
      </c>
      <c r="AW318" s="23">
        <f>CHOOSE(UserInterface!$C$22,#REF!,#REF!,#REF!,#REF!,#REF!,Scotland!AW318,Southern!AW318,#REF!)</f>
        <v>0.8</v>
      </c>
      <c r="AX318" s="23">
        <f>CHOOSE(UserInterface!$C$22,#REF!,#REF!,#REF!,#REF!,#REF!,Scotland!AX318,Southern!AX318,#REF!)</f>
        <v>0.8</v>
      </c>
      <c r="AY318" s="194">
        <f>CHOOSE(UserInterface!$C$22,#REF!,#REF!,#REF!,#REF!,#REF!,Scotland!AY318,Southern!AY318,#REF!)</f>
        <v>0.8</v>
      </c>
      <c r="BA318" s="34" t="str">
        <f t="shared" ca="1" si="149"/>
        <v>LicenseeSelect</v>
      </c>
      <c r="BB318" s="34" t="str">
        <f t="shared" si="150"/>
        <v>Fixed Inputs</v>
      </c>
      <c r="BC318" s="34" t="str">
        <f t="shared" si="156"/>
        <v>Variant allowances</v>
      </c>
      <c r="BD318" s="34" t="str">
        <f t="shared" si="152"/>
        <v>Totex variant allowances allocation percentages</v>
      </c>
    </row>
    <row r="319" spans="5:56" x14ac:dyDescent="0.35">
      <c r="E319" s="195" t="str" cm="1">
        <f t="array" ref="E319">INDEX($E$99:$E$202,INT((ROW()-ROW($E$205))/5)+1)</f>
        <v>UIOLI_Net Zero and Re-opener Development Fund / Decarbonisation Project Development Fund UIOLI</v>
      </c>
      <c r="F319" s="196"/>
      <c r="G319" s="196" t="s">
        <v>109</v>
      </c>
      <c r="H319" s="196" t="s">
        <v>172</v>
      </c>
      <c r="I319" s="196"/>
      <c r="J319" s="196"/>
      <c r="K319" s="196"/>
      <c r="L319" s="196"/>
      <c r="M319" s="196"/>
      <c r="N319" s="196"/>
      <c r="O319" s="196"/>
      <c r="P319" s="196"/>
      <c r="Q319" s="196"/>
      <c r="R319" s="196"/>
      <c r="S319" s="196"/>
      <c r="T319" s="196"/>
      <c r="U319" s="196"/>
      <c r="V319" s="196"/>
      <c r="W319" s="196"/>
      <c r="X319" s="196"/>
      <c r="Y319" s="196"/>
      <c r="Z319" s="196"/>
      <c r="AA319" s="196"/>
      <c r="AB319" s="196"/>
      <c r="AC319" s="196"/>
      <c r="AD319" s="196"/>
      <c r="AE319" s="196"/>
      <c r="AF319" s="196"/>
      <c r="AG319" s="196"/>
      <c r="AH319" s="196"/>
      <c r="AI319" s="196"/>
      <c r="AJ319" s="196"/>
      <c r="AK319" s="196"/>
      <c r="AL319" s="196"/>
      <c r="AM319" s="196"/>
      <c r="AN319" s="196"/>
      <c r="AO319" s="196"/>
      <c r="AP319" s="196"/>
      <c r="AQ319" s="196"/>
      <c r="AR319" s="196"/>
      <c r="AS319" s="196"/>
      <c r="AT319" s="197"/>
      <c r="AU319" s="198">
        <f>CHOOSE(UserInterface!$C$22,#REF!,#REF!,#REF!,#REF!,#REF!,Scotland!AU319,Southern!AU319,#REF!)</f>
        <v>0</v>
      </c>
      <c r="AV319" s="199">
        <f>CHOOSE(UserInterface!$C$22,#REF!,#REF!,#REF!,#REF!,#REF!,Scotland!AV319,Southern!AV319,#REF!)</f>
        <v>0</v>
      </c>
      <c r="AW319" s="199">
        <f>CHOOSE(UserInterface!$C$22,#REF!,#REF!,#REF!,#REF!,#REF!,Scotland!AW319,Southern!AW319,#REF!)</f>
        <v>0</v>
      </c>
      <c r="AX319" s="199">
        <f>CHOOSE(UserInterface!$C$22,#REF!,#REF!,#REF!,#REF!,#REF!,Scotland!AX319,Southern!AX319,#REF!)</f>
        <v>0</v>
      </c>
      <c r="AY319" s="200">
        <f>CHOOSE(UserInterface!$C$22,#REF!,#REF!,#REF!,#REF!,#REF!,Scotland!AY319,Southern!AY319,#REF!)</f>
        <v>0</v>
      </c>
      <c r="BA319" s="34" t="str">
        <f t="shared" ca="1" si="149"/>
        <v>LicenseeSelect</v>
      </c>
      <c r="BB319" s="34" t="str">
        <f t="shared" si="150"/>
        <v>Fixed Inputs</v>
      </c>
      <c r="BC319" s="34" t="str">
        <f t="shared" si="156"/>
        <v>Variant allowances</v>
      </c>
      <c r="BD319" s="34" t="str">
        <f t="shared" si="152"/>
        <v>Totex variant allowances allocation percentages</v>
      </c>
    </row>
    <row r="320" spans="5:56" x14ac:dyDescent="0.35">
      <c r="E320" s="187" t="str" cm="1">
        <f t="array" ref="E320">INDEX($E$99:$E$202,INT((ROW()-ROW($E$205))/5)+1)</f>
        <v>UIOLI_Cyber Resilience_NGN</v>
      </c>
      <c r="F320" s="188"/>
      <c r="G320" s="188" t="s">
        <v>109</v>
      </c>
      <c r="H320" s="188" t="s">
        <v>168</v>
      </c>
      <c r="I320" s="188"/>
      <c r="J320" s="188"/>
      <c r="K320" s="188"/>
      <c r="L320" s="188"/>
      <c r="M320" s="188"/>
      <c r="N320" s="188"/>
      <c r="O320" s="188"/>
      <c r="P320" s="188"/>
      <c r="Q320" s="188"/>
      <c r="R320" s="188"/>
      <c r="S320" s="188"/>
      <c r="T320" s="188"/>
      <c r="U320" s="188"/>
      <c r="V320" s="188"/>
      <c r="W320" s="188"/>
      <c r="X320" s="188"/>
      <c r="Y320" s="188"/>
      <c r="Z320" s="188"/>
      <c r="AA320" s="188"/>
      <c r="AB320" s="188"/>
      <c r="AC320" s="188"/>
      <c r="AD320" s="188"/>
      <c r="AE320" s="188"/>
      <c r="AF320" s="188"/>
      <c r="AG320" s="188"/>
      <c r="AH320" s="188"/>
      <c r="AI320" s="188"/>
      <c r="AJ320" s="188"/>
      <c r="AK320" s="188"/>
      <c r="AL320" s="188"/>
      <c r="AM320" s="188"/>
      <c r="AN320" s="188"/>
      <c r="AO320" s="188"/>
      <c r="AP320" s="188"/>
      <c r="AQ320" s="188"/>
      <c r="AR320" s="188"/>
      <c r="AS320" s="188"/>
      <c r="AT320" s="189"/>
      <c r="AU320" s="190">
        <f>CHOOSE(UserInterface!$C$22,#REF!,#REF!,#REF!,#REF!,#REF!,Scotland!AU320,Southern!AU320,#REF!)</f>
        <v>0</v>
      </c>
      <c r="AV320" s="191">
        <f>CHOOSE(UserInterface!$C$22,#REF!,#REF!,#REF!,#REF!,#REF!,Scotland!AV320,Southern!AV320,#REF!)</f>
        <v>0</v>
      </c>
      <c r="AW320" s="191">
        <f>CHOOSE(UserInterface!$C$22,#REF!,#REF!,#REF!,#REF!,#REF!,Scotland!AW320,Southern!AW320,#REF!)</f>
        <v>0</v>
      </c>
      <c r="AX320" s="191">
        <f>CHOOSE(UserInterface!$C$22,#REF!,#REF!,#REF!,#REF!,#REF!,Scotland!AX320,Southern!AX320,#REF!)</f>
        <v>0</v>
      </c>
      <c r="AY320" s="192">
        <f>CHOOSE(UserInterface!$C$22,#REF!,#REF!,#REF!,#REF!,#REF!,Scotland!AY320,Southern!AY320,#REF!)</f>
        <v>0</v>
      </c>
      <c r="BA320" s="34" t="str">
        <f t="shared" ca="1" si="149"/>
        <v>LicenseeSelect</v>
      </c>
      <c r="BB320" s="34" t="str">
        <f t="shared" si="150"/>
        <v>Fixed Inputs</v>
      </c>
      <c r="BC320" s="34" t="str">
        <f t="shared" si="156"/>
        <v>Variant allowances</v>
      </c>
      <c r="BD320" s="34" t="str">
        <f t="shared" si="152"/>
        <v>Totex variant allowances allocation percentages</v>
      </c>
    </row>
    <row r="321" spans="5:56" x14ac:dyDescent="0.35">
      <c r="E321" s="193" t="str" cm="1">
        <f t="array" ref="E321">INDEX($E$99:$E$202,INT((ROW()-ROW($E$205))/5)+1)</f>
        <v>UIOLI_Cyber Resilience_NGN</v>
      </c>
      <c r="G321" s="33" t="s">
        <v>109</v>
      </c>
      <c r="H321" s="33" t="s">
        <v>169</v>
      </c>
      <c r="AT321" s="108"/>
      <c r="AU321" s="140">
        <f>CHOOSE(UserInterface!$C$22,#REF!,#REF!,#REF!,#REF!,#REF!,Scotland!AU321,Southern!AU321,#REF!)</f>
        <v>1</v>
      </c>
      <c r="AV321" s="23">
        <f>CHOOSE(UserInterface!$C$22,#REF!,#REF!,#REF!,#REF!,#REF!,Scotland!AV321,Southern!AV321,#REF!)</f>
        <v>1</v>
      </c>
      <c r="AW321" s="23">
        <f>CHOOSE(UserInterface!$C$22,#REF!,#REF!,#REF!,#REF!,#REF!,Scotland!AW321,Southern!AW321,#REF!)</f>
        <v>1</v>
      </c>
      <c r="AX321" s="23">
        <f>CHOOSE(UserInterface!$C$22,#REF!,#REF!,#REF!,#REF!,#REF!,Scotland!AX321,Southern!AX321,#REF!)</f>
        <v>1</v>
      </c>
      <c r="AY321" s="194">
        <f>CHOOSE(UserInterface!$C$22,#REF!,#REF!,#REF!,#REF!,#REF!,Scotland!AY321,Southern!AY321,#REF!)</f>
        <v>1</v>
      </c>
      <c r="BA321" s="34" t="str">
        <f t="shared" ca="1" si="149"/>
        <v>LicenseeSelect</v>
      </c>
      <c r="BB321" s="34" t="str">
        <f t="shared" si="150"/>
        <v>Fixed Inputs</v>
      </c>
      <c r="BC321" s="34" t="str">
        <f t="shared" si="156"/>
        <v>Variant allowances</v>
      </c>
      <c r="BD321" s="34" t="str">
        <f t="shared" si="152"/>
        <v>Totex variant allowances allocation percentages</v>
      </c>
    </row>
    <row r="322" spans="5:56" x14ac:dyDescent="0.35">
      <c r="E322" s="193" t="str" cm="1">
        <f t="array" ref="E322">INDEX($E$99:$E$202,INT((ROW()-ROW($E$205))/5)+1)</f>
        <v>UIOLI_Cyber Resilience_NGN</v>
      </c>
      <c r="G322" s="33" t="s">
        <v>109</v>
      </c>
      <c r="H322" s="33" t="s">
        <v>170</v>
      </c>
      <c r="AT322" s="108"/>
      <c r="AU322" s="140">
        <f>CHOOSE(UserInterface!$C$22,#REF!,#REF!,#REF!,#REF!,#REF!,Scotland!AU322,Southern!AU322,#REF!)</f>
        <v>0</v>
      </c>
      <c r="AV322" s="23">
        <f>CHOOSE(UserInterface!$C$22,#REF!,#REF!,#REF!,#REF!,#REF!,Scotland!AV322,Southern!AV322,#REF!)</f>
        <v>0</v>
      </c>
      <c r="AW322" s="23">
        <f>CHOOSE(UserInterface!$C$22,#REF!,#REF!,#REF!,#REF!,#REF!,Scotland!AW322,Southern!AW322,#REF!)</f>
        <v>0</v>
      </c>
      <c r="AX322" s="23">
        <f>CHOOSE(UserInterface!$C$22,#REF!,#REF!,#REF!,#REF!,#REF!,Scotland!AX322,Southern!AX322,#REF!)</f>
        <v>0</v>
      </c>
      <c r="AY322" s="194">
        <f>CHOOSE(UserInterface!$C$22,#REF!,#REF!,#REF!,#REF!,#REF!,Scotland!AY322,Southern!AY322,#REF!)</f>
        <v>0</v>
      </c>
      <c r="BA322" s="34" t="str">
        <f t="shared" ca="1" si="149"/>
        <v>LicenseeSelect</v>
      </c>
      <c r="BB322" s="34" t="str">
        <f t="shared" si="150"/>
        <v>Fixed Inputs</v>
      </c>
      <c r="BC322" s="34" t="str">
        <f t="shared" si="156"/>
        <v>Variant allowances</v>
      </c>
      <c r="BD322" s="34" t="str">
        <f t="shared" si="152"/>
        <v>Totex variant allowances allocation percentages</v>
      </c>
    </row>
    <row r="323" spans="5:56" x14ac:dyDescent="0.35">
      <c r="E323" s="193" t="str" cm="1">
        <f t="array" ref="E323">INDEX($E$99:$E$202,INT((ROW()-ROW($E$205))/5)+1)</f>
        <v>UIOLI_Cyber Resilience_NGN</v>
      </c>
      <c r="G323" s="33" t="s">
        <v>109</v>
      </c>
      <c r="H323" s="33" t="s">
        <v>171</v>
      </c>
      <c r="AT323" s="108"/>
      <c r="AU323" s="140">
        <f>CHOOSE(UserInterface!$C$22,#REF!,#REF!,#REF!,#REF!,#REF!,Scotland!AU323,Southern!AU323,#REF!)</f>
        <v>0</v>
      </c>
      <c r="AV323" s="23">
        <f>CHOOSE(UserInterface!$C$22,#REF!,#REF!,#REF!,#REF!,#REF!,Scotland!AV323,Southern!AV323,#REF!)</f>
        <v>0</v>
      </c>
      <c r="AW323" s="23">
        <f>CHOOSE(UserInterface!$C$22,#REF!,#REF!,#REF!,#REF!,#REF!,Scotland!AW323,Southern!AW323,#REF!)</f>
        <v>0</v>
      </c>
      <c r="AX323" s="23">
        <f>CHOOSE(UserInterface!$C$22,#REF!,#REF!,#REF!,#REF!,#REF!,Scotland!AX323,Southern!AX323,#REF!)</f>
        <v>0</v>
      </c>
      <c r="AY323" s="194">
        <f>CHOOSE(UserInterface!$C$22,#REF!,#REF!,#REF!,#REF!,#REF!,Scotland!AY323,Southern!AY323,#REF!)</f>
        <v>0</v>
      </c>
      <c r="BA323" s="34" t="str">
        <f t="shared" ca="1" si="149"/>
        <v>LicenseeSelect</v>
      </c>
      <c r="BB323" s="34" t="str">
        <f t="shared" si="150"/>
        <v>Fixed Inputs</v>
      </c>
      <c r="BC323" s="34" t="str">
        <f t="shared" si="156"/>
        <v>Variant allowances</v>
      </c>
      <c r="BD323" s="34" t="str">
        <f t="shared" si="152"/>
        <v>Totex variant allowances allocation percentages</v>
      </c>
    </row>
    <row r="324" spans="5:56" x14ac:dyDescent="0.35">
      <c r="E324" s="195" t="str" cm="1">
        <f t="array" ref="E324">INDEX($E$99:$E$202,INT((ROW()-ROW($E$205))/5)+1)</f>
        <v>UIOLI_Cyber Resilience_NGN</v>
      </c>
      <c r="F324" s="196"/>
      <c r="G324" s="196" t="s">
        <v>109</v>
      </c>
      <c r="H324" s="196" t="s">
        <v>172</v>
      </c>
      <c r="I324" s="196"/>
      <c r="J324" s="196"/>
      <c r="K324" s="196"/>
      <c r="L324" s="196"/>
      <c r="M324" s="196"/>
      <c r="N324" s="196"/>
      <c r="O324" s="196"/>
      <c r="P324" s="196"/>
      <c r="Q324" s="196"/>
      <c r="R324" s="196"/>
      <c r="S324" s="196"/>
      <c r="T324" s="196"/>
      <c r="U324" s="196"/>
      <c r="V324" s="196"/>
      <c r="W324" s="196"/>
      <c r="X324" s="196"/>
      <c r="Y324" s="196"/>
      <c r="Z324" s="196"/>
      <c r="AA324" s="196"/>
      <c r="AB324" s="196"/>
      <c r="AC324" s="196"/>
      <c r="AD324" s="196"/>
      <c r="AE324" s="196"/>
      <c r="AF324" s="196"/>
      <c r="AG324" s="196"/>
      <c r="AH324" s="196"/>
      <c r="AI324" s="196"/>
      <c r="AJ324" s="196"/>
      <c r="AK324" s="196"/>
      <c r="AL324" s="196"/>
      <c r="AM324" s="196"/>
      <c r="AN324" s="196"/>
      <c r="AO324" s="196"/>
      <c r="AP324" s="196"/>
      <c r="AQ324" s="196"/>
      <c r="AR324" s="196"/>
      <c r="AS324" s="196"/>
      <c r="AT324" s="197"/>
      <c r="AU324" s="198">
        <f>CHOOSE(UserInterface!$C$22,#REF!,#REF!,#REF!,#REF!,#REF!,Scotland!AU324,Southern!AU324,#REF!)</f>
        <v>0</v>
      </c>
      <c r="AV324" s="199">
        <f>CHOOSE(UserInterface!$C$22,#REF!,#REF!,#REF!,#REF!,#REF!,Scotland!AV324,Southern!AV324,#REF!)</f>
        <v>0</v>
      </c>
      <c r="AW324" s="199">
        <f>CHOOSE(UserInterface!$C$22,#REF!,#REF!,#REF!,#REF!,#REF!,Scotland!AW324,Southern!AW324,#REF!)</f>
        <v>0</v>
      </c>
      <c r="AX324" s="199">
        <f>CHOOSE(UserInterface!$C$22,#REF!,#REF!,#REF!,#REF!,#REF!,Scotland!AX324,Southern!AX324,#REF!)</f>
        <v>0</v>
      </c>
      <c r="AY324" s="200">
        <f>CHOOSE(UserInterface!$C$22,#REF!,#REF!,#REF!,#REF!,#REF!,Scotland!AY324,Southern!AY324,#REF!)</f>
        <v>0</v>
      </c>
      <c r="BA324" s="34" t="str">
        <f t="shared" ca="1" si="149"/>
        <v>LicenseeSelect</v>
      </c>
      <c r="BB324" s="34" t="str">
        <f t="shared" si="150"/>
        <v>Fixed Inputs</v>
      </c>
      <c r="BC324" s="34" t="str">
        <f t="shared" si="156"/>
        <v>Variant allowances</v>
      </c>
      <c r="BD324" s="34" t="str">
        <f t="shared" si="152"/>
        <v>Totex variant allowances allocation percentages</v>
      </c>
    </row>
    <row r="325" spans="5:56" x14ac:dyDescent="0.35">
      <c r="E325" s="187" t="str" cm="1">
        <f t="array" ref="E325">INDEX($E$99:$E$202,INT((ROW()-ROW($E$205))/5)+1)</f>
        <v>UIOLI_Cyber Resilience_All except NGN and WWU</v>
      </c>
      <c r="F325" s="188"/>
      <c r="G325" s="188" t="s">
        <v>109</v>
      </c>
      <c r="H325" s="188" t="s">
        <v>168</v>
      </c>
      <c r="I325" s="188"/>
      <c r="J325" s="188"/>
      <c r="K325" s="188"/>
      <c r="L325" s="188"/>
      <c r="M325" s="188"/>
      <c r="N325" s="188"/>
      <c r="O325" s="188"/>
      <c r="P325" s="188"/>
      <c r="Q325" s="188"/>
      <c r="R325" s="188"/>
      <c r="S325" s="188"/>
      <c r="T325" s="188"/>
      <c r="U325" s="188"/>
      <c r="V325" s="188"/>
      <c r="W325" s="188"/>
      <c r="X325" s="188"/>
      <c r="Y325" s="188"/>
      <c r="Z325" s="188"/>
      <c r="AA325" s="188"/>
      <c r="AB325" s="188"/>
      <c r="AC325" s="188"/>
      <c r="AD325" s="188"/>
      <c r="AE325" s="188"/>
      <c r="AF325" s="188"/>
      <c r="AG325" s="188"/>
      <c r="AH325" s="188"/>
      <c r="AI325" s="188"/>
      <c r="AJ325" s="188"/>
      <c r="AK325" s="188"/>
      <c r="AL325" s="188"/>
      <c r="AM325" s="188"/>
      <c r="AN325" s="188"/>
      <c r="AO325" s="188"/>
      <c r="AP325" s="188"/>
      <c r="AQ325" s="188"/>
      <c r="AR325" s="188"/>
      <c r="AS325" s="188"/>
      <c r="AT325" s="189"/>
      <c r="AU325" s="190">
        <f>CHOOSE(UserInterface!$C$22,#REF!,#REF!,#REF!,#REF!,#REF!,Scotland!AU325,Southern!AU325,#REF!)</f>
        <v>0</v>
      </c>
      <c r="AV325" s="191">
        <f>CHOOSE(UserInterface!$C$22,#REF!,#REF!,#REF!,#REF!,#REF!,Scotland!AV325,Southern!AV325,#REF!)</f>
        <v>0</v>
      </c>
      <c r="AW325" s="191">
        <f>CHOOSE(UserInterface!$C$22,#REF!,#REF!,#REF!,#REF!,#REF!,Scotland!AW325,Southern!AW325,#REF!)</f>
        <v>0</v>
      </c>
      <c r="AX325" s="191">
        <f>CHOOSE(UserInterface!$C$22,#REF!,#REF!,#REF!,#REF!,#REF!,Scotland!AX325,Southern!AX325,#REF!)</f>
        <v>0</v>
      </c>
      <c r="AY325" s="192">
        <f>CHOOSE(UserInterface!$C$22,#REF!,#REF!,#REF!,#REF!,#REF!,Scotland!AY325,Southern!AY325,#REF!)</f>
        <v>0</v>
      </c>
      <c r="BA325" s="34" t="str">
        <f t="shared" ca="1" si="149"/>
        <v>LicenseeSelect</v>
      </c>
      <c r="BB325" s="34" t="str">
        <f t="shared" si="150"/>
        <v>Fixed Inputs</v>
      </c>
      <c r="BC325" s="34" t="str">
        <f t="shared" si="156"/>
        <v>Variant allowances</v>
      </c>
      <c r="BD325" s="34" t="str">
        <f t="shared" si="152"/>
        <v>Totex variant allowances allocation percentages</v>
      </c>
    </row>
    <row r="326" spans="5:56" x14ac:dyDescent="0.35">
      <c r="E326" s="193" t="str" cm="1">
        <f t="array" ref="E326">INDEX($E$99:$E$202,INT((ROW()-ROW($E$205))/5)+1)</f>
        <v>UIOLI_Cyber Resilience_All except NGN and WWU</v>
      </c>
      <c r="G326" s="33" t="s">
        <v>109</v>
      </c>
      <c r="H326" s="33" t="s">
        <v>169</v>
      </c>
      <c r="AT326" s="108"/>
      <c r="AU326" s="140">
        <f>CHOOSE(UserInterface!$C$22,#REF!,#REF!,#REF!,#REF!,#REF!,Scotland!AU326,Southern!AU326,#REF!)</f>
        <v>0</v>
      </c>
      <c r="AV326" s="23">
        <f>CHOOSE(UserInterface!$C$22,#REF!,#REF!,#REF!,#REF!,#REF!,Scotland!AV326,Southern!AV326,#REF!)</f>
        <v>0</v>
      </c>
      <c r="AW326" s="23">
        <f>CHOOSE(UserInterface!$C$22,#REF!,#REF!,#REF!,#REF!,#REF!,Scotland!AW326,Southern!AW326,#REF!)</f>
        <v>0</v>
      </c>
      <c r="AX326" s="23">
        <f>CHOOSE(UserInterface!$C$22,#REF!,#REF!,#REF!,#REF!,#REF!,Scotland!AX326,Southern!AX326,#REF!)</f>
        <v>0</v>
      </c>
      <c r="AY326" s="194">
        <f>CHOOSE(UserInterface!$C$22,#REF!,#REF!,#REF!,#REF!,#REF!,Scotland!AY326,Southern!AY326,#REF!)</f>
        <v>0</v>
      </c>
      <c r="BA326" s="34" t="str">
        <f t="shared" ca="1" si="149"/>
        <v>LicenseeSelect</v>
      </c>
      <c r="BB326" s="34" t="str">
        <f t="shared" si="150"/>
        <v>Fixed Inputs</v>
      </c>
      <c r="BC326" s="34" t="str">
        <f t="shared" si="156"/>
        <v>Variant allowances</v>
      </c>
      <c r="BD326" s="34" t="str">
        <f t="shared" si="152"/>
        <v>Totex variant allowances allocation percentages</v>
      </c>
    </row>
    <row r="327" spans="5:56" x14ac:dyDescent="0.35">
      <c r="E327" s="193" t="str" cm="1">
        <f t="array" ref="E327">INDEX($E$99:$E$202,INT((ROW()-ROW($E$205))/5)+1)</f>
        <v>UIOLI_Cyber Resilience_All except NGN and WWU</v>
      </c>
      <c r="G327" s="33" t="s">
        <v>109</v>
      </c>
      <c r="H327" s="33" t="s">
        <v>170</v>
      </c>
      <c r="AT327" s="108"/>
      <c r="AU327" s="140">
        <f>CHOOSE(UserInterface!$C$22,#REF!,#REF!,#REF!,#REF!,#REF!,Scotland!AU327,Southern!AU327,#REF!)</f>
        <v>1</v>
      </c>
      <c r="AV327" s="23">
        <f>CHOOSE(UserInterface!$C$22,#REF!,#REF!,#REF!,#REF!,#REF!,Scotland!AV327,Southern!AV327,#REF!)</f>
        <v>1</v>
      </c>
      <c r="AW327" s="23">
        <f>CHOOSE(UserInterface!$C$22,#REF!,#REF!,#REF!,#REF!,#REF!,Scotland!AW327,Southern!AW327,#REF!)</f>
        <v>1</v>
      </c>
      <c r="AX327" s="23">
        <f>CHOOSE(UserInterface!$C$22,#REF!,#REF!,#REF!,#REF!,#REF!,Scotland!AX327,Southern!AX327,#REF!)</f>
        <v>1</v>
      </c>
      <c r="AY327" s="194">
        <f>CHOOSE(UserInterface!$C$22,#REF!,#REF!,#REF!,#REF!,#REF!,Scotland!AY327,Southern!AY327,#REF!)</f>
        <v>1</v>
      </c>
      <c r="BA327" s="34" t="str">
        <f t="shared" ca="1" si="149"/>
        <v>LicenseeSelect</v>
      </c>
      <c r="BB327" s="34" t="str">
        <f t="shared" si="150"/>
        <v>Fixed Inputs</v>
      </c>
      <c r="BC327" s="34" t="str">
        <f t="shared" si="156"/>
        <v>Variant allowances</v>
      </c>
      <c r="BD327" s="34" t="str">
        <f t="shared" si="152"/>
        <v>Totex variant allowances allocation percentages</v>
      </c>
    </row>
    <row r="328" spans="5:56" x14ac:dyDescent="0.35">
      <c r="E328" s="193" t="str" cm="1">
        <f t="array" ref="E328">INDEX($E$99:$E$202,INT((ROW()-ROW($E$205))/5)+1)</f>
        <v>UIOLI_Cyber Resilience_All except NGN and WWU</v>
      </c>
      <c r="G328" s="33" t="s">
        <v>109</v>
      </c>
      <c r="H328" s="33" t="s">
        <v>171</v>
      </c>
      <c r="AT328" s="108"/>
      <c r="AU328" s="140">
        <f>CHOOSE(UserInterface!$C$22,#REF!,#REF!,#REF!,#REF!,#REF!,Scotland!AU328,Southern!AU328,#REF!)</f>
        <v>0</v>
      </c>
      <c r="AV328" s="23">
        <f>CHOOSE(UserInterface!$C$22,#REF!,#REF!,#REF!,#REF!,#REF!,Scotland!AV328,Southern!AV328,#REF!)</f>
        <v>0</v>
      </c>
      <c r="AW328" s="23">
        <f>CHOOSE(UserInterface!$C$22,#REF!,#REF!,#REF!,#REF!,#REF!,Scotland!AW328,Southern!AW328,#REF!)</f>
        <v>0</v>
      </c>
      <c r="AX328" s="23">
        <f>CHOOSE(UserInterface!$C$22,#REF!,#REF!,#REF!,#REF!,#REF!,Scotland!AX328,Southern!AX328,#REF!)</f>
        <v>0</v>
      </c>
      <c r="AY328" s="194">
        <f>CHOOSE(UserInterface!$C$22,#REF!,#REF!,#REF!,#REF!,#REF!,Scotland!AY328,Southern!AY328,#REF!)</f>
        <v>0</v>
      </c>
      <c r="BA328" s="34" t="str">
        <f t="shared" ca="1" si="149"/>
        <v>LicenseeSelect</v>
      </c>
      <c r="BB328" s="34" t="str">
        <f t="shared" si="150"/>
        <v>Fixed Inputs</v>
      </c>
      <c r="BC328" s="34" t="str">
        <f t="shared" si="156"/>
        <v>Variant allowances</v>
      </c>
      <c r="BD328" s="34" t="str">
        <f t="shared" si="152"/>
        <v>Totex variant allowances allocation percentages</v>
      </c>
    </row>
    <row r="329" spans="5:56" x14ac:dyDescent="0.35">
      <c r="E329" s="195" t="str" cm="1">
        <f t="array" ref="E329">INDEX($E$99:$E$202,INT((ROW()-ROW($E$205))/5)+1)</f>
        <v>UIOLI_Cyber Resilience_All except NGN and WWU</v>
      </c>
      <c r="F329" s="196"/>
      <c r="G329" s="196" t="s">
        <v>109</v>
      </c>
      <c r="H329" s="196" t="s">
        <v>172</v>
      </c>
      <c r="I329" s="196"/>
      <c r="J329" s="196"/>
      <c r="K329" s="196"/>
      <c r="L329" s="196"/>
      <c r="M329" s="196"/>
      <c r="N329" s="196"/>
      <c r="O329" s="196"/>
      <c r="P329" s="196"/>
      <c r="Q329" s="196"/>
      <c r="R329" s="196"/>
      <c r="S329" s="196"/>
      <c r="T329" s="196"/>
      <c r="U329" s="196"/>
      <c r="V329" s="196"/>
      <c r="W329" s="196"/>
      <c r="X329" s="196"/>
      <c r="Y329" s="196"/>
      <c r="Z329" s="196"/>
      <c r="AA329" s="196"/>
      <c r="AB329" s="196"/>
      <c r="AC329" s="196"/>
      <c r="AD329" s="196"/>
      <c r="AE329" s="196"/>
      <c r="AF329" s="196"/>
      <c r="AG329" s="196"/>
      <c r="AH329" s="196"/>
      <c r="AI329" s="196"/>
      <c r="AJ329" s="196"/>
      <c r="AK329" s="196"/>
      <c r="AL329" s="196"/>
      <c r="AM329" s="196"/>
      <c r="AN329" s="196"/>
      <c r="AO329" s="196"/>
      <c r="AP329" s="196"/>
      <c r="AQ329" s="196"/>
      <c r="AR329" s="196"/>
      <c r="AS329" s="196"/>
      <c r="AT329" s="197"/>
      <c r="AU329" s="198">
        <f>CHOOSE(UserInterface!$C$22,#REF!,#REF!,#REF!,#REF!,#REF!,Scotland!AU329,Southern!AU329,#REF!)</f>
        <v>0</v>
      </c>
      <c r="AV329" s="199">
        <f>CHOOSE(UserInterface!$C$22,#REF!,#REF!,#REF!,#REF!,#REF!,Scotland!AV329,Southern!AV329,#REF!)</f>
        <v>0</v>
      </c>
      <c r="AW329" s="199">
        <f>CHOOSE(UserInterface!$C$22,#REF!,#REF!,#REF!,#REF!,#REF!,Scotland!AW329,Southern!AW329,#REF!)</f>
        <v>0</v>
      </c>
      <c r="AX329" s="199">
        <f>CHOOSE(UserInterface!$C$22,#REF!,#REF!,#REF!,#REF!,#REF!,Scotland!AX329,Southern!AX329,#REF!)</f>
        <v>0</v>
      </c>
      <c r="AY329" s="200">
        <f>CHOOSE(UserInterface!$C$22,#REF!,#REF!,#REF!,#REF!,#REF!,Scotland!AY329,Southern!AY329,#REF!)</f>
        <v>0</v>
      </c>
      <c r="BA329" s="34" t="str">
        <f t="shared" ca="1" si="149"/>
        <v>LicenseeSelect</v>
      </c>
      <c r="BB329" s="34" t="str">
        <f t="shared" si="150"/>
        <v>Fixed Inputs</v>
      </c>
      <c r="BC329" s="34" t="str">
        <f t="shared" si="156"/>
        <v>Variant allowances</v>
      </c>
      <c r="BD329" s="34" t="str">
        <f t="shared" si="152"/>
        <v>Totex variant allowances allocation percentages</v>
      </c>
    </row>
    <row r="330" spans="5:56" x14ac:dyDescent="0.35">
      <c r="E330" s="187" t="str" cm="1">
        <f t="array" ref="E330">INDEX($E$99:$E$202,INT((ROW()-ROW($E$205))/5)+1)</f>
        <v>UIOLI_Biomethane connections / Biomethane Distributed Entry Reinforcement</v>
      </c>
      <c r="F330" s="188"/>
      <c r="G330" s="188" t="s">
        <v>109</v>
      </c>
      <c r="H330" s="188" t="s">
        <v>168</v>
      </c>
      <c r="I330" s="188"/>
      <c r="J330" s="188"/>
      <c r="K330" s="188"/>
      <c r="L330" s="188"/>
      <c r="M330" s="188"/>
      <c r="N330" s="188"/>
      <c r="O330" s="188"/>
      <c r="P330" s="188"/>
      <c r="Q330" s="188"/>
      <c r="R330" s="188"/>
      <c r="S330" s="188"/>
      <c r="T330" s="188"/>
      <c r="U330" s="188"/>
      <c r="V330" s="188"/>
      <c r="W330" s="188"/>
      <c r="X330" s="188"/>
      <c r="Y330" s="188"/>
      <c r="Z330" s="188"/>
      <c r="AA330" s="188"/>
      <c r="AB330" s="188"/>
      <c r="AC330" s="188"/>
      <c r="AD330" s="188"/>
      <c r="AE330" s="188"/>
      <c r="AF330" s="188"/>
      <c r="AG330" s="188"/>
      <c r="AH330" s="188"/>
      <c r="AI330" s="188"/>
      <c r="AJ330" s="188"/>
      <c r="AK330" s="188"/>
      <c r="AL330" s="188"/>
      <c r="AM330" s="188"/>
      <c r="AN330" s="188"/>
      <c r="AO330" s="188"/>
      <c r="AP330" s="188"/>
      <c r="AQ330" s="188"/>
      <c r="AR330" s="188"/>
      <c r="AS330" s="188"/>
      <c r="AT330" s="189"/>
      <c r="AU330" s="190">
        <f>CHOOSE(UserInterface!$C$22,#REF!,#REF!,#REF!,#REF!,#REF!,Scotland!AU330,Southern!AU330,#REF!)</f>
        <v>1</v>
      </c>
      <c r="AV330" s="191">
        <f>CHOOSE(UserInterface!$C$22,#REF!,#REF!,#REF!,#REF!,#REF!,Scotland!AV330,Southern!AV330,#REF!)</f>
        <v>1</v>
      </c>
      <c r="AW330" s="191">
        <f>CHOOSE(UserInterface!$C$22,#REF!,#REF!,#REF!,#REF!,#REF!,Scotland!AW330,Southern!AW330,#REF!)</f>
        <v>1</v>
      </c>
      <c r="AX330" s="191">
        <f>CHOOSE(UserInterface!$C$22,#REF!,#REF!,#REF!,#REF!,#REF!,Scotland!AX330,Southern!AX330,#REF!)</f>
        <v>1</v>
      </c>
      <c r="AY330" s="192">
        <f>CHOOSE(UserInterface!$C$22,#REF!,#REF!,#REF!,#REF!,#REF!,Scotland!AY330,Southern!AY330,#REF!)</f>
        <v>1</v>
      </c>
      <c r="BA330" s="34" t="str">
        <f t="shared" ca="1" si="149"/>
        <v>LicenseeSelect</v>
      </c>
      <c r="BB330" s="34" t="str">
        <f t="shared" si="150"/>
        <v>Fixed Inputs</v>
      </c>
      <c r="BC330" s="34" t="str">
        <f t="shared" si="156"/>
        <v>Variant allowances</v>
      </c>
      <c r="BD330" s="34" t="str">
        <f t="shared" si="152"/>
        <v>Totex variant allowances allocation percentages</v>
      </c>
    </row>
    <row r="331" spans="5:56" x14ac:dyDescent="0.35">
      <c r="E331" s="193" t="str" cm="1">
        <f t="array" ref="E331">INDEX($E$99:$E$202,INT((ROW()-ROW($E$205))/5)+1)</f>
        <v>UIOLI_Biomethane connections / Biomethane Distributed Entry Reinforcement</v>
      </c>
      <c r="G331" s="33" t="s">
        <v>109</v>
      </c>
      <c r="H331" s="33" t="s">
        <v>169</v>
      </c>
      <c r="AT331" s="108"/>
      <c r="AU331" s="140">
        <f>CHOOSE(UserInterface!$C$22,#REF!,#REF!,#REF!,#REF!,#REF!,Scotland!AU331,Southern!AU331,#REF!)</f>
        <v>0</v>
      </c>
      <c r="AV331" s="23">
        <f>CHOOSE(UserInterface!$C$22,#REF!,#REF!,#REF!,#REF!,#REF!,Scotland!AV331,Southern!AV331,#REF!)</f>
        <v>0</v>
      </c>
      <c r="AW331" s="23">
        <f>CHOOSE(UserInterface!$C$22,#REF!,#REF!,#REF!,#REF!,#REF!,Scotland!AW331,Southern!AW331,#REF!)</f>
        <v>0</v>
      </c>
      <c r="AX331" s="23">
        <f>CHOOSE(UserInterface!$C$22,#REF!,#REF!,#REF!,#REF!,#REF!,Scotland!AX331,Southern!AX331,#REF!)</f>
        <v>0</v>
      </c>
      <c r="AY331" s="194">
        <f>CHOOSE(UserInterface!$C$22,#REF!,#REF!,#REF!,#REF!,#REF!,Scotland!AY331,Southern!AY331,#REF!)</f>
        <v>0</v>
      </c>
      <c r="BA331" s="34" t="str">
        <f t="shared" ca="1" si="149"/>
        <v>LicenseeSelect</v>
      </c>
      <c r="BB331" s="34" t="str">
        <f t="shared" si="150"/>
        <v>Fixed Inputs</v>
      </c>
      <c r="BC331" s="34" t="str">
        <f t="shared" si="156"/>
        <v>Variant allowances</v>
      </c>
      <c r="BD331" s="34" t="str">
        <f t="shared" si="152"/>
        <v>Totex variant allowances allocation percentages</v>
      </c>
    </row>
    <row r="332" spans="5:56" x14ac:dyDescent="0.35">
      <c r="E332" s="193" t="str" cm="1">
        <f t="array" ref="E332">INDEX($E$99:$E$202,INT((ROW()-ROW($E$205))/5)+1)</f>
        <v>UIOLI_Biomethane connections / Biomethane Distributed Entry Reinforcement</v>
      </c>
      <c r="G332" s="33" t="s">
        <v>109</v>
      </c>
      <c r="H332" s="33" t="s">
        <v>170</v>
      </c>
      <c r="AT332" s="108"/>
      <c r="AU332" s="140">
        <f>CHOOSE(UserInterface!$C$22,#REF!,#REF!,#REF!,#REF!,#REF!,Scotland!AU332,Southern!AU332,#REF!)</f>
        <v>0</v>
      </c>
      <c r="AV332" s="23">
        <f>CHOOSE(UserInterface!$C$22,#REF!,#REF!,#REF!,#REF!,#REF!,Scotland!AV332,Southern!AV332,#REF!)</f>
        <v>0</v>
      </c>
      <c r="AW332" s="23">
        <f>CHOOSE(UserInterface!$C$22,#REF!,#REF!,#REF!,#REF!,#REF!,Scotland!AW332,Southern!AW332,#REF!)</f>
        <v>0</v>
      </c>
      <c r="AX332" s="23">
        <f>CHOOSE(UserInterface!$C$22,#REF!,#REF!,#REF!,#REF!,#REF!,Scotland!AX332,Southern!AX332,#REF!)</f>
        <v>0</v>
      </c>
      <c r="AY332" s="194">
        <f>CHOOSE(UserInterface!$C$22,#REF!,#REF!,#REF!,#REF!,#REF!,Scotland!AY332,Southern!AY332,#REF!)</f>
        <v>0</v>
      </c>
      <c r="BA332" s="34" t="str">
        <f t="shared" ca="1" si="149"/>
        <v>LicenseeSelect</v>
      </c>
      <c r="BB332" s="34" t="str">
        <f t="shared" si="150"/>
        <v>Fixed Inputs</v>
      </c>
      <c r="BC332" s="34" t="str">
        <f t="shared" si="156"/>
        <v>Variant allowances</v>
      </c>
      <c r="BD332" s="34" t="str">
        <f t="shared" si="152"/>
        <v>Totex variant allowances allocation percentages</v>
      </c>
    </row>
    <row r="333" spans="5:56" x14ac:dyDescent="0.35">
      <c r="E333" s="193" t="str" cm="1">
        <f t="array" ref="E333">INDEX($E$99:$E$202,INT((ROW()-ROW($E$205))/5)+1)</f>
        <v>UIOLI_Biomethane connections / Biomethane Distributed Entry Reinforcement</v>
      </c>
      <c r="G333" s="33" t="s">
        <v>109</v>
      </c>
      <c r="H333" s="33" t="s">
        <v>171</v>
      </c>
      <c r="AT333" s="108"/>
      <c r="AU333" s="140">
        <f>CHOOSE(UserInterface!$C$22,#REF!,#REF!,#REF!,#REF!,#REF!,Scotland!AU333,Southern!AU333,#REF!)</f>
        <v>0</v>
      </c>
      <c r="AV333" s="23">
        <f>CHOOSE(UserInterface!$C$22,#REF!,#REF!,#REF!,#REF!,#REF!,Scotland!AV333,Southern!AV333,#REF!)</f>
        <v>0</v>
      </c>
      <c r="AW333" s="23">
        <f>CHOOSE(UserInterface!$C$22,#REF!,#REF!,#REF!,#REF!,#REF!,Scotland!AW333,Southern!AW333,#REF!)</f>
        <v>0</v>
      </c>
      <c r="AX333" s="23">
        <f>CHOOSE(UserInterface!$C$22,#REF!,#REF!,#REF!,#REF!,#REF!,Scotland!AX333,Southern!AX333,#REF!)</f>
        <v>0</v>
      </c>
      <c r="AY333" s="194">
        <f>CHOOSE(UserInterface!$C$22,#REF!,#REF!,#REF!,#REF!,#REF!,Scotland!AY333,Southern!AY333,#REF!)</f>
        <v>0</v>
      </c>
      <c r="BA333" s="34" t="str">
        <f t="shared" ca="1" si="149"/>
        <v>LicenseeSelect</v>
      </c>
      <c r="BB333" s="34" t="str">
        <f t="shared" si="150"/>
        <v>Fixed Inputs</v>
      </c>
      <c r="BC333" s="34" t="str">
        <f t="shared" ref="BC333:BC396" si="157">$B$151</f>
        <v>Variant allowances</v>
      </c>
      <c r="BD333" s="34" t="str">
        <f t="shared" si="152"/>
        <v>Totex variant allowances allocation percentages</v>
      </c>
    </row>
    <row r="334" spans="5:56" x14ac:dyDescent="0.35">
      <c r="E334" s="195" t="str" cm="1">
        <f t="array" ref="E334">INDEX($E$99:$E$202,INT((ROW()-ROW($E$205))/5)+1)</f>
        <v>UIOLI_Biomethane connections / Biomethane Distributed Entry Reinforcement</v>
      </c>
      <c r="F334" s="196"/>
      <c r="G334" s="196" t="s">
        <v>109</v>
      </c>
      <c r="H334" s="196" t="s">
        <v>172</v>
      </c>
      <c r="I334" s="196"/>
      <c r="J334" s="196"/>
      <c r="K334" s="196"/>
      <c r="L334" s="196"/>
      <c r="M334" s="196"/>
      <c r="N334" s="196"/>
      <c r="O334" s="196"/>
      <c r="P334" s="196"/>
      <c r="Q334" s="196"/>
      <c r="R334" s="196"/>
      <c r="S334" s="196"/>
      <c r="T334" s="196"/>
      <c r="U334" s="196"/>
      <c r="V334" s="196"/>
      <c r="W334" s="196"/>
      <c r="X334" s="196"/>
      <c r="Y334" s="196"/>
      <c r="Z334" s="196"/>
      <c r="AA334" s="196"/>
      <c r="AB334" s="196"/>
      <c r="AC334" s="196"/>
      <c r="AD334" s="196"/>
      <c r="AE334" s="196"/>
      <c r="AF334" s="196"/>
      <c r="AG334" s="196"/>
      <c r="AH334" s="196"/>
      <c r="AI334" s="196"/>
      <c r="AJ334" s="196"/>
      <c r="AK334" s="196"/>
      <c r="AL334" s="196"/>
      <c r="AM334" s="196"/>
      <c r="AN334" s="196"/>
      <c r="AO334" s="196"/>
      <c r="AP334" s="196"/>
      <c r="AQ334" s="196"/>
      <c r="AR334" s="196"/>
      <c r="AS334" s="196"/>
      <c r="AT334" s="197"/>
      <c r="AU334" s="198">
        <f>CHOOSE(UserInterface!$C$22,#REF!,#REF!,#REF!,#REF!,#REF!,Scotland!AU334,Southern!AU334,#REF!)</f>
        <v>0</v>
      </c>
      <c r="AV334" s="199">
        <f>CHOOSE(UserInterface!$C$22,#REF!,#REF!,#REF!,#REF!,#REF!,Scotland!AV334,Southern!AV334,#REF!)</f>
        <v>0</v>
      </c>
      <c r="AW334" s="199">
        <f>CHOOSE(UserInterface!$C$22,#REF!,#REF!,#REF!,#REF!,#REF!,Scotland!AW334,Southern!AW334,#REF!)</f>
        <v>0</v>
      </c>
      <c r="AX334" s="199">
        <f>CHOOSE(UserInterface!$C$22,#REF!,#REF!,#REF!,#REF!,#REF!,Scotland!AX334,Southern!AX334,#REF!)</f>
        <v>0</v>
      </c>
      <c r="AY334" s="200">
        <f>CHOOSE(UserInterface!$C$22,#REF!,#REF!,#REF!,#REF!,#REF!,Scotland!AY334,Southern!AY334,#REF!)</f>
        <v>0</v>
      </c>
      <c r="BA334" s="34" t="str">
        <f t="shared" ca="1" si="149"/>
        <v>LicenseeSelect</v>
      </c>
      <c r="BB334" s="34" t="str">
        <f t="shared" si="150"/>
        <v>Fixed Inputs</v>
      </c>
      <c r="BC334" s="34" t="str">
        <f t="shared" si="157"/>
        <v>Variant allowances</v>
      </c>
      <c r="BD334" s="34" t="str">
        <f t="shared" si="152"/>
        <v>Totex variant allowances allocation percentages</v>
      </c>
    </row>
    <row r="335" spans="5:56" x14ac:dyDescent="0.35">
      <c r="E335" s="187" t="str" cm="1">
        <f t="array" ref="E335">INDEX($E$99:$E$202,INT((ROW()-ROW($E$205))/5)+1)</f>
        <v>Re-opener_Climate change resilience work</v>
      </c>
      <c r="F335" s="188"/>
      <c r="G335" s="188" t="s">
        <v>109</v>
      </c>
      <c r="H335" s="188" t="s">
        <v>168</v>
      </c>
      <c r="I335" s="188"/>
      <c r="J335" s="188"/>
      <c r="K335" s="188"/>
      <c r="L335" s="188"/>
      <c r="M335" s="188"/>
      <c r="N335" s="188"/>
      <c r="O335" s="188"/>
      <c r="P335" s="188"/>
      <c r="Q335" s="188"/>
      <c r="R335" s="188"/>
      <c r="S335" s="188"/>
      <c r="T335" s="188"/>
      <c r="U335" s="188"/>
      <c r="V335" s="188"/>
      <c r="W335" s="188"/>
      <c r="X335" s="188"/>
      <c r="Y335" s="188"/>
      <c r="Z335" s="188"/>
      <c r="AA335" s="188"/>
      <c r="AB335" s="188"/>
      <c r="AC335" s="188"/>
      <c r="AD335" s="188"/>
      <c r="AE335" s="188"/>
      <c r="AF335" s="188"/>
      <c r="AG335" s="188"/>
      <c r="AH335" s="188"/>
      <c r="AI335" s="188"/>
      <c r="AJ335" s="188"/>
      <c r="AK335" s="188"/>
      <c r="AL335" s="188"/>
      <c r="AM335" s="188"/>
      <c r="AN335" s="188"/>
      <c r="AO335" s="188"/>
      <c r="AP335" s="188"/>
      <c r="AQ335" s="188"/>
      <c r="AR335" s="188"/>
      <c r="AS335" s="188"/>
      <c r="AT335" s="189"/>
      <c r="AU335" s="190">
        <f>CHOOSE(UserInterface!$C$22,#REF!,#REF!,#REF!,#REF!,#REF!,Scotland!AU335,Southern!AU335,#REF!)</f>
        <v>0</v>
      </c>
      <c r="AV335" s="191">
        <f>CHOOSE(UserInterface!$C$22,#REF!,#REF!,#REF!,#REF!,#REF!,Scotland!AV335,Southern!AV335,#REF!)</f>
        <v>0</v>
      </c>
      <c r="AW335" s="191">
        <f>CHOOSE(UserInterface!$C$22,#REF!,#REF!,#REF!,#REF!,#REF!,Scotland!AW335,Southern!AW335,#REF!)</f>
        <v>0</v>
      </c>
      <c r="AX335" s="191">
        <f>CHOOSE(UserInterface!$C$22,#REF!,#REF!,#REF!,#REF!,#REF!,Scotland!AX335,Southern!AX335,#REF!)</f>
        <v>0</v>
      </c>
      <c r="AY335" s="192">
        <f>CHOOSE(UserInterface!$C$22,#REF!,#REF!,#REF!,#REF!,#REF!,Scotland!AY335,Southern!AY335,#REF!)</f>
        <v>0</v>
      </c>
      <c r="BA335" s="34" t="str">
        <f t="shared" ca="1" si="149"/>
        <v>LicenseeSelect</v>
      </c>
      <c r="BB335" s="34" t="str">
        <f t="shared" si="150"/>
        <v>Fixed Inputs</v>
      </c>
      <c r="BC335" s="34" t="str">
        <f t="shared" si="157"/>
        <v>Variant allowances</v>
      </c>
      <c r="BD335" s="34" t="str">
        <f t="shared" si="152"/>
        <v>Totex variant allowances allocation percentages</v>
      </c>
    </row>
    <row r="336" spans="5:56" x14ac:dyDescent="0.35">
      <c r="E336" s="193" t="str" cm="1">
        <f t="array" ref="E336">INDEX($E$99:$E$202,INT((ROW()-ROW($E$205))/5)+1)</f>
        <v>Re-opener_Climate change resilience work</v>
      </c>
      <c r="G336" s="33" t="s">
        <v>109</v>
      </c>
      <c r="H336" s="33" t="s">
        <v>169</v>
      </c>
      <c r="AT336" s="108"/>
      <c r="AU336" s="140">
        <f>CHOOSE(UserInterface!$C$22,#REF!,#REF!,#REF!,#REF!,#REF!,Scotland!AU336,Southern!AU336,#REF!)</f>
        <v>0</v>
      </c>
      <c r="AV336" s="23">
        <f>CHOOSE(UserInterface!$C$22,#REF!,#REF!,#REF!,#REF!,#REF!,Scotland!AV336,Southern!AV336,#REF!)</f>
        <v>0</v>
      </c>
      <c r="AW336" s="23">
        <f>CHOOSE(UserInterface!$C$22,#REF!,#REF!,#REF!,#REF!,#REF!,Scotland!AW336,Southern!AW336,#REF!)</f>
        <v>0</v>
      </c>
      <c r="AX336" s="23">
        <f>CHOOSE(UserInterface!$C$22,#REF!,#REF!,#REF!,#REF!,#REF!,Scotland!AX336,Southern!AX336,#REF!)</f>
        <v>0</v>
      </c>
      <c r="AY336" s="194">
        <f>CHOOSE(UserInterface!$C$22,#REF!,#REF!,#REF!,#REF!,#REF!,Scotland!AY336,Southern!AY336,#REF!)</f>
        <v>0</v>
      </c>
      <c r="BA336" s="34" t="str">
        <f t="shared" ca="1" si="149"/>
        <v>LicenseeSelect</v>
      </c>
      <c r="BB336" s="34" t="str">
        <f t="shared" si="150"/>
        <v>Fixed Inputs</v>
      </c>
      <c r="BC336" s="34" t="str">
        <f t="shared" si="157"/>
        <v>Variant allowances</v>
      </c>
      <c r="BD336" s="34" t="str">
        <f t="shared" si="152"/>
        <v>Totex variant allowances allocation percentages</v>
      </c>
    </row>
    <row r="337" spans="5:56" x14ac:dyDescent="0.35">
      <c r="E337" s="193" t="str" cm="1">
        <f t="array" ref="E337">INDEX($E$99:$E$202,INT((ROW()-ROW($E$205))/5)+1)</f>
        <v>Re-opener_Climate change resilience work</v>
      </c>
      <c r="G337" s="33" t="s">
        <v>109</v>
      </c>
      <c r="H337" s="33" t="s">
        <v>170</v>
      </c>
      <c r="AT337" s="108"/>
      <c r="AU337" s="140">
        <f>CHOOSE(UserInterface!$C$22,#REF!,#REF!,#REF!,#REF!,#REF!,Scotland!AU337,Southern!AU337,#REF!)</f>
        <v>0</v>
      </c>
      <c r="AV337" s="23">
        <f>CHOOSE(UserInterface!$C$22,#REF!,#REF!,#REF!,#REF!,#REF!,Scotland!AV337,Southern!AV337,#REF!)</f>
        <v>0</v>
      </c>
      <c r="AW337" s="23">
        <f>CHOOSE(UserInterface!$C$22,#REF!,#REF!,#REF!,#REF!,#REF!,Scotland!AW337,Southern!AW337,#REF!)</f>
        <v>0</v>
      </c>
      <c r="AX337" s="23">
        <f>CHOOSE(UserInterface!$C$22,#REF!,#REF!,#REF!,#REF!,#REF!,Scotland!AX337,Southern!AX337,#REF!)</f>
        <v>0</v>
      </c>
      <c r="AY337" s="194">
        <f>CHOOSE(UserInterface!$C$22,#REF!,#REF!,#REF!,#REF!,#REF!,Scotland!AY337,Southern!AY337,#REF!)</f>
        <v>0</v>
      </c>
      <c r="BA337" s="34" t="str">
        <f t="shared" ca="1" si="149"/>
        <v>LicenseeSelect</v>
      </c>
      <c r="BB337" s="34" t="str">
        <f t="shared" si="150"/>
        <v>Fixed Inputs</v>
      </c>
      <c r="BC337" s="34" t="str">
        <f t="shared" si="157"/>
        <v>Variant allowances</v>
      </c>
      <c r="BD337" s="34" t="str">
        <f t="shared" si="152"/>
        <v>Totex variant allowances allocation percentages</v>
      </c>
    </row>
    <row r="338" spans="5:56" x14ac:dyDescent="0.35">
      <c r="E338" s="193" t="str" cm="1">
        <f t="array" ref="E338">INDEX($E$99:$E$202,INT((ROW()-ROW($E$205))/5)+1)</f>
        <v>Re-opener_Climate change resilience work</v>
      </c>
      <c r="G338" s="33" t="s">
        <v>109</v>
      </c>
      <c r="H338" s="33" t="s">
        <v>171</v>
      </c>
      <c r="AT338" s="108"/>
      <c r="AU338" s="140">
        <f>CHOOSE(UserInterface!$C$22,#REF!,#REF!,#REF!,#REF!,#REF!,Scotland!AU338,Southern!AU338,#REF!)</f>
        <v>0</v>
      </c>
      <c r="AV338" s="23">
        <f>CHOOSE(UserInterface!$C$22,#REF!,#REF!,#REF!,#REF!,#REF!,Scotland!AV338,Southern!AV338,#REF!)</f>
        <v>0</v>
      </c>
      <c r="AW338" s="23">
        <f>CHOOSE(UserInterface!$C$22,#REF!,#REF!,#REF!,#REF!,#REF!,Scotland!AW338,Southern!AW338,#REF!)</f>
        <v>0</v>
      </c>
      <c r="AX338" s="23">
        <f>CHOOSE(UserInterface!$C$22,#REF!,#REF!,#REF!,#REF!,#REF!,Scotland!AX338,Southern!AX338,#REF!)</f>
        <v>0</v>
      </c>
      <c r="AY338" s="194">
        <f>CHOOSE(UserInterface!$C$22,#REF!,#REF!,#REF!,#REF!,#REF!,Scotland!AY338,Southern!AY338,#REF!)</f>
        <v>0</v>
      </c>
      <c r="BA338" s="34" t="str">
        <f t="shared" ca="1" si="149"/>
        <v>LicenseeSelect</v>
      </c>
      <c r="BB338" s="34" t="str">
        <f t="shared" si="150"/>
        <v>Fixed Inputs</v>
      </c>
      <c r="BC338" s="34" t="str">
        <f t="shared" si="157"/>
        <v>Variant allowances</v>
      </c>
      <c r="BD338" s="34" t="str">
        <f t="shared" si="152"/>
        <v>Totex variant allowances allocation percentages</v>
      </c>
    </row>
    <row r="339" spans="5:56" x14ac:dyDescent="0.35">
      <c r="E339" s="195" t="str" cm="1">
        <f t="array" ref="E339">INDEX($E$99:$E$202,INT((ROW()-ROW($E$205))/5)+1)</f>
        <v>Re-opener_Climate change resilience work</v>
      </c>
      <c r="F339" s="196"/>
      <c r="G339" s="196" t="s">
        <v>109</v>
      </c>
      <c r="H339" s="196" t="s">
        <v>172</v>
      </c>
      <c r="I339" s="196"/>
      <c r="J339" s="196"/>
      <c r="K339" s="196"/>
      <c r="L339" s="196"/>
      <c r="M339" s="196"/>
      <c r="N339" s="196"/>
      <c r="O339" s="196"/>
      <c r="P339" s="196"/>
      <c r="Q339" s="196"/>
      <c r="R339" s="196"/>
      <c r="S339" s="196"/>
      <c r="T339" s="196"/>
      <c r="U339" s="196"/>
      <c r="V339" s="196"/>
      <c r="W339" s="196"/>
      <c r="X339" s="196"/>
      <c r="Y339" s="196"/>
      <c r="Z339" s="196"/>
      <c r="AA339" s="196"/>
      <c r="AB339" s="196"/>
      <c r="AC339" s="196"/>
      <c r="AD339" s="196"/>
      <c r="AE339" s="196"/>
      <c r="AF339" s="196"/>
      <c r="AG339" s="196"/>
      <c r="AH339" s="196"/>
      <c r="AI339" s="196"/>
      <c r="AJ339" s="196"/>
      <c r="AK339" s="196"/>
      <c r="AL339" s="196"/>
      <c r="AM339" s="196"/>
      <c r="AN339" s="196"/>
      <c r="AO339" s="196"/>
      <c r="AP339" s="196"/>
      <c r="AQ339" s="196"/>
      <c r="AR339" s="196"/>
      <c r="AS339" s="196"/>
      <c r="AT339" s="197"/>
      <c r="AU339" s="198">
        <f>CHOOSE(UserInterface!$C$22,#REF!,#REF!,#REF!,#REF!,#REF!,Scotland!AU339,Southern!AU339,#REF!)</f>
        <v>0</v>
      </c>
      <c r="AV339" s="199">
        <f>CHOOSE(UserInterface!$C$22,#REF!,#REF!,#REF!,#REF!,#REF!,Scotland!AV339,Southern!AV339,#REF!)</f>
        <v>0</v>
      </c>
      <c r="AW339" s="199">
        <f>CHOOSE(UserInterface!$C$22,#REF!,#REF!,#REF!,#REF!,#REF!,Scotland!AW339,Southern!AW339,#REF!)</f>
        <v>0</v>
      </c>
      <c r="AX339" s="199">
        <f>CHOOSE(UserInterface!$C$22,#REF!,#REF!,#REF!,#REF!,#REF!,Scotland!AX339,Southern!AX339,#REF!)</f>
        <v>0</v>
      </c>
      <c r="AY339" s="200">
        <f>CHOOSE(UserInterface!$C$22,#REF!,#REF!,#REF!,#REF!,#REF!,Scotland!AY339,Southern!AY339,#REF!)</f>
        <v>0</v>
      </c>
      <c r="BA339" s="34" t="str">
        <f t="shared" ca="1" si="149"/>
        <v>LicenseeSelect</v>
      </c>
      <c r="BB339" s="34" t="str">
        <f t="shared" si="150"/>
        <v>Fixed Inputs</v>
      </c>
      <c r="BC339" s="34" t="str">
        <f t="shared" si="157"/>
        <v>Variant allowances</v>
      </c>
      <c r="BD339" s="34" t="str">
        <f t="shared" si="152"/>
        <v>Totex variant allowances allocation percentages</v>
      </c>
    </row>
    <row r="340" spans="5:56" x14ac:dyDescent="0.35">
      <c r="E340" s="187" t="str" cm="1">
        <f t="array" ref="E340">INDEX($E$99:$E$202,INT((ROW()-ROW($E$205))/5)+1)</f>
        <v>Re-opener_Coordinated Adjustment Mechanism Re-opener</v>
      </c>
      <c r="F340" s="188"/>
      <c r="G340" s="188" t="s">
        <v>109</v>
      </c>
      <c r="H340" s="188" t="s">
        <v>168</v>
      </c>
      <c r="I340" s="188"/>
      <c r="J340" s="188"/>
      <c r="K340" s="188"/>
      <c r="L340" s="188"/>
      <c r="M340" s="188"/>
      <c r="N340" s="188"/>
      <c r="O340" s="188"/>
      <c r="P340" s="188"/>
      <c r="Q340" s="188"/>
      <c r="R340" s="188"/>
      <c r="S340" s="188"/>
      <c r="T340" s="188"/>
      <c r="U340" s="188"/>
      <c r="V340" s="188"/>
      <c r="W340" s="188"/>
      <c r="X340" s="188"/>
      <c r="Y340" s="188"/>
      <c r="Z340" s="188"/>
      <c r="AA340" s="188"/>
      <c r="AB340" s="188"/>
      <c r="AC340" s="188"/>
      <c r="AD340" s="188"/>
      <c r="AE340" s="188"/>
      <c r="AF340" s="188"/>
      <c r="AG340" s="188"/>
      <c r="AH340" s="188"/>
      <c r="AI340" s="188"/>
      <c r="AJ340" s="188"/>
      <c r="AK340" s="188"/>
      <c r="AL340" s="188"/>
      <c r="AM340" s="188"/>
      <c r="AN340" s="188"/>
      <c r="AO340" s="188"/>
      <c r="AP340" s="188"/>
      <c r="AQ340" s="188"/>
      <c r="AR340" s="188"/>
      <c r="AS340" s="188"/>
      <c r="AT340" s="189"/>
      <c r="AU340" s="190">
        <f>CHOOSE(UserInterface!$C$22,#REF!,#REF!,#REF!,#REF!,#REF!,Scotland!AU340,Southern!AU340,#REF!)</f>
        <v>0</v>
      </c>
      <c r="AV340" s="191">
        <f>CHOOSE(UserInterface!$C$22,#REF!,#REF!,#REF!,#REF!,#REF!,Scotland!AV340,Southern!AV340,#REF!)</f>
        <v>0</v>
      </c>
      <c r="AW340" s="191">
        <f>CHOOSE(UserInterface!$C$22,#REF!,#REF!,#REF!,#REF!,#REF!,Scotland!AW340,Southern!AW340,#REF!)</f>
        <v>0</v>
      </c>
      <c r="AX340" s="191">
        <f>CHOOSE(UserInterface!$C$22,#REF!,#REF!,#REF!,#REF!,#REF!,Scotland!AX340,Southern!AX340,#REF!)</f>
        <v>0</v>
      </c>
      <c r="AY340" s="192">
        <f>CHOOSE(UserInterface!$C$22,#REF!,#REF!,#REF!,#REF!,#REF!,Scotland!AY340,Southern!AY340,#REF!)</f>
        <v>0</v>
      </c>
      <c r="BA340" s="34" t="str">
        <f t="shared" ca="1" si="149"/>
        <v>LicenseeSelect</v>
      </c>
      <c r="BB340" s="34" t="str">
        <f t="shared" si="150"/>
        <v>Fixed Inputs</v>
      </c>
      <c r="BC340" s="34" t="str">
        <f t="shared" si="157"/>
        <v>Variant allowances</v>
      </c>
      <c r="BD340" s="34" t="str">
        <f t="shared" si="152"/>
        <v>Totex variant allowances allocation percentages</v>
      </c>
    </row>
    <row r="341" spans="5:56" x14ac:dyDescent="0.35">
      <c r="E341" s="193" t="str" cm="1">
        <f t="array" ref="E341">INDEX($E$99:$E$202,INT((ROW()-ROW($E$205))/5)+1)</f>
        <v>Re-opener_Coordinated Adjustment Mechanism Re-opener</v>
      </c>
      <c r="G341" s="33" t="s">
        <v>109</v>
      </c>
      <c r="H341" s="33" t="s">
        <v>169</v>
      </c>
      <c r="AT341" s="108"/>
      <c r="AU341" s="140">
        <f>CHOOSE(UserInterface!$C$22,#REF!,#REF!,#REF!,#REF!,#REF!,Scotland!AU341,Southern!AU341,#REF!)</f>
        <v>0</v>
      </c>
      <c r="AV341" s="23">
        <f>CHOOSE(UserInterface!$C$22,#REF!,#REF!,#REF!,#REF!,#REF!,Scotland!AV341,Southern!AV341,#REF!)</f>
        <v>0</v>
      </c>
      <c r="AW341" s="23">
        <f>CHOOSE(UserInterface!$C$22,#REF!,#REF!,#REF!,#REF!,#REF!,Scotland!AW341,Southern!AW341,#REF!)</f>
        <v>0</v>
      </c>
      <c r="AX341" s="23">
        <f>CHOOSE(UserInterface!$C$22,#REF!,#REF!,#REF!,#REF!,#REF!,Scotland!AX341,Southern!AX341,#REF!)</f>
        <v>0</v>
      </c>
      <c r="AY341" s="194">
        <f>CHOOSE(UserInterface!$C$22,#REF!,#REF!,#REF!,#REF!,#REF!,Scotland!AY341,Southern!AY341,#REF!)</f>
        <v>0</v>
      </c>
      <c r="BA341" s="34" t="str">
        <f t="shared" ca="1" si="149"/>
        <v>LicenseeSelect</v>
      </c>
      <c r="BB341" s="34" t="str">
        <f t="shared" si="150"/>
        <v>Fixed Inputs</v>
      </c>
      <c r="BC341" s="34" t="str">
        <f t="shared" si="157"/>
        <v>Variant allowances</v>
      </c>
      <c r="BD341" s="34" t="str">
        <f t="shared" si="152"/>
        <v>Totex variant allowances allocation percentages</v>
      </c>
    </row>
    <row r="342" spans="5:56" x14ac:dyDescent="0.35">
      <c r="E342" s="193" t="str" cm="1">
        <f t="array" ref="E342">INDEX($E$99:$E$202,INT((ROW()-ROW($E$205))/5)+1)</f>
        <v>Re-opener_Coordinated Adjustment Mechanism Re-opener</v>
      </c>
      <c r="G342" s="33" t="s">
        <v>109</v>
      </c>
      <c r="H342" s="33" t="s">
        <v>170</v>
      </c>
      <c r="AT342" s="108"/>
      <c r="AU342" s="140">
        <f>CHOOSE(UserInterface!$C$22,#REF!,#REF!,#REF!,#REF!,#REF!,Scotland!AU342,Southern!AU342,#REF!)</f>
        <v>0</v>
      </c>
      <c r="AV342" s="23">
        <f>CHOOSE(UserInterface!$C$22,#REF!,#REF!,#REF!,#REF!,#REF!,Scotland!AV342,Southern!AV342,#REF!)</f>
        <v>0</v>
      </c>
      <c r="AW342" s="23">
        <f>CHOOSE(UserInterface!$C$22,#REF!,#REF!,#REF!,#REF!,#REF!,Scotland!AW342,Southern!AW342,#REF!)</f>
        <v>0</v>
      </c>
      <c r="AX342" s="23">
        <f>CHOOSE(UserInterface!$C$22,#REF!,#REF!,#REF!,#REF!,#REF!,Scotland!AX342,Southern!AX342,#REF!)</f>
        <v>0</v>
      </c>
      <c r="AY342" s="194">
        <f>CHOOSE(UserInterface!$C$22,#REF!,#REF!,#REF!,#REF!,#REF!,Scotland!AY342,Southern!AY342,#REF!)</f>
        <v>0</v>
      </c>
      <c r="BA342" s="34" t="str">
        <f t="shared" ca="1" si="149"/>
        <v>LicenseeSelect</v>
      </c>
      <c r="BB342" s="34" t="str">
        <f t="shared" si="150"/>
        <v>Fixed Inputs</v>
      </c>
      <c r="BC342" s="34" t="str">
        <f t="shared" si="157"/>
        <v>Variant allowances</v>
      </c>
      <c r="BD342" s="34" t="str">
        <f t="shared" si="152"/>
        <v>Totex variant allowances allocation percentages</v>
      </c>
    </row>
    <row r="343" spans="5:56" x14ac:dyDescent="0.35">
      <c r="E343" s="193" t="str" cm="1">
        <f t="array" ref="E343">INDEX($E$99:$E$202,INT((ROW()-ROW($E$205))/5)+1)</f>
        <v>Re-opener_Coordinated Adjustment Mechanism Re-opener</v>
      </c>
      <c r="G343" s="33" t="s">
        <v>109</v>
      </c>
      <c r="H343" s="33" t="s">
        <v>171</v>
      </c>
      <c r="AT343" s="108"/>
      <c r="AU343" s="140">
        <f>CHOOSE(UserInterface!$C$22,#REF!,#REF!,#REF!,#REF!,#REF!,Scotland!AU343,Southern!AU343,#REF!)</f>
        <v>0</v>
      </c>
      <c r="AV343" s="23">
        <f>CHOOSE(UserInterface!$C$22,#REF!,#REF!,#REF!,#REF!,#REF!,Scotland!AV343,Southern!AV343,#REF!)</f>
        <v>0</v>
      </c>
      <c r="AW343" s="23">
        <f>CHOOSE(UserInterface!$C$22,#REF!,#REF!,#REF!,#REF!,#REF!,Scotland!AW343,Southern!AW343,#REF!)</f>
        <v>0</v>
      </c>
      <c r="AX343" s="23">
        <f>CHOOSE(UserInterface!$C$22,#REF!,#REF!,#REF!,#REF!,#REF!,Scotland!AX343,Southern!AX343,#REF!)</f>
        <v>0</v>
      </c>
      <c r="AY343" s="194">
        <f>CHOOSE(UserInterface!$C$22,#REF!,#REF!,#REF!,#REF!,#REF!,Scotland!AY343,Southern!AY343,#REF!)</f>
        <v>0</v>
      </c>
      <c r="BA343" s="34" t="str">
        <f t="shared" ca="1" si="149"/>
        <v>LicenseeSelect</v>
      </c>
      <c r="BB343" s="34" t="str">
        <f t="shared" si="150"/>
        <v>Fixed Inputs</v>
      </c>
      <c r="BC343" s="34" t="str">
        <f t="shared" si="157"/>
        <v>Variant allowances</v>
      </c>
      <c r="BD343" s="34" t="str">
        <f t="shared" si="152"/>
        <v>Totex variant allowances allocation percentages</v>
      </c>
    </row>
    <row r="344" spans="5:56" x14ac:dyDescent="0.35">
      <c r="E344" s="195" t="str" cm="1">
        <f t="array" ref="E344">INDEX($E$99:$E$202,INT((ROW()-ROW($E$205))/5)+1)</f>
        <v>Re-opener_Coordinated Adjustment Mechanism Re-opener</v>
      </c>
      <c r="F344" s="196"/>
      <c r="G344" s="196" t="s">
        <v>109</v>
      </c>
      <c r="H344" s="196" t="s">
        <v>172</v>
      </c>
      <c r="I344" s="196"/>
      <c r="J344" s="196"/>
      <c r="K344" s="196"/>
      <c r="L344" s="196"/>
      <c r="M344" s="196"/>
      <c r="N344" s="196"/>
      <c r="O344" s="196"/>
      <c r="P344" s="196"/>
      <c r="Q344" s="196"/>
      <c r="R344" s="196"/>
      <c r="S344" s="196"/>
      <c r="T344" s="196"/>
      <c r="U344" s="196"/>
      <c r="V344" s="196"/>
      <c r="W344" s="196"/>
      <c r="X344" s="196"/>
      <c r="Y344" s="196"/>
      <c r="Z344" s="196"/>
      <c r="AA344" s="196"/>
      <c r="AB344" s="196"/>
      <c r="AC344" s="196"/>
      <c r="AD344" s="196"/>
      <c r="AE344" s="196"/>
      <c r="AF344" s="196"/>
      <c r="AG344" s="196"/>
      <c r="AH344" s="196"/>
      <c r="AI344" s="196"/>
      <c r="AJ344" s="196"/>
      <c r="AK344" s="196"/>
      <c r="AL344" s="196"/>
      <c r="AM344" s="196"/>
      <c r="AN344" s="196"/>
      <c r="AO344" s="196"/>
      <c r="AP344" s="196"/>
      <c r="AQ344" s="196"/>
      <c r="AR344" s="196"/>
      <c r="AS344" s="196"/>
      <c r="AT344" s="197"/>
      <c r="AU344" s="198">
        <f>CHOOSE(UserInterface!$C$22,#REF!,#REF!,#REF!,#REF!,#REF!,Scotland!AU344,Southern!AU344,#REF!)</f>
        <v>0</v>
      </c>
      <c r="AV344" s="199">
        <f>CHOOSE(UserInterface!$C$22,#REF!,#REF!,#REF!,#REF!,#REF!,Scotland!AV344,Southern!AV344,#REF!)</f>
        <v>0</v>
      </c>
      <c r="AW344" s="199">
        <f>CHOOSE(UserInterface!$C$22,#REF!,#REF!,#REF!,#REF!,#REF!,Scotland!AW344,Southern!AW344,#REF!)</f>
        <v>0</v>
      </c>
      <c r="AX344" s="199">
        <f>CHOOSE(UserInterface!$C$22,#REF!,#REF!,#REF!,#REF!,#REF!,Scotland!AX344,Southern!AX344,#REF!)</f>
        <v>0</v>
      </c>
      <c r="AY344" s="200">
        <f>CHOOSE(UserInterface!$C$22,#REF!,#REF!,#REF!,#REF!,#REF!,Scotland!AY344,Southern!AY344,#REF!)</f>
        <v>0</v>
      </c>
      <c r="BA344" s="34" t="str">
        <f t="shared" ca="1" si="149"/>
        <v>LicenseeSelect</v>
      </c>
      <c r="BB344" s="34" t="str">
        <f t="shared" si="150"/>
        <v>Fixed Inputs</v>
      </c>
      <c r="BC344" s="34" t="str">
        <f t="shared" si="157"/>
        <v>Variant allowances</v>
      </c>
      <c r="BD344" s="34" t="str">
        <f t="shared" si="152"/>
        <v>Totex variant allowances allocation percentages</v>
      </c>
    </row>
    <row r="345" spans="5:56" x14ac:dyDescent="0.35">
      <c r="E345" s="187" t="str" cm="1">
        <f t="array" ref="E345">INDEX($E$99:$E$202,INT((ROW()-ROW($E$205))/5)+1)</f>
        <v>Re-opener_Cyber re-opener (Cadent_EoE) / Cyber resilience Re-Opener</v>
      </c>
      <c r="F345" s="188"/>
      <c r="G345" s="188" t="s">
        <v>109</v>
      </c>
      <c r="H345" s="188" t="s">
        <v>168</v>
      </c>
      <c r="I345" s="188"/>
      <c r="J345" s="188"/>
      <c r="K345" s="188"/>
      <c r="L345" s="188"/>
      <c r="M345" s="188"/>
      <c r="N345" s="188"/>
      <c r="O345" s="188"/>
      <c r="P345" s="188"/>
      <c r="Q345" s="188"/>
      <c r="R345" s="188"/>
      <c r="S345" s="188"/>
      <c r="T345" s="188"/>
      <c r="U345" s="188"/>
      <c r="V345" s="188"/>
      <c r="W345" s="188"/>
      <c r="X345" s="188"/>
      <c r="Y345" s="188"/>
      <c r="Z345" s="188"/>
      <c r="AA345" s="188"/>
      <c r="AB345" s="188"/>
      <c r="AC345" s="188"/>
      <c r="AD345" s="188"/>
      <c r="AE345" s="188"/>
      <c r="AF345" s="188"/>
      <c r="AG345" s="188"/>
      <c r="AH345" s="188"/>
      <c r="AI345" s="188"/>
      <c r="AJ345" s="188"/>
      <c r="AK345" s="188"/>
      <c r="AL345" s="188"/>
      <c r="AM345" s="188"/>
      <c r="AN345" s="188"/>
      <c r="AO345" s="188"/>
      <c r="AP345" s="188"/>
      <c r="AQ345" s="188"/>
      <c r="AR345" s="188"/>
      <c r="AS345" s="188"/>
      <c r="AT345" s="189"/>
      <c r="AU345" s="190">
        <f>CHOOSE(UserInterface!$C$22,#REF!,#REF!,#REF!,#REF!,#REF!,Scotland!AU345,Southern!AU345,#REF!)</f>
        <v>0</v>
      </c>
      <c r="AV345" s="191">
        <f>CHOOSE(UserInterface!$C$22,#REF!,#REF!,#REF!,#REF!,#REF!,Scotland!AV345,Southern!AV345,#REF!)</f>
        <v>0</v>
      </c>
      <c r="AW345" s="191">
        <f>CHOOSE(UserInterface!$C$22,#REF!,#REF!,#REF!,#REF!,#REF!,Scotland!AW345,Southern!AW345,#REF!)</f>
        <v>0</v>
      </c>
      <c r="AX345" s="191">
        <f>CHOOSE(UserInterface!$C$22,#REF!,#REF!,#REF!,#REF!,#REF!,Scotland!AX345,Southern!AX345,#REF!)</f>
        <v>0</v>
      </c>
      <c r="AY345" s="192">
        <f>CHOOSE(UserInterface!$C$22,#REF!,#REF!,#REF!,#REF!,#REF!,Scotland!AY345,Southern!AY345,#REF!)</f>
        <v>0</v>
      </c>
      <c r="BA345" s="34" t="str">
        <f t="shared" ca="1" si="149"/>
        <v>LicenseeSelect</v>
      </c>
      <c r="BB345" s="34" t="str">
        <f t="shared" si="150"/>
        <v>Fixed Inputs</v>
      </c>
      <c r="BC345" s="34" t="str">
        <f t="shared" si="157"/>
        <v>Variant allowances</v>
      </c>
      <c r="BD345" s="34" t="str">
        <f t="shared" si="152"/>
        <v>Totex variant allowances allocation percentages</v>
      </c>
    </row>
    <row r="346" spans="5:56" x14ac:dyDescent="0.35">
      <c r="E346" s="193" t="str" cm="1">
        <f t="array" ref="E346">INDEX($E$99:$E$202,INT((ROW()-ROW($E$205))/5)+1)</f>
        <v>Re-opener_Cyber re-opener (Cadent_EoE) / Cyber resilience Re-Opener</v>
      </c>
      <c r="G346" s="33" t="s">
        <v>109</v>
      </c>
      <c r="H346" s="33" t="s">
        <v>169</v>
      </c>
      <c r="AT346" s="108"/>
      <c r="AU346" s="140">
        <f>CHOOSE(UserInterface!$C$22,#REF!,#REF!,#REF!,#REF!,#REF!,Scotland!AU346,Southern!AU346,#REF!)</f>
        <v>0.5</v>
      </c>
      <c r="AV346" s="23">
        <f>CHOOSE(UserInterface!$C$22,#REF!,#REF!,#REF!,#REF!,#REF!,Scotland!AV346,Southern!AV346,#REF!)</f>
        <v>0.5</v>
      </c>
      <c r="AW346" s="23">
        <f>CHOOSE(UserInterface!$C$22,#REF!,#REF!,#REF!,#REF!,#REF!,Scotland!AW346,Southern!AW346,#REF!)</f>
        <v>0.5</v>
      </c>
      <c r="AX346" s="23">
        <f>CHOOSE(UserInterface!$C$22,#REF!,#REF!,#REF!,#REF!,#REF!,Scotland!AX346,Southern!AX346,#REF!)</f>
        <v>0.5</v>
      </c>
      <c r="AY346" s="194">
        <f>CHOOSE(UserInterface!$C$22,#REF!,#REF!,#REF!,#REF!,#REF!,Scotland!AY346,Southern!AY346,#REF!)</f>
        <v>0.5</v>
      </c>
      <c r="BA346" s="34" t="str">
        <f t="shared" ca="1" si="149"/>
        <v>LicenseeSelect</v>
      </c>
      <c r="BB346" s="34" t="str">
        <f t="shared" si="150"/>
        <v>Fixed Inputs</v>
      </c>
      <c r="BC346" s="34" t="str">
        <f t="shared" si="157"/>
        <v>Variant allowances</v>
      </c>
      <c r="BD346" s="34" t="str">
        <f t="shared" si="152"/>
        <v>Totex variant allowances allocation percentages</v>
      </c>
    </row>
    <row r="347" spans="5:56" x14ac:dyDescent="0.35">
      <c r="E347" s="193" t="str" cm="1">
        <f t="array" ref="E347">INDEX($E$99:$E$202,INT((ROW()-ROW($E$205))/5)+1)</f>
        <v>Re-opener_Cyber re-opener (Cadent_EoE) / Cyber resilience Re-Opener</v>
      </c>
      <c r="G347" s="33" t="s">
        <v>109</v>
      </c>
      <c r="H347" s="33" t="s">
        <v>170</v>
      </c>
      <c r="AT347" s="108"/>
      <c r="AU347" s="140">
        <f>CHOOSE(UserInterface!$C$22,#REF!,#REF!,#REF!,#REF!,#REF!,Scotland!AU347,Southern!AU347,#REF!)</f>
        <v>0.5</v>
      </c>
      <c r="AV347" s="23">
        <f>CHOOSE(UserInterface!$C$22,#REF!,#REF!,#REF!,#REF!,#REF!,Scotland!AV347,Southern!AV347,#REF!)</f>
        <v>0.5</v>
      </c>
      <c r="AW347" s="23">
        <f>CHOOSE(UserInterface!$C$22,#REF!,#REF!,#REF!,#REF!,#REF!,Scotland!AW347,Southern!AW347,#REF!)</f>
        <v>0.5</v>
      </c>
      <c r="AX347" s="23">
        <f>CHOOSE(UserInterface!$C$22,#REF!,#REF!,#REF!,#REF!,#REF!,Scotland!AX347,Southern!AX347,#REF!)</f>
        <v>0.5</v>
      </c>
      <c r="AY347" s="194">
        <f>CHOOSE(UserInterface!$C$22,#REF!,#REF!,#REF!,#REF!,#REF!,Scotland!AY347,Southern!AY347,#REF!)</f>
        <v>0.5</v>
      </c>
      <c r="BA347" s="34" t="str">
        <f t="shared" ca="1" si="149"/>
        <v>LicenseeSelect</v>
      </c>
      <c r="BB347" s="34" t="str">
        <f t="shared" si="150"/>
        <v>Fixed Inputs</v>
      </c>
      <c r="BC347" s="34" t="str">
        <f t="shared" si="157"/>
        <v>Variant allowances</v>
      </c>
      <c r="BD347" s="34" t="str">
        <f t="shared" si="152"/>
        <v>Totex variant allowances allocation percentages</v>
      </c>
    </row>
    <row r="348" spans="5:56" x14ac:dyDescent="0.35">
      <c r="E348" s="193" t="str" cm="1">
        <f t="array" ref="E348">INDEX($E$99:$E$202,INT((ROW()-ROW($E$205))/5)+1)</f>
        <v>Re-opener_Cyber re-opener (Cadent_EoE) / Cyber resilience Re-Opener</v>
      </c>
      <c r="G348" s="33" t="s">
        <v>109</v>
      </c>
      <c r="H348" s="33" t="s">
        <v>171</v>
      </c>
      <c r="AT348" s="108"/>
      <c r="AU348" s="140">
        <f>CHOOSE(UserInterface!$C$22,#REF!,#REF!,#REF!,#REF!,#REF!,Scotland!AU348,Southern!AU348,#REF!)</f>
        <v>0</v>
      </c>
      <c r="AV348" s="23">
        <f>CHOOSE(UserInterface!$C$22,#REF!,#REF!,#REF!,#REF!,#REF!,Scotland!AV348,Southern!AV348,#REF!)</f>
        <v>0</v>
      </c>
      <c r="AW348" s="23">
        <f>CHOOSE(UserInterface!$C$22,#REF!,#REF!,#REF!,#REF!,#REF!,Scotland!AW348,Southern!AW348,#REF!)</f>
        <v>0</v>
      </c>
      <c r="AX348" s="23">
        <f>CHOOSE(UserInterface!$C$22,#REF!,#REF!,#REF!,#REF!,#REF!,Scotland!AX348,Southern!AX348,#REF!)</f>
        <v>0</v>
      </c>
      <c r="AY348" s="194">
        <f>CHOOSE(UserInterface!$C$22,#REF!,#REF!,#REF!,#REF!,#REF!,Scotland!AY348,Southern!AY348,#REF!)</f>
        <v>0</v>
      </c>
      <c r="BA348" s="34" t="str">
        <f t="shared" ca="1" si="149"/>
        <v>LicenseeSelect</v>
      </c>
      <c r="BB348" s="34" t="str">
        <f t="shared" si="150"/>
        <v>Fixed Inputs</v>
      </c>
      <c r="BC348" s="34" t="str">
        <f t="shared" si="157"/>
        <v>Variant allowances</v>
      </c>
      <c r="BD348" s="34" t="str">
        <f t="shared" si="152"/>
        <v>Totex variant allowances allocation percentages</v>
      </c>
    </row>
    <row r="349" spans="5:56" x14ac:dyDescent="0.35">
      <c r="E349" s="195" t="str" cm="1">
        <f t="array" ref="E349">INDEX($E$99:$E$202,INT((ROW()-ROW($E$205))/5)+1)</f>
        <v>Re-opener_Cyber re-opener (Cadent_EoE) / Cyber resilience Re-Opener</v>
      </c>
      <c r="F349" s="196"/>
      <c r="G349" s="196" t="s">
        <v>109</v>
      </c>
      <c r="H349" s="196" t="s">
        <v>172</v>
      </c>
      <c r="I349" s="196"/>
      <c r="J349" s="196"/>
      <c r="K349" s="196"/>
      <c r="L349" s="196"/>
      <c r="M349" s="196"/>
      <c r="N349" s="196"/>
      <c r="O349" s="196"/>
      <c r="P349" s="196"/>
      <c r="Q349" s="196"/>
      <c r="R349" s="196"/>
      <c r="S349" s="196"/>
      <c r="T349" s="196"/>
      <c r="U349" s="196"/>
      <c r="V349" s="196"/>
      <c r="W349" s="196"/>
      <c r="X349" s="196"/>
      <c r="Y349" s="196"/>
      <c r="Z349" s="196"/>
      <c r="AA349" s="196"/>
      <c r="AB349" s="196"/>
      <c r="AC349" s="196"/>
      <c r="AD349" s="196"/>
      <c r="AE349" s="196"/>
      <c r="AF349" s="196"/>
      <c r="AG349" s="196"/>
      <c r="AH349" s="196"/>
      <c r="AI349" s="196"/>
      <c r="AJ349" s="196"/>
      <c r="AK349" s="196"/>
      <c r="AL349" s="196"/>
      <c r="AM349" s="196"/>
      <c r="AN349" s="196"/>
      <c r="AO349" s="196"/>
      <c r="AP349" s="196"/>
      <c r="AQ349" s="196"/>
      <c r="AR349" s="196"/>
      <c r="AS349" s="196"/>
      <c r="AT349" s="197"/>
      <c r="AU349" s="198">
        <f>CHOOSE(UserInterface!$C$22,#REF!,#REF!,#REF!,#REF!,#REF!,Scotland!AU349,Southern!AU349,#REF!)</f>
        <v>0</v>
      </c>
      <c r="AV349" s="199">
        <f>CHOOSE(UserInterface!$C$22,#REF!,#REF!,#REF!,#REF!,#REF!,Scotland!AV349,Southern!AV349,#REF!)</f>
        <v>0</v>
      </c>
      <c r="AW349" s="199">
        <f>CHOOSE(UserInterface!$C$22,#REF!,#REF!,#REF!,#REF!,#REF!,Scotland!AW349,Southern!AW349,#REF!)</f>
        <v>0</v>
      </c>
      <c r="AX349" s="199">
        <f>CHOOSE(UserInterface!$C$22,#REF!,#REF!,#REF!,#REF!,#REF!,Scotland!AX349,Southern!AX349,#REF!)</f>
        <v>0</v>
      </c>
      <c r="AY349" s="200">
        <f>CHOOSE(UserInterface!$C$22,#REF!,#REF!,#REF!,#REF!,#REF!,Scotland!AY349,Southern!AY349,#REF!)</f>
        <v>0</v>
      </c>
      <c r="BA349" s="34" t="str">
        <f t="shared" ca="1" si="149"/>
        <v>LicenseeSelect</v>
      </c>
      <c r="BB349" s="34" t="str">
        <f t="shared" si="150"/>
        <v>Fixed Inputs</v>
      </c>
      <c r="BC349" s="34" t="str">
        <f t="shared" si="157"/>
        <v>Variant allowances</v>
      </c>
      <c r="BD349" s="34" t="str">
        <f t="shared" si="152"/>
        <v>Totex variant allowances allocation percentages</v>
      </c>
    </row>
    <row r="350" spans="5:56" x14ac:dyDescent="0.35">
      <c r="E350" s="187" t="str" cm="1">
        <f t="array" ref="E350">INDEX($E$99:$E$202,INT((ROW()-ROW($E$205))/5)+1)</f>
        <v>Re-opener_Data and digitalisation</v>
      </c>
      <c r="F350" s="188"/>
      <c r="G350" s="188" t="s">
        <v>109</v>
      </c>
      <c r="H350" s="188" t="s">
        <v>168</v>
      </c>
      <c r="I350" s="188"/>
      <c r="J350" s="188"/>
      <c r="K350" s="188"/>
      <c r="L350" s="188"/>
      <c r="M350" s="188"/>
      <c r="N350" s="188"/>
      <c r="O350" s="188"/>
      <c r="P350" s="188"/>
      <c r="Q350" s="188"/>
      <c r="R350" s="188"/>
      <c r="S350" s="188"/>
      <c r="T350" s="188"/>
      <c r="U350" s="188"/>
      <c r="V350" s="188"/>
      <c r="W350" s="188"/>
      <c r="X350" s="188"/>
      <c r="Y350" s="188"/>
      <c r="Z350" s="188"/>
      <c r="AA350" s="188"/>
      <c r="AB350" s="188"/>
      <c r="AC350" s="188"/>
      <c r="AD350" s="188"/>
      <c r="AE350" s="188"/>
      <c r="AF350" s="188"/>
      <c r="AG350" s="188"/>
      <c r="AH350" s="188"/>
      <c r="AI350" s="188"/>
      <c r="AJ350" s="188"/>
      <c r="AK350" s="188"/>
      <c r="AL350" s="188"/>
      <c r="AM350" s="188"/>
      <c r="AN350" s="188"/>
      <c r="AO350" s="188"/>
      <c r="AP350" s="188"/>
      <c r="AQ350" s="188"/>
      <c r="AR350" s="188"/>
      <c r="AS350" s="188"/>
      <c r="AT350" s="189"/>
      <c r="AU350" s="190">
        <f>CHOOSE(UserInterface!$C$22,#REF!,#REF!,#REF!,#REF!,#REF!,Scotland!AU350,Southern!AU350,#REF!)</f>
        <v>0</v>
      </c>
      <c r="AV350" s="191">
        <f>CHOOSE(UserInterface!$C$22,#REF!,#REF!,#REF!,#REF!,#REF!,Scotland!AV350,Southern!AV350,#REF!)</f>
        <v>0</v>
      </c>
      <c r="AW350" s="191">
        <f>CHOOSE(UserInterface!$C$22,#REF!,#REF!,#REF!,#REF!,#REF!,Scotland!AW350,Southern!AW350,#REF!)</f>
        <v>0</v>
      </c>
      <c r="AX350" s="191">
        <f>CHOOSE(UserInterface!$C$22,#REF!,#REF!,#REF!,#REF!,#REF!,Scotland!AX350,Southern!AX350,#REF!)</f>
        <v>0</v>
      </c>
      <c r="AY350" s="192">
        <f>CHOOSE(UserInterface!$C$22,#REF!,#REF!,#REF!,#REF!,#REF!,Scotland!AY350,Southern!AY350,#REF!)</f>
        <v>0</v>
      </c>
      <c r="BA350" s="34" t="str">
        <f t="shared" ca="1" si="149"/>
        <v>LicenseeSelect</v>
      </c>
      <c r="BB350" s="34" t="str">
        <f t="shared" si="150"/>
        <v>Fixed Inputs</v>
      </c>
      <c r="BC350" s="34" t="str">
        <f t="shared" si="157"/>
        <v>Variant allowances</v>
      </c>
      <c r="BD350" s="34" t="str">
        <f t="shared" si="152"/>
        <v>Totex variant allowances allocation percentages</v>
      </c>
    </row>
    <row r="351" spans="5:56" x14ac:dyDescent="0.35">
      <c r="E351" s="193" t="str" cm="1">
        <f t="array" ref="E351">INDEX($E$99:$E$202,INT((ROW()-ROW($E$205))/5)+1)</f>
        <v>Re-opener_Data and digitalisation</v>
      </c>
      <c r="G351" s="33" t="s">
        <v>109</v>
      </c>
      <c r="H351" s="33" t="s">
        <v>169</v>
      </c>
      <c r="AT351" s="108"/>
      <c r="AU351" s="140">
        <f>CHOOSE(UserInterface!$C$22,#REF!,#REF!,#REF!,#REF!,#REF!,Scotland!AU351,Southern!AU351,#REF!)</f>
        <v>0</v>
      </c>
      <c r="AV351" s="23">
        <f>CHOOSE(UserInterface!$C$22,#REF!,#REF!,#REF!,#REF!,#REF!,Scotland!AV351,Southern!AV351,#REF!)</f>
        <v>0</v>
      </c>
      <c r="AW351" s="23">
        <f>CHOOSE(UserInterface!$C$22,#REF!,#REF!,#REF!,#REF!,#REF!,Scotland!AW351,Southern!AW351,#REF!)</f>
        <v>0</v>
      </c>
      <c r="AX351" s="23">
        <f>CHOOSE(UserInterface!$C$22,#REF!,#REF!,#REF!,#REF!,#REF!,Scotland!AX351,Southern!AX351,#REF!)</f>
        <v>0</v>
      </c>
      <c r="AY351" s="194">
        <f>CHOOSE(UserInterface!$C$22,#REF!,#REF!,#REF!,#REF!,#REF!,Scotland!AY351,Southern!AY351,#REF!)</f>
        <v>0</v>
      </c>
      <c r="BA351" s="34" t="str">
        <f t="shared" ca="1" si="149"/>
        <v>LicenseeSelect</v>
      </c>
      <c r="BB351" s="34" t="str">
        <f t="shared" si="150"/>
        <v>Fixed Inputs</v>
      </c>
      <c r="BC351" s="34" t="str">
        <f t="shared" si="157"/>
        <v>Variant allowances</v>
      </c>
      <c r="BD351" s="34" t="str">
        <f t="shared" si="152"/>
        <v>Totex variant allowances allocation percentages</v>
      </c>
    </row>
    <row r="352" spans="5:56" x14ac:dyDescent="0.35">
      <c r="E352" s="193" t="str" cm="1">
        <f t="array" ref="E352">INDEX($E$99:$E$202,INT((ROW()-ROW($E$205))/5)+1)</f>
        <v>Re-opener_Data and digitalisation</v>
      </c>
      <c r="G352" s="33" t="s">
        <v>109</v>
      </c>
      <c r="H352" s="33" t="s">
        <v>170</v>
      </c>
      <c r="AT352" s="108"/>
      <c r="AU352" s="140">
        <f>CHOOSE(UserInterface!$C$22,#REF!,#REF!,#REF!,#REF!,#REF!,Scotland!AU352,Southern!AU352,#REF!)</f>
        <v>0</v>
      </c>
      <c r="AV352" s="23">
        <f>CHOOSE(UserInterface!$C$22,#REF!,#REF!,#REF!,#REF!,#REF!,Scotland!AV352,Southern!AV352,#REF!)</f>
        <v>0</v>
      </c>
      <c r="AW352" s="23">
        <f>CHOOSE(UserInterface!$C$22,#REF!,#REF!,#REF!,#REF!,#REF!,Scotland!AW352,Southern!AW352,#REF!)</f>
        <v>0</v>
      </c>
      <c r="AX352" s="23">
        <f>CHOOSE(UserInterface!$C$22,#REF!,#REF!,#REF!,#REF!,#REF!,Scotland!AX352,Southern!AX352,#REF!)</f>
        <v>0</v>
      </c>
      <c r="AY352" s="194">
        <f>CHOOSE(UserInterface!$C$22,#REF!,#REF!,#REF!,#REF!,#REF!,Scotland!AY352,Southern!AY352,#REF!)</f>
        <v>0</v>
      </c>
      <c r="BA352" s="34" t="str">
        <f t="shared" ca="1" si="149"/>
        <v>LicenseeSelect</v>
      </c>
      <c r="BB352" s="34" t="str">
        <f t="shared" si="150"/>
        <v>Fixed Inputs</v>
      </c>
      <c r="BC352" s="34" t="str">
        <f t="shared" si="157"/>
        <v>Variant allowances</v>
      </c>
      <c r="BD352" s="34" t="str">
        <f t="shared" si="152"/>
        <v>Totex variant allowances allocation percentages</v>
      </c>
    </row>
    <row r="353" spans="5:56" x14ac:dyDescent="0.35">
      <c r="E353" s="193" t="str" cm="1">
        <f t="array" ref="E353">INDEX($E$99:$E$202,INT((ROW()-ROW($E$205))/5)+1)</f>
        <v>Re-opener_Data and digitalisation</v>
      </c>
      <c r="G353" s="33" t="s">
        <v>109</v>
      </c>
      <c r="H353" s="33" t="s">
        <v>171</v>
      </c>
      <c r="AT353" s="108"/>
      <c r="AU353" s="140">
        <f>CHOOSE(UserInterface!$C$22,#REF!,#REF!,#REF!,#REF!,#REF!,Scotland!AU353,Southern!AU353,#REF!)</f>
        <v>0</v>
      </c>
      <c r="AV353" s="23">
        <f>CHOOSE(UserInterface!$C$22,#REF!,#REF!,#REF!,#REF!,#REF!,Scotland!AV353,Southern!AV353,#REF!)</f>
        <v>0</v>
      </c>
      <c r="AW353" s="23">
        <f>CHOOSE(UserInterface!$C$22,#REF!,#REF!,#REF!,#REF!,#REF!,Scotland!AW353,Southern!AW353,#REF!)</f>
        <v>0</v>
      </c>
      <c r="AX353" s="23">
        <f>CHOOSE(UserInterface!$C$22,#REF!,#REF!,#REF!,#REF!,#REF!,Scotland!AX353,Southern!AX353,#REF!)</f>
        <v>0</v>
      </c>
      <c r="AY353" s="194">
        <f>CHOOSE(UserInterface!$C$22,#REF!,#REF!,#REF!,#REF!,#REF!,Scotland!AY353,Southern!AY353,#REF!)</f>
        <v>0</v>
      </c>
      <c r="BA353" s="34" t="str">
        <f t="shared" ca="1" si="149"/>
        <v>LicenseeSelect</v>
      </c>
      <c r="BB353" s="34" t="str">
        <f t="shared" si="150"/>
        <v>Fixed Inputs</v>
      </c>
      <c r="BC353" s="34" t="str">
        <f t="shared" si="157"/>
        <v>Variant allowances</v>
      </c>
      <c r="BD353" s="34" t="str">
        <f t="shared" si="152"/>
        <v>Totex variant allowances allocation percentages</v>
      </c>
    </row>
    <row r="354" spans="5:56" x14ac:dyDescent="0.35">
      <c r="E354" s="195" t="str" cm="1">
        <f t="array" ref="E354">INDEX($E$99:$E$202,INT((ROW()-ROW($E$205))/5)+1)</f>
        <v>Re-opener_Data and digitalisation</v>
      </c>
      <c r="F354" s="196"/>
      <c r="G354" s="196" t="s">
        <v>109</v>
      </c>
      <c r="H354" s="196" t="s">
        <v>172</v>
      </c>
      <c r="I354" s="196"/>
      <c r="J354" s="196"/>
      <c r="K354" s="196"/>
      <c r="L354" s="196"/>
      <c r="M354" s="196"/>
      <c r="N354" s="196"/>
      <c r="O354" s="196"/>
      <c r="P354" s="196"/>
      <c r="Q354" s="196"/>
      <c r="R354" s="196"/>
      <c r="S354" s="196"/>
      <c r="T354" s="196"/>
      <c r="U354" s="196"/>
      <c r="V354" s="196"/>
      <c r="W354" s="196"/>
      <c r="X354" s="196"/>
      <c r="Y354" s="196"/>
      <c r="Z354" s="196"/>
      <c r="AA354" s="196"/>
      <c r="AB354" s="196"/>
      <c r="AC354" s="196"/>
      <c r="AD354" s="196"/>
      <c r="AE354" s="196"/>
      <c r="AF354" s="196"/>
      <c r="AG354" s="196"/>
      <c r="AH354" s="196"/>
      <c r="AI354" s="196"/>
      <c r="AJ354" s="196"/>
      <c r="AK354" s="196"/>
      <c r="AL354" s="196"/>
      <c r="AM354" s="196"/>
      <c r="AN354" s="196"/>
      <c r="AO354" s="196"/>
      <c r="AP354" s="196"/>
      <c r="AQ354" s="196"/>
      <c r="AR354" s="196"/>
      <c r="AS354" s="196"/>
      <c r="AT354" s="197"/>
      <c r="AU354" s="198">
        <f>CHOOSE(UserInterface!$C$22,#REF!,#REF!,#REF!,#REF!,#REF!,Scotland!AU354,Southern!AU354,#REF!)</f>
        <v>0</v>
      </c>
      <c r="AV354" s="199">
        <f>CHOOSE(UserInterface!$C$22,#REF!,#REF!,#REF!,#REF!,#REF!,Scotland!AV354,Southern!AV354,#REF!)</f>
        <v>0</v>
      </c>
      <c r="AW354" s="199">
        <f>CHOOSE(UserInterface!$C$22,#REF!,#REF!,#REF!,#REF!,#REF!,Scotland!AW354,Southern!AW354,#REF!)</f>
        <v>0</v>
      </c>
      <c r="AX354" s="199">
        <f>CHOOSE(UserInterface!$C$22,#REF!,#REF!,#REF!,#REF!,#REF!,Scotland!AX354,Southern!AX354,#REF!)</f>
        <v>0</v>
      </c>
      <c r="AY354" s="200">
        <f>CHOOSE(UserInterface!$C$22,#REF!,#REF!,#REF!,#REF!,#REF!,Scotland!AY354,Southern!AY354,#REF!)</f>
        <v>0</v>
      </c>
      <c r="BA354" s="34" t="str">
        <f t="shared" ca="1" si="149"/>
        <v>LicenseeSelect</v>
      </c>
      <c r="BB354" s="34" t="str">
        <f t="shared" si="150"/>
        <v>Fixed Inputs</v>
      </c>
      <c r="BC354" s="34" t="str">
        <f t="shared" si="157"/>
        <v>Variant allowances</v>
      </c>
      <c r="BD354" s="34" t="str">
        <f t="shared" si="152"/>
        <v>Totex variant allowances allocation percentages</v>
      </c>
    </row>
    <row r="355" spans="5:56" x14ac:dyDescent="0.35">
      <c r="E355" s="187" t="str" cm="1">
        <f t="array" ref="E355">INDEX($E$99:$E$202,INT((ROW()-ROW($E$205))/5)+1)</f>
        <v>Re-opener_Digitalisation re-opener</v>
      </c>
      <c r="F355" s="188"/>
      <c r="G355" s="188" t="s">
        <v>109</v>
      </c>
      <c r="H355" s="188" t="s">
        <v>168</v>
      </c>
      <c r="I355" s="188"/>
      <c r="J355" s="188"/>
      <c r="K355" s="188"/>
      <c r="L355" s="188"/>
      <c r="M355" s="188"/>
      <c r="N355" s="188"/>
      <c r="O355" s="188"/>
      <c r="P355" s="188"/>
      <c r="Q355" s="188"/>
      <c r="R355" s="188"/>
      <c r="S355" s="188"/>
      <c r="T355" s="188"/>
      <c r="U355" s="188"/>
      <c r="V355" s="188"/>
      <c r="W355" s="188"/>
      <c r="X355" s="188"/>
      <c r="Y355" s="188"/>
      <c r="Z355" s="188"/>
      <c r="AA355" s="188"/>
      <c r="AB355" s="188"/>
      <c r="AC355" s="188"/>
      <c r="AD355" s="188"/>
      <c r="AE355" s="188"/>
      <c r="AF355" s="188"/>
      <c r="AG355" s="188"/>
      <c r="AH355" s="188"/>
      <c r="AI355" s="188"/>
      <c r="AJ355" s="188"/>
      <c r="AK355" s="188"/>
      <c r="AL355" s="188"/>
      <c r="AM355" s="188"/>
      <c r="AN355" s="188"/>
      <c r="AO355" s="188"/>
      <c r="AP355" s="188"/>
      <c r="AQ355" s="188"/>
      <c r="AR355" s="188"/>
      <c r="AS355" s="188"/>
      <c r="AT355" s="189"/>
      <c r="AU355" s="190">
        <f>CHOOSE(UserInterface!$C$22,#REF!,#REF!,#REF!,#REF!,#REF!,Scotland!AU355,Southern!AU355,#REF!)</f>
        <v>0</v>
      </c>
      <c r="AV355" s="191">
        <f>CHOOSE(UserInterface!$C$22,#REF!,#REF!,#REF!,#REF!,#REF!,Scotland!AV355,Southern!AV355,#REF!)</f>
        <v>0</v>
      </c>
      <c r="AW355" s="191">
        <f>CHOOSE(UserInterface!$C$22,#REF!,#REF!,#REF!,#REF!,#REF!,Scotland!AW355,Southern!AW355,#REF!)</f>
        <v>0</v>
      </c>
      <c r="AX355" s="191">
        <f>CHOOSE(UserInterface!$C$22,#REF!,#REF!,#REF!,#REF!,#REF!,Scotland!AX355,Southern!AX355,#REF!)</f>
        <v>0</v>
      </c>
      <c r="AY355" s="192">
        <f>CHOOSE(UserInterface!$C$22,#REF!,#REF!,#REF!,#REF!,#REF!,Scotland!AY355,Southern!AY355,#REF!)</f>
        <v>0</v>
      </c>
      <c r="BA355" s="34" t="str">
        <f t="shared" ca="1" si="149"/>
        <v>LicenseeSelect</v>
      </c>
      <c r="BB355" s="34" t="str">
        <f t="shared" si="150"/>
        <v>Fixed Inputs</v>
      </c>
      <c r="BC355" s="34" t="str">
        <f t="shared" si="157"/>
        <v>Variant allowances</v>
      </c>
      <c r="BD355" s="34" t="str">
        <f t="shared" si="152"/>
        <v>Totex variant allowances allocation percentages</v>
      </c>
    </row>
    <row r="356" spans="5:56" x14ac:dyDescent="0.35">
      <c r="E356" s="193" t="str" cm="1">
        <f t="array" ref="E356">INDEX($E$99:$E$202,INT((ROW()-ROW($E$205))/5)+1)</f>
        <v>Re-opener_Digitalisation re-opener</v>
      </c>
      <c r="G356" s="33" t="s">
        <v>109</v>
      </c>
      <c r="H356" s="33" t="s">
        <v>169</v>
      </c>
      <c r="AT356" s="108"/>
      <c r="AU356" s="140">
        <f>CHOOSE(UserInterface!$C$22,#REF!,#REF!,#REF!,#REF!,#REF!,Scotland!AU356,Southern!AU356,#REF!)</f>
        <v>0</v>
      </c>
      <c r="AV356" s="23">
        <f>CHOOSE(UserInterface!$C$22,#REF!,#REF!,#REF!,#REF!,#REF!,Scotland!AV356,Southern!AV356,#REF!)</f>
        <v>0</v>
      </c>
      <c r="AW356" s="23">
        <f>CHOOSE(UserInterface!$C$22,#REF!,#REF!,#REF!,#REF!,#REF!,Scotland!AW356,Southern!AW356,#REF!)</f>
        <v>0</v>
      </c>
      <c r="AX356" s="23">
        <f>CHOOSE(UserInterface!$C$22,#REF!,#REF!,#REF!,#REF!,#REF!,Scotland!AX356,Southern!AX356,#REF!)</f>
        <v>0</v>
      </c>
      <c r="AY356" s="194">
        <f>CHOOSE(UserInterface!$C$22,#REF!,#REF!,#REF!,#REF!,#REF!,Scotland!AY356,Southern!AY356,#REF!)</f>
        <v>0</v>
      </c>
      <c r="BA356" s="34" t="str">
        <f t="shared" ca="1" si="149"/>
        <v>LicenseeSelect</v>
      </c>
      <c r="BB356" s="34" t="str">
        <f t="shared" si="150"/>
        <v>Fixed Inputs</v>
      </c>
      <c r="BC356" s="34" t="str">
        <f t="shared" si="157"/>
        <v>Variant allowances</v>
      </c>
      <c r="BD356" s="34" t="str">
        <f t="shared" si="152"/>
        <v>Totex variant allowances allocation percentages</v>
      </c>
    </row>
    <row r="357" spans="5:56" x14ac:dyDescent="0.35">
      <c r="E357" s="193" t="str" cm="1">
        <f t="array" ref="E357">INDEX($E$99:$E$202,INT((ROW()-ROW($E$205))/5)+1)</f>
        <v>Re-opener_Digitalisation re-opener</v>
      </c>
      <c r="G357" s="33" t="s">
        <v>109</v>
      </c>
      <c r="H357" s="33" t="s">
        <v>170</v>
      </c>
      <c r="AT357" s="108"/>
      <c r="AU357" s="140">
        <f>CHOOSE(UserInterface!$C$22,#REF!,#REF!,#REF!,#REF!,#REF!,Scotland!AU357,Southern!AU357,#REF!)</f>
        <v>0</v>
      </c>
      <c r="AV357" s="23">
        <f>CHOOSE(UserInterface!$C$22,#REF!,#REF!,#REF!,#REF!,#REF!,Scotland!AV357,Southern!AV357,#REF!)</f>
        <v>0</v>
      </c>
      <c r="AW357" s="23">
        <f>CHOOSE(UserInterface!$C$22,#REF!,#REF!,#REF!,#REF!,#REF!,Scotland!AW357,Southern!AW357,#REF!)</f>
        <v>0</v>
      </c>
      <c r="AX357" s="23">
        <f>CHOOSE(UserInterface!$C$22,#REF!,#REF!,#REF!,#REF!,#REF!,Scotland!AX357,Southern!AX357,#REF!)</f>
        <v>0</v>
      </c>
      <c r="AY357" s="194">
        <f>CHOOSE(UserInterface!$C$22,#REF!,#REF!,#REF!,#REF!,#REF!,Scotland!AY357,Southern!AY357,#REF!)</f>
        <v>0</v>
      </c>
      <c r="BA357" s="34" t="str">
        <f t="shared" ca="1" si="149"/>
        <v>LicenseeSelect</v>
      </c>
      <c r="BB357" s="34" t="str">
        <f t="shared" si="150"/>
        <v>Fixed Inputs</v>
      </c>
      <c r="BC357" s="34" t="str">
        <f t="shared" si="157"/>
        <v>Variant allowances</v>
      </c>
      <c r="BD357" s="34" t="str">
        <f t="shared" si="152"/>
        <v>Totex variant allowances allocation percentages</v>
      </c>
    </row>
    <row r="358" spans="5:56" x14ac:dyDescent="0.35">
      <c r="E358" s="193" t="str" cm="1">
        <f t="array" ref="E358">INDEX($E$99:$E$202,INT((ROW()-ROW($E$205))/5)+1)</f>
        <v>Re-opener_Digitalisation re-opener</v>
      </c>
      <c r="G358" s="33" t="s">
        <v>109</v>
      </c>
      <c r="H358" s="33" t="s">
        <v>171</v>
      </c>
      <c r="AT358" s="108"/>
      <c r="AU358" s="140">
        <f>CHOOSE(UserInterface!$C$22,#REF!,#REF!,#REF!,#REF!,#REF!,Scotland!AU358,Southern!AU358,#REF!)</f>
        <v>0</v>
      </c>
      <c r="AV358" s="23">
        <f>CHOOSE(UserInterface!$C$22,#REF!,#REF!,#REF!,#REF!,#REF!,Scotland!AV358,Southern!AV358,#REF!)</f>
        <v>0</v>
      </c>
      <c r="AW358" s="23">
        <f>CHOOSE(UserInterface!$C$22,#REF!,#REF!,#REF!,#REF!,#REF!,Scotland!AW358,Southern!AW358,#REF!)</f>
        <v>0</v>
      </c>
      <c r="AX358" s="23">
        <f>CHOOSE(UserInterface!$C$22,#REF!,#REF!,#REF!,#REF!,#REF!,Scotland!AX358,Southern!AX358,#REF!)</f>
        <v>0</v>
      </c>
      <c r="AY358" s="194">
        <f>CHOOSE(UserInterface!$C$22,#REF!,#REF!,#REF!,#REF!,#REF!,Scotland!AY358,Southern!AY358,#REF!)</f>
        <v>0</v>
      </c>
      <c r="BA358" s="34" t="str">
        <f t="shared" ca="1" si="149"/>
        <v>LicenseeSelect</v>
      </c>
      <c r="BB358" s="34" t="str">
        <f t="shared" si="150"/>
        <v>Fixed Inputs</v>
      </c>
      <c r="BC358" s="34" t="str">
        <f t="shared" si="157"/>
        <v>Variant allowances</v>
      </c>
      <c r="BD358" s="34" t="str">
        <f t="shared" si="152"/>
        <v>Totex variant allowances allocation percentages</v>
      </c>
    </row>
    <row r="359" spans="5:56" x14ac:dyDescent="0.35">
      <c r="E359" s="195" t="str" cm="1">
        <f t="array" ref="E359">INDEX($E$99:$E$202,INT((ROW()-ROW($E$205))/5)+1)</f>
        <v>Re-opener_Digitalisation re-opener</v>
      </c>
      <c r="F359" s="196"/>
      <c r="G359" s="196" t="s">
        <v>109</v>
      </c>
      <c r="H359" s="196" t="s">
        <v>172</v>
      </c>
      <c r="I359" s="196"/>
      <c r="J359" s="196"/>
      <c r="K359" s="196"/>
      <c r="L359" s="196"/>
      <c r="M359" s="196"/>
      <c r="N359" s="196"/>
      <c r="O359" s="196"/>
      <c r="P359" s="196"/>
      <c r="Q359" s="196"/>
      <c r="R359" s="196"/>
      <c r="S359" s="196"/>
      <c r="T359" s="196"/>
      <c r="U359" s="196"/>
      <c r="V359" s="196"/>
      <c r="W359" s="196"/>
      <c r="X359" s="196"/>
      <c r="Y359" s="196"/>
      <c r="Z359" s="196"/>
      <c r="AA359" s="196"/>
      <c r="AB359" s="196"/>
      <c r="AC359" s="196"/>
      <c r="AD359" s="196"/>
      <c r="AE359" s="196"/>
      <c r="AF359" s="196"/>
      <c r="AG359" s="196"/>
      <c r="AH359" s="196"/>
      <c r="AI359" s="196"/>
      <c r="AJ359" s="196"/>
      <c r="AK359" s="196"/>
      <c r="AL359" s="196"/>
      <c r="AM359" s="196"/>
      <c r="AN359" s="196"/>
      <c r="AO359" s="196"/>
      <c r="AP359" s="196"/>
      <c r="AQ359" s="196"/>
      <c r="AR359" s="196"/>
      <c r="AS359" s="196"/>
      <c r="AT359" s="197"/>
      <c r="AU359" s="198">
        <f>CHOOSE(UserInterface!$C$22,#REF!,#REF!,#REF!,#REF!,#REF!,Scotland!AU359,Southern!AU359,#REF!)</f>
        <v>0</v>
      </c>
      <c r="AV359" s="199">
        <f>CHOOSE(UserInterface!$C$22,#REF!,#REF!,#REF!,#REF!,#REF!,Scotland!AV359,Southern!AV359,#REF!)</f>
        <v>0</v>
      </c>
      <c r="AW359" s="199">
        <f>CHOOSE(UserInterface!$C$22,#REF!,#REF!,#REF!,#REF!,#REF!,Scotland!AW359,Southern!AW359,#REF!)</f>
        <v>0</v>
      </c>
      <c r="AX359" s="199">
        <f>CHOOSE(UserInterface!$C$22,#REF!,#REF!,#REF!,#REF!,#REF!,Scotland!AX359,Southern!AX359,#REF!)</f>
        <v>0</v>
      </c>
      <c r="AY359" s="200">
        <f>CHOOSE(UserInterface!$C$22,#REF!,#REF!,#REF!,#REF!,#REF!,Scotland!AY359,Southern!AY359,#REF!)</f>
        <v>0</v>
      </c>
      <c r="BA359" s="34" t="str">
        <f t="shared" ca="1" si="149"/>
        <v>LicenseeSelect</v>
      </c>
      <c r="BB359" s="34" t="str">
        <f t="shared" si="150"/>
        <v>Fixed Inputs</v>
      </c>
      <c r="BC359" s="34" t="str">
        <f t="shared" si="157"/>
        <v>Variant allowances</v>
      </c>
      <c r="BD359" s="34" t="str">
        <f t="shared" si="152"/>
        <v>Totex variant allowances allocation percentages</v>
      </c>
    </row>
    <row r="360" spans="5:56" x14ac:dyDescent="0.35">
      <c r="E360" s="187" t="str" cm="1">
        <f t="array" ref="E360">INDEX($E$99:$E$202,INT((ROW()-ROW($E$205))/5)+1)</f>
        <v>Re-opener_Diversions and Loss of Development Claims Re-opener</v>
      </c>
      <c r="F360" s="188"/>
      <c r="G360" s="188" t="s">
        <v>109</v>
      </c>
      <c r="H360" s="188" t="s">
        <v>168</v>
      </c>
      <c r="I360" s="188"/>
      <c r="J360" s="188"/>
      <c r="K360" s="188"/>
      <c r="L360" s="188"/>
      <c r="M360" s="188"/>
      <c r="N360" s="188"/>
      <c r="O360" s="188"/>
      <c r="P360" s="188"/>
      <c r="Q360" s="188"/>
      <c r="R360" s="188"/>
      <c r="S360" s="188"/>
      <c r="T360" s="188"/>
      <c r="U360" s="188"/>
      <c r="V360" s="188"/>
      <c r="W360" s="188"/>
      <c r="X360" s="188"/>
      <c r="Y360" s="188"/>
      <c r="Z360" s="188"/>
      <c r="AA360" s="188"/>
      <c r="AB360" s="188"/>
      <c r="AC360" s="188"/>
      <c r="AD360" s="188"/>
      <c r="AE360" s="188"/>
      <c r="AF360" s="188"/>
      <c r="AG360" s="188"/>
      <c r="AH360" s="188"/>
      <c r="AI360" s="188"/>
      <c r="AJ360" s="188"/>
      <c r="AK360" s="188"/>
      <c r="AL360" s="188"/>
      <c r="AM360" s="188"/>
      <c r="AN360" s="188"/>
      <c r="AO360" s="188"/>
      <c r="AP360" s="188"/>
      <c r="AQ360" s="188"/>
      <c r="AR360" s="188"/>
      <c r="AS360" s="188"/>
      <c r="AT360" s="189"/>
      <c r="AU360" s="190">
        <f>CHOOSE(UserInterface!$C$22,#REF!,#REF!,#REF!,#REF!,#REF!,Scotland!AU360,Southern!AU360,#REF!)</f>
        <v>0</v>
      </c>
      <c r="AV360" s="191">
        <f>CHOOSE(UserInterface!$C$22,#REF!,#REF!,#REF!,#REF!,#REF!,Scotland!AV360,Southern!AV360,#REF!)</f>
        <v>0</v>
      </c>
      <c r="AW360" s="191">
        <f>CHOOSE(UserInterface!$C$22,#REF!,#REF!,#REF!,#REF!,#REF!,Scotland!AW360,Southern!AW360,#REF!)</f>
        <v>0</v>
      </c>
      <c r="AX360" s="191">
        <f>CHOOSE(UserInterface!$C$22,#REF!,#REF!,#REF!,#REF!,#REF!,Scotland!AX360,Southern!AX360,#REF!)</f>
        <v>0</v>
      </c>
      <c r="AY360" s="192">
        <f>CHOOSE(UserInterface!$C$22,#REF!,#REF!,#REF!,#REF!,#REF!,Scotland!AY360,Southern!AY360,#REF!)</f>
        <v>0</v>
      </c>
      <c r="BA360" s="34" t="str">
        <f t="shared" ca="1" si="149"/>
        <v>LicenseeSelect</v>
      </c>
      <c r="BB360" s="34" t="str">
        <f t="shared" si="150"/>
        <v>Fixed Inputs</v>
      </c>
      <c r="BC360" s="34" t="str">
        <f t="shared" si="157"/>
        <v>Variant allowances</v>
      </c>
      <c r="BD360" s="34" t="str">
        <f t="shared" si="152"/>
        <v>Totex variant allowances allocation percentages</v>
      </c>
    </row>
    <row r="361" spans="5:56" x14ac:dyDescent="0.35">
      <c r="E361" s="193" t="str" cm="1">
        <f t="array" ref="E361">INDEX($E$99:$E$202,INT((ROW()-ROW($E$205))/5)+1)</f>
        <v>Re-opener_Diversions and Loss of Development Claims Re-opener</v>
      </c>
      <c r="G361" s="33" t="s">
        <v>109</v>
      </c>
      <c r="H361" s="33" t="s">
        <v>169</v>
      </c>
      <c r="AT361" s="108"/>
      <c r="AU361" s="140">
        <f>CHOOSE(UserInterface!$C$22,#REF!,#REF!,#REF!,#REF!,#REF!,Scotland!AU361,Southern!AU361,#REF!)</f>
        <v>1</v>
      </c>
      <c r="AV361" s="23">
        <f>CHOOSE(UserInterface!$C$22,#REF!,#REF!,#REF!,#REF!,#REF!,Scotland!AV361,Southern!AV361,#REF!)</f>
        <v>1</v>
      </c>
      <c r="AW361" s="23">
        <f>CHOOSE(UserInterface!$C$22,#REF!,#REF!,#REF!,#REF!,#REF!,Scotland!AW361,Southern!AW361,#REF!)</f>
        <v>1</v>
      </c>
      <c r="AX361" s="23">
        <f>CHOOSE(UserInterface!$C$22,#REF!,#REF!,#REF!,#REF!,#REF!,Scotland!AX361,Southern!AX361,#REF!)</f>
        <v>1</v>
      </c>
      <c r="AY361" s="194">
        <f>CHOOSE(UserInterface!$C$22,#REF!,#REF!,#REF!,#REF!,#REF!,Scotland!AY361,Southern!AY361,#REF!)</f>
        <v>1</v>
      </c>
      <c r="BA361" s="34" t="str">
        <f t="shared" ca="1" si="149"/>
        <v>LicenseeSelect</v>
      </c>
      <c r="BB361" s="34" t="str">
        <f t="shared" si="150"/>
        <v>Fixed Inputs</v>
      </c>
      <c r="BC361" s="34" t="str">
        <f t="shared" si="157"/>
        <v>Variant allowances</v>
      </c>
      <c r="BD361" s="34" t="str">
        <f t="shared" si="152"/>
        <v>Totex variant allowances allocation percentages</v>
      </c>
    </row>
    <row r="362" spans="5:56" x14ac:dyDescent="0.35">
      <c r="E362" s="193" t="str" cm="1">
        <f t="array" ref="E362">INDEX($E$99:$E$202,INT((ROW()-ROW($E$205))/5)+1)</f>
        <v>Re-opener_Diversions and Loss of Development Claims Re-opener</v>
      </c>
      <c r="G362" s="33" t="s">
        <v>109</v>
      </c>
      <c r="H362" s="33" t="s">
        <v>170</v>
      </c>
      <c r="AT362" s="108"/>
      <c r="AU362" s="140">
        <f>CHOOSE(UserInterface!$C$22,#REF!,#REF!,#REF!,#REF!,#REF!,Scotland!AU362,Southern!AU362,#REF!)</f>
        <v>0</v>
      </c>
      <c r="AV362" s="23">
        <f>CHOOSE(UserInterface!$C$22,#REF!,#REF!,#REF!,#REF!,#REF!,Scotland!AV362,Southern!AV362,#REF!)</f>
        <v>0</v>
      </c>
      <c r="AW362" s="23">
        <f>CHOOSE(UserInterface!$C$22,#REF!,#REF!,#REF!,#REF!,#REF!,Scotland!AW362,Southern!AW362,#REF!)</f>
        <v>0</v>
      </c>
      <c r="AX362" s="23">
        <f>CHOOSE(UserInterface!$C$22,#REF!,#REF!,#REF!,#REF!,#REF!,Scotland!AX362,Southern!AX362,#REF!)</f>
        <v>0</v>
      </c>
      <c r="AY362" s="194">
        <f>CHOOSE(UserInterface!$C$22,#REF!,#REF!,#REF!,#REF!,#REF!,Scotland!AY362,Southern!AY362,#REF!)</f>
        <v>0</v>
      </c>
      <c r="BA362" s="34" t="str">
        <f t="shared" ca="1" si="149"/>
        <v>LicenseeSelect</v>
      </c>
      <c r="BB362" s="34" t="str">
        <f t="shared" si="150"/>
        <v>Fixed Inputs</v>
      </c>
      <c r="BC362" s="34" t="str">
        <f t="shared" si="157"/>
        <v>Variant allowances</v>
      </c>
      <c r="BD362" s="34" t="str">
        <f t="shared" si="152"/>
        <v>Totex variant allowances allocation percentages</v>
      </c>
    </row>
    <row r="363" spans="5:56" x14ac:dyDescent="0.35">
      <c r="E363" s="193" t="str" cm="1">
        <f t="array" ref="E363">INDEX($E$99:$E$202,INT((ROW()-ROW($E$205))/5)+1)</f>
        <v>Re-opener_Diversions and Loss of Development Claims Re-opener</v>
      </c>
      <c r="G363" s="33" t="s">
        <v>109</v>
      </c>
      <c r="H363" s="33" t="s">
        <v>171</v>
      </c>
      <c r="AT363" s="108"/>
      <c r="AU363" s="140">
        <f>CHOOSE(UserInterface!$C$22,#REF!,#REF!,#REF!,#REF!,#REF!,Scotland!AU363,Southern!AU363,#REF!)</f>
        <v>0</v>
      </c>
      <c r="AV363" s="23">
        <f>CHOOSE(UserInterface!$C$22,#REF!,#REF!,#REF!,#REF!,#REF!,Scotland!AV363,Southern!AV363,#REF!)</f>
        <v>0</v>
      </c>
      <c r="AW363" s="23">
        <f>CHOOSE(UserInterface!$C$22,#REF!,#REF!,#REF!,#REF!,#REF!,Scotland!AW363,Southern!AW363,#REF!)</f>
        <v>0</v>
      </c>
      <c r="AX363" s="23">
        <f>CHOOSE(UserInterface!$C$22,#REF!,#REF!,#REF!,#REF!,#REF!,Scotland!AX363,Southern!AX363,#REF!)</f>
        <v>0</v>
      </c>
      <c r="AY363" s="194">
        <f>CHOOSE(UserInterface!$C$22,#REF!,#REF!,#REF!,#REF!,#REF!,Scotland!AY363,Southern!AY363,#REF!)</f>
        <v>0</v>
      </c>
      <c r="BA363" s="34" t="str">
        <f t="shared" ca="1" si="149"/>
        <v>LicenseeSelect</v>
      </c>
      <c r="BB363" s="34" t="str">
        <f t="shared" si="150"/>
        <v>Fixed Inputs</v>
      </c>
      <c r="BC363" s="34" t="str">
        <f t="shared" si="157"/>
        <v>Variant allowances</v>
      </c>
      <c r="BD363" s="34" t="str">
        <f t="shared" si="152"/>
        <v>Totex variant allowances allocation percentages</v>
      </c>
    </row>
    <row r="364" spans="5:56" x14ac:dyDescent="0.35">
      <c r="E364" s="195" t="str" cm="1">
        <f t="array" ref="E364">INDEX($E$99:$E$202,INT((ROW()-ROW($E$205))/5)+1)</f>
        <v>Re-opener_Diversions and Loss of Development Claims Re-opener</v>
      </c>
      <c r="F364" s="196"/>
      <c r="G364" s="196" t="s">
        <v>109</v>
      </c>
      <c r="H364" s="196" t="s">
        <v>172</v>
      </c>
      <c r="I364" s="196"/>
      <c r="J364" s="196"/>
      <c r="K364" s="196"/>
      <c r="L364" s="196"/>
      <c r="M364" s="196"/>
      <c r="N364" s="196"/>
      <c r="O364" s="196"/>
      <c r="P364" s="196"/>
      <c r="Q364" s="196"/>
      <c r="R364" s="196"/>
      <c r="S364" s="196"/>
      <c r="T364" s="196"/>
      <c r="U364" s="196"/>
      <c r="V364" s="196"/>
      <c r="W364" s="196"/>
      <c r="X364" s="196"/>
      <c r="Y364" s="196"/>
      <c r="Z364" s="196"/>
      <c r="AA364" s="196"/>
      <c r="AB364" s="196"/>
      <c r="AC364" s="196"/>
      <c r="AD364" s="196"/>
      <c r="AE364" s="196"/>
      <c r="AF364" s="196"/>
      <c r="AG364" s="196"/>
      <c r="AH364" s="196"/>
      <c r="AI364" s="196"/>
      <c r="AJ364" s="196"/>
      <c r="AK364" s="196"/>
      <c r="AL364" s="196"/>
      <c r="AM364" s="196"/>
      <c r="AN364" s="196"/>
      <c r="AO364" s="196"/>
      <c r="AP364" s="196"/>
      <c r="AQ364" s="196"/>
      <c r="AR364" s="196"/>
      <c r="AS364" s="196"/>
      <c r="AT364" s="197"/>
      <c r="AU364" s="198">
        <f>CHOOSE(UserInterface!$C$22,#REF!,#REF!,#REF!,#REF!,#REF!,Scotland!AU364,Southern!AU364,#REF!)</f>
        <v>0</v>
      </c>
      <c r="AV364" s="199">
        <f>CHOOSE(UserInterface!$C$22,#REF!,#REF!,#REF!,#REF!,#REF!,Scotland!AV364,Southern!AV364,#REF!)</f>
        <v>0</v>
      </c>
      <c r="AW364" s="199">
        <f>CHOOSE(UserInterface!$C$22,#REF!,#REF!,#REF!,#REF!,#REF!,Scotland!AW364,Southern!AW364,#REF!)</f>
        <v>0</v>
      </c>
      <c r="AX364" s="199">
        <f>CHOOSE(UserInterface!$C$22,#REF!,#REF!,#REF!,#REF!,#REF!,Scotland!AX364,Southern!AX364,#REF!)</f>
        <v>0</v>
      </c>
      <c r="AY364" s="200">
        <f>CHOOSE(UserInterface!$C$22,#REF!,#REF!,#REF!,#REF!,#REF!,Scotland!AY364,Southern!AY364,#REF!)</f>
        <v>0</v>
      </c>
      <c r="BA364" s="34" t="str">
        <f t="shared" ca="1" si="149"/>
        <v>LicenseeSelect</v>
      </c>
      <c r="BB364" s="34" t="str">
        <f t="shared" si="150"/>
        <v>Fixed Inputs</v>
      </c>
      <c r="BC364" s="34" t="str">
        <f t="shared" si="157"/>
        <v>Variant allowances</v>
      </c>
      <c r="BD364" s="34" t="str">
        <f t="shared" si="152"/>
        <v>Totex variant allowances allocation percentages</v>
      </c>
    </row>
    <row r="365" spans="5:56" x14ac:dyDescent="0.35">
      <c r="E365" s="187" t="str" cm="1">
        <f t="array" ref="E365">INDEX($E$99:$E$202,INT((ROW()-ROW($E$205))/5)+1)</f>
        <v>Re-opener_Heat Policy re-opener</v>
      </c>
      <c r="F365" s="188"/>
      <c r="G365" s="188" t="s">
        <v>109</v>
      </c>
      <c r="H365" s="188" t="s">
        <v>168</v>
      </c>
      <c r="I365" s="188"/>
      <c r="J365" s="188"/>
      <c r="K365" s="188"/>
      <c r="L365" s="188"/>
      <c r="M365" s="188"/>
      <c r="N365" s="188"/>
      <c r="O365" s="188"/>
      <c r="P365" s="188"/>
      <c r="Q365" s="188"/>
      <c r="R365" s="188"/>
      <c r="S365" s="188"/>
      <c r="T365" s="188"/>
      <c r="U365" s="188"/>
      <c r="V365" s="188"/>
      <c r="W365" s="188"/>
      <c r="X365" s="188"/>
      <c r="Y365" s="188"/>
      <c r="Z365" s="188"/>
      <c r="AA365" s="188"/>
      <c r="AB365" s="188"/>
      <c r="AC365" s="188"/>
      <c r="AD365" s="188"/>
      <c r="AE365" s="188"/>
      <c r="AF365" s="188"/>
      <c r="AG365" s="188"/>
      <c r="AH365" s="188"/>
      <c r="AI365" s="188"/>
      <c r="AJ365" s="188"/>
      <c r="AK365" s="188"/>
      <c r="AL365" s="188"/>
      <c r="AM365" s="188"/>
      <c r="AN365" s="188"/>
      <c r="AO365" s="188"/>
      <c r="AP365" s="188"/>
      <c r="AQ365" s="188"/>
      <c r="AR365" s="188"/>
      <c r="AS365" s="188"/>
      <c r="AT365" s="189"/>
      <c r="AU365" s="190">
        <f>CHOOSE(UserInterface!$C$22,#REF!,#REF!,#REF!,#REF!,#REF!,Scotland!AU365,Southern!AU365,#REF!)</f>
        <v>0</v>
      </c>
      <c r="AV365" s="191">
        <f>CHOOSE(UserInterface!$C$22,#REF!,#REF!,#REF!,#REF!,#REF!,Scotland!AV365,Southern!AV365,#REF!)</f>
        <v>0</v>
      </c>
      <c r="AW365" s="191">
        <f>CHOOSE(UserInterface!$C$22,#REF!,#REF!,#REF!,#REF!,#REF!,Scotland!AW365,Southern!AW365,#REF!)</f>
        <v>0</v>
      </c>
      <c r="AX365" s="191">
        <f>CHOOSE(UserInterface!$C$22,#REF!,#REF!,#REF!,#REF!,#REF!,Scotland!AX365,Southern!AX365,#REF!)</f>
        <v>0</v>
      </c>
      <c r="AY365" s="192">
        <f>CHOOSE(UserInterface!$C$22,#REF!,#REF!,#REF!,#REF!,#REF!,Scotland!AY365,Southern!AY365,#REF!)</f>
        <v>0</v>
      </c>
      <c r="BA365" s="34" t="str">
        <f t="shared" ca="1" si="149"/>
        <v>LicenseeSelect</v>
      </c>
      <c r="BB365" s="34" t="str">
        <f t="shared" si="150"/>
        <v>Fixed Inputs</v>
      </c>
      <c r="BC365" s="34" t="str">
        <f t="shared" si="157"/>
        <v>Variant allowances</v>
      </c>
      <c r="BD365" s="34" t="str">
        <f t="shared" si="152"/>
        <v>Totex variant allowances allocation percentages</v>
      </c>
    </row>
    <row r="366" spans="5:56" x14ac:dyDescent="0.35">
      <c r="E366" s="193" t="str" cm="1">
        <f t="array" ref="E366">INDEX($E$99:$E$202,INT((ROW()-ROW($E$205))/5)+1)</f>
        <v>Re-opener_Heat Policy re-opener</v>
      </c>
      <c r="G366" s="33" t="s">
        <v>109</v>
      </c>
      <c r="H366" s="33" t="s">
        <v>169</v>
      </c>
      <c r="AT366" s="108"/>
      <c r="AU366" s="140">
        <f>CHOOSE(UserInterface!$C$22,#REF!,#REF!,#REF!,#REF!,#REF!,Scotland!AU366,Southern!AU366,#REF!)</f>
        <v>0</v>
      </c>
      <c r="AV366" s="23">
        <f>CHOOSE(UserInterface!$C$22,#REF!,#REF!,#REF!,#REF!,#REF!,Scotland!AV366,Southern!AV366,#REF!)</f>
        <v>0</v>
      </c>
      <c r="AW366" s="23">
        <f>CHOOSE(UserInterface!$C$22,#REF!,#REF!,#REF!,#REF!,#REF!,Scotland!AW366,Southern!AW366,#REF!)</f>
        <v>0</v>
      </c>
      <c r="AX366" s="23">
        <f>CHOOSE(UserInterface!$C$22,#REF!,#REF!,#REF!,#REF!,#REF!,Scotland!AX366,Southern!AX366,#REF!)</f>
        <v>0</v>
      </c>
      <c r="AY366" s="194">
        <f>CHOOSE(UserInterface!$C$22,#REF!,#REF!,#REF!,#REF!,#REF!,Scotland!AY366,Southern!AY366,#REF!)</f>
        <v>0</v>
      </c>
      <c r="BA366" s="34" t="str">
        <f t="shared" ca="1" si="149"/>
        <v>LicenseeSelect</v>
      </c>
      <c r="BB366" s="34" t="str">
        <f t="shared" si="150"/>
        <v>Fixed Inputs</v>
      </c>
      <c r="BC366" s="34" t="str">
        <f t="shared" si="157"/>
        <v>Variant allowances</v>
      </c>
      <c r="BD366" s="34" t="str">
        <f t="shared" si="152"/>
        <v>Totex variant allowances allocation percentages</v>
      </c>
    </row>
    <row r="367" spans="5:56" x14ac:dyDescent="0.35">
      <c r="E367" s="193" t="str" cm="1">
        <f t="array" ref="E367">INDEX($E$99:$E$202,INT((ROW()-ROW($E$205))/5)+1)</f>
        <v>Re-opener_Heat Policy re-opener</v>
      </c>
      <c r="G367" s="33" t="s">
        <v>109</v>
      </c>
      <c r="H367" s="33" t="s">
        <v>170</v>
      </c>
      <c r="AT367" s="108"/>
      <c r="AU367" s="140">
        <f>CHOOSE(UserInterface!$C$22,#REF!,#REF!,#REF!,#REF!,#REF!,Scotland!AU367,Southern!AU367,#REF!)</f>
        <v>0</v>
      </c>
      <c r="AV367" s="23">
        <f>CHOOSE(UserInterface!$C$22,#REF!,#REF!,#REF!,#REF!,#REF!,Scotland!AV367,Southern!AV367,#REF!)</f>
        <v>0</v>
      </c>
      <c r="AW367" s="23">
        <f>CHOOSE(UserInterface!$C$22,#REF!,#REF!,#REF!,#REF!,#REF!,Scotland!AW367,Southern!AW367,#REF!)</f>
        <v>0</v>
      </c>
      <c r="AX367" s="23">
        <f>CHOOSE(UserInterface!$C$22,#REF!,#REF!,#REF!,#REF!,#REF!,Scotland!AX367,Southern!AX367,#REF!)</f>
        <v>0</v>
      </c>
      <c r="AY367" s="194">
        <f>CHOOSE(UserInterface!$C$22,#REF!,#REF!,#REF!,#REF!,#REF!,Scotland!AY367,Southern!AY367,#REF!)</f>
        <v>0</v>
      </c>
      <c r="BA367" s="34" t="str">
        <f t="shared" ca="1" si="149"/>
        <v>LicenseeSelect</v>
      </c>
      <c r="BB367" s="34" t="str">
        <f t="shared" si="150"/>
        <v>Fixed Inputs</v>
      </c>
      <c r="BC367" s="34" t="str">
        <f t="shared" si="157"/>
        <v>Variant allowances</v>
      </c>
      <c r="BD367" s="34" t="str">
        <f t="shared" si="152"/>
        <v>Totex variant allowances allocation percentages</v>
      </c>
    </row>
    <row r="368" spans="5:56" x14ac:dyDescent="0.35">
      <c r="E368" s="193" t="str" cm="1">
        <f t="array" ref="E368">INDEX($E$99:$E$202,INT((ROW()-ROW($E$205))/5)+1)</f>
        <v>Re-opener_Heat Policy re-opener</v>
      </c>
      <c r="G368" s="33" t="s">
        <v>109</v>
      </c>
      <c r="H368" s="33" t="s">
        <v>171</v>
      </c>
      <c r="AT368" s="108"/>
      <c r="AU368" s="140">
        <f>CHOOSE(UserInterface!$C$22,#REF!,#REF!,#REF!,#REF!,#REF!,Scotland!AU368,Southern!AU368,#REF!)</f>
        <v>0</v>
      </c>
      <c r="AV368" s="23">
        <f>CHOOSE(UserInterface!$C$22,#REF!,#REF!,#REF!,#REF!,#REF!,Scotland!AV368,Southern!AV368,#REF!)</f>
        <v>0</v>
      </c>
      <c r="AW368" s="23">
        <f>CHOOSE(UserInterface!$C$22,#REF!,#REF!,#REF!,#REF!,#REF!,Scotland!AW368,Southern!AW368,#REF!)</f>
        <v>0</v>
      </c>
      <c r="AX368" s="23">
        <f>CHOOSE(UserInterface!$C$22,#REF!,#REF!,#REF!,#REF!,#REF!,Scotland!AX368,Southern!AX368,#REF!)</f>
        <v>0</v>
      </c>
      <c r="AY368" s="194">
        <f>CHOOSE(UserInterface!$C$22,#REF!,#REF!,#REF!,#REF!,#REF!,Scotland!AY368,Southern!AY368,#REF!)</f>
        <v>0</v>
      </c>
      <c r="BA368" s="34" t="str">
        <f t="shared" ca="1" si="149"/>
        <v>LicenseeSelect</v>
      </c>
      <c r="BB368" s="34" t="str">
        <f t="shared" si="150"/>
        <v>Fixed Inputs</v>
      </c>
      <c r="BC368" s="34" t="str">
        <f t="shared" si="157"/>
        <v>Variant allowances</v>
      </c>
      <c r="BD368" s="34" t="str">
        <f t="shared" si="152"/>
        <v>Totex variant allowances allocation percentages</v>
      </c>
    </row>
    <row r="369" spans="5:56" x14ac:dyDescent="0.35">
      <c r="E369" s="195" t="str" cm="1">
        <f t="array" ref="E369">INDEX($E$99:$E$202,INT((ROW()-ROW($E$205))/5)+1)</f>
        <v>Re-opener_Heat Policy re-opener</v>
      </c>
      <c r="F369" s="196"/>
      <c r="G369" s="196" t="s">
        <v>109</v>
      </c>
      <c r="H369" s="196" t="s">
        <v>172</v>
      </c>
      <c r="I369" s="196"/>
      <c r="J369" s="196"/>
      <c r="K369" s="196"/>
      <c r="L369" s="196"/>
      <c r="M369" s="196"/>
      <c r="N369" s="196"/>
      <c r="O369" s="196"/>
      <c r="P369" s="196"/>
      <c r="Q369" s="196"/>
      <c r="R369" s="196"/>
      <c r="S369" s="196"/>
      <c r="T369" s="196"/>
      <c r="U369" s="196"/>
      <c r="V369" s="196"/>
      <c r="W369" s="196"/>
      <c r="X369" s="196"/>
      <c r="Y369" s="196"/>
      <c r="Z369" s="196"/>
      <c r="AA369" s="196"/>
      <c r="AB369" s="196"/>
      <c r="AC369" s="196"/>
      <c r="AD369" s="196"/>
      <c r="AE369" s="196"/>
      <c r="AF369" s="196"/>
      <c r="AG369" s="196"/>
      <c r="AH369" s="196"/>
      <c r="AI369" s="196"/>
      <c r="AJ369" s="196"/>
      <c r="AK369" s="196"/>
      <c r="AL369" s="196"/>
      <c r="AM369" s="196"/>
      <c r="AN369" s="196"/>
      <c r="AO369" s="196"/>
      <c r="AP369" s="196"/>
      <c r="AQ369" s="196"/>
      <c r="AR369" s="196"/>
      <c r="AS369" s="196"/>
      <c r="AT369" s="197"/>
      <c r="AU369" s="198">
        <f>CHOOSE(UserInterface!$C$22,#REF!,#REF!,#REF!,#REF!,#REF!,Scotland!AU369,Southern!AU369,#REF!)</f>
        <v>0</v>
      </c>
      <c r="AV369" s="199">
        <f>CHOOSE(UserInterface!$C$22,#REF!,#REF!,#REF!,#REF!,#REF!,Scotland!AV369,Southern!AV369,#REF!)</f>
        <v>0</v>
      </c>
      <c r="AW369" s="199">
        <f>CHOOSE(UserInterface!$C$22,#REF!,#REF!,#REF!,#REF!,#REF!,Scotland!AW369,Southern!AW369,#REF!)</f>
        <v>0</v>
      </c>
      <c r="AX369" s="199">
        <f>CHOOSE(UserInterface!$C$22,#REF!,#REF!,#REF!,#REF!,#REF!,Scotland!AX369,Southern!AX369,#REF!)</f>
        <v>0</v>
      </c>
      <c r="AY369" s="200">
        <f>CHOOSE(UserInterface!$C$22,#REF!,#REF!,#REF!,#REF!,#REF!,Scotland!AY369,Southern!AY369,#REF!)</f>
        <v>0</v>
      </c>
      <c r="BA369" s="34" t="str">
        <f t="shared" ca="1" si="149"/>
        <v>LicenseeSelect</v>
      </c>
      <c r="BB369" s="34" t="str">
        <f t="shared" si="150"/>
        <v>Fixed Inputs</v>
      </c>
      <c r="BC369" s="34" t="str">
        <f t="shared" si="157"/>
        <v>Variant allowances</v>
      </c>
      <c r="BD369" s="34" t="str">
        <f t="shared" si="152"/>
        <v>Totex variant allowances allocation percentages</v>
      </c>
    </row>
    <row r="370" spans="5:56" x14ac:dyDescent="0.35">
      <c r="E370" s="187" t="str" cm="1">
        <f t="array" ref="E370">INDEX($E$99:$E$202,INT((ROW()-ROW($E$205))/5)+1)</f>
        <v>Re-opener_HSE Policy Re-opener</v>
      </c>
      <c r="F370" s="188"/>
      <c r="G370" s="188" t="s">
        <v>109</v>
      </c>
      <c r="H370" s="188" t="s">
        <v>168</v>
      </c>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189"/>
      <c r="AU370" s="190">
        <f>CHOOSE(UserInterface!$C$22,#REF!,#REF!,#REF!,#REF!,#REF!,Scotland!AU370,Southern!AU370,#REF!)</f>
        <v>0</v>
      </c>
      <c r="AV370" s="191">
        <f>CHOOSE(UserInterface!$C$22,#REF!,#REF!,#REF!,#REF!,#REF!,Scotland!AV370,Southern!AV370,#REF!)</f>
        <v>0</v>
      </c>
      <c r="AW370" s="191">
        <f>CHOOSE(UserInterface!$C$22,#REF!,#REF!,#REF!,#REF!,#REF!,Scotland!AW370,Southern!AW370,#REF!)</f>
        <v>0</v>
      </c>
      <c r="AX370" s="191">
        <f>CHOOSE(UserInterface!$C$22,#REF!,#REF!,#REF!,#REF!,#REF!,Scotland!AX370,Southern!AX370,#REF!)</f>
        <v>0</v>
      </c>
      <c r="AY370" s="192">
        <f>CHOOSE(UserInterface!$C$22,#REF!,#REF!,#REF!,#REF!,#REF!,Scotland!AY370,Southern!AY370,#REF!)</f>
        <v>0</v>
      </c>
      <c r="BA370" s="34" t="str">
        <f t="shared" ca="1" si="149"/>
        <v>LicenseeSelect</v>
      </c>
      <c r="BB370" s="34" t="str">
        <f t="shared" si="150"/>
        <v>Fixed Inputs</v>
      </c>
      <c r="BC370" s="34" t="str">
        <f t="shared" si="157"/>
        <v>Variant allowances</v>
      </c>
      <c r="BD370" s="34" t="str">
        <f t="shared" si="152"/>
        <v>Totex variant allowances allocation percentages</v>
      </c>
    </row>
    <row r="371" spans="5:56" x14ac:dyDescent="0.35">
      <c r="E371" s="193" t="str" cm="1">
        <f t="array" ref="E371">INDEX($E$99:$E$202,INT((ROW()-ROW($E$205))/5)+1)</f>
        <v>Re-opener_HSE Policy Re-opener</v>
      </c>
      <c r="G371" s="33" t="s">
        <v>109</v>
      </c>
      <c r="H371" s="33" t="s">
        <v>169</v>
      </c>
      <c r="AT371" s="108"/>
      <c r="AU371" s="140">
        <f>CHOOSE(UserInterface!$C$22,#REF!,#REF!,#REF!,#REF!,#REF!,Scotland!AU371,Southern!AU371,#REF!)</f>
        <v>0</v>
      </c>
      <c r="AV371" s="23">
        <f>CHOOSE(UserInterface!$C$22,#REF!,#REF!,#REF!,#REF!,#REF!,Scotland!AV371,Southern!AV371,#REF!)</f>
        <v>0</v>
      </c>
      <c r="AW371" s="23">
        <f>CHOOSE(UserInterface!$C$22,#REF!,#REF!,#REF!,#REF!,#REF!,Scotland!AW371,Southern!AW371,#REF!)</f>
        <v>0</v>
      </c>
      <c r="AX371" s="23">
        <f>CHOOSE(UserInterface!$C$22,#REF!,#REF!,#REF!,#REF!,#REF!,Scotland!AX371,Southern!AX371,#REF!)</f>
        <v>0</v>
      </c>
      <c r="AY371" s="194">
        <f>CHOOSE(UserInterface!$C$22,#REF!,#REF!,#REF!,#REF!,#REF!,Scotland!AY371,Southern!AY371,#REF!)</f>
        <v>0</v>
      </c>
      <c r="BA371" s="34" t="str">
        <f t="shared" ca="1" si="149"/>
        <v>LicenseeSelect</v>
      </c>
      <c r="BB371" s="34" t="str">
        <f t="shared" si="150"/>
        <v>Fixed Inputs</v>
      </c>
      <c r="BC371" s="34" t="str">
        <f t="shared" si="157"/>
        <v>Variant allowances</v>
      </c>
      <c r="BD371" s="34" t="str">
        <f t="shared" si="152"/>
        <v>Totex variant allowances allocation percentages</v>
      </c>
    </row>
    <row r="372" spans="5:56" x14ac:dyDescent="0.35">
      <c r="E372" s="193" t="str" cm="1">
        <f t="array" ref="E372">INDEX($E$99:$E$202,INT((ROW()-ROW($E$205))/5)+1)</f>
        <v>Re-opener_HSE Policy Re-opener</v>
      </c>
      <c r="G372" s="33" t="s">
        <v>109</v>
      </c>
      <c r="H372" s="33" t="s">
        <v>170</v>
      </c>
      <c r="AT372" s="108"/>
      <c r="AU372" s="140">
        <f>CHOOSE(UserInterface!$C$22,#REF!,#REF!,#REF!,#REF!,#REF!,Scotland!AU372,Southern!AU372,#REF!)</f>
        <v>0</v>
      </c>
      <c r="AV372" s="23">
        <f>CHOOSE(UserInterface!$C$22,#REF!,#REF!,#REF!,#REF!,#REF!,Scotland!AV372,Southern!AV372,#REF!)</f>
        <v>0</v>
      </c>
      <c r="AW372" s="23">
        <f>CHOOSE(UserInterface!$C$22,#REF!,#REF!,#REF!,#REF!,#REF!,Scotland!AW372,Southern!AW372,#REF!)</f>
        <v>0</v>
      </c>
      <c r="AX372" s="23">
        <f>CHOOSE(UserInterface!$C$22,#REF!,#REF!,#REF!,#REF!,#REF!,Scotland!AX372,Southern!AX372,#REF!)</f>
        <v>0</v>
      </c>
      <c r="AY372" s="194">
        <f>CHOOSE(UserInterface!$C$22,#REF!,#REF!,#REF!,#REF!,#REF!,Scotland!AY372,Southern!AY372,#REF!)</f>
        <v>0</v>
      </c>
      <c r="BA372" s="34" t="str">
        <f t="shared" ca="1" si="149"/>
        <v>LicenseeSelect</v>
      </c>
      <c r="BB372" s="34" t="str">
        <f t="shared" si="150"/>
        <v>Fixed Inputs</v>
      </c>
      <c r="BC372" s="34" t="str">
        <f t="shared" si="157"/>
        <v>Variant allowances</v>
      </c>
      <c r="BD372" s="34" t="str">
        <f t="shared" si="152"/>
        <v>Totex variant allowances allocation percentages</v>
      </c>
    </row>
    <row r="373" spans="5:56" x14ac:dyDescent="0.35">
      <c r="E373" s="193" t="str" cm="1">
        <f t="array" ref="E373">INDEX($E$99:$E$202,INT((ROW()-ROW($E$205))/5)+1)</f>
        <v>Re-opener_HSE Policy Re-opener</v>
      </c>
      <c r="G373" s="33" t="s">
        <v>109</v>
      </c>
      <c r="H373" s="33" t="s">
        <v>171</v>
      </c>
      <c r="AT373" s="108"/>
      <c r="AU373" s="140">
        <f>CHOOSE(UserInterface!$C$22,#REF!,#REF!,#REF!,#REF!,#REF!,Scotland!AU373,Southern!AU373,#REF!)</f>
        <v>0</v>
      </c>
      <c r="AV373" s="23">
        <f>CHOOSE(UserInterface!$C$22,#REF!,#REF!,#REF!,#REF!,#REF!,Scotland!AV373,Southern!AV373,#REF!)</f>
        <v>0</v>
      </c>
      <c r="AW373" s="23">
        <f>CHOOSE(UserInterface!$C$22,#REF!,#REF!,#REF!,#REF!,#REF!,Scotland!AW373,Southern!AW373,#REF!)</f>
        <v>0</v>
      </c>
      <c r="AX373" s="23">
        <f>CHOOSE(UserInterface!$C$22,#REF!,#REF!,#REF!,#REF!,#REF!,Scotland!AX373,Southern!AX373,#REF!)</f>
        <v>0</v>
      </c>
      <c r="AY373" s="194">
        <f>CHOOSE(UserInterface!$C$22,#REF!,#REF!,#REF!,#REF!,#REF!,Scotland!AY373,Southern!AY373,#REF!)</f>
        <v>0</v>
      </c>
      <c r="BA373" s="34" t="str">
        <f t="shared" ca="1" si="149"/>
        <v>LicenseeSelect</v>
      </c>
      <c r="BB373" s="34" t="str">
        <f t="shared" si="150"/>
        <v>Fixed Inputs</v>
      </c>
      <c r="BC373" s="34" t="str">
        <f t="shared" si="157"/>
        <v>Variant allowances</v>
      </c>
      <c r="BD373" s="34" t="str">
        <f t="shared" si="152"/>
        <v>Totex variant allowances allocation percentages</v>
      </c>
    </row>
    <row r="374" spans="5:56" x14ac:dyDescent="0.35">
      <c r="E374" s="195" t="str" cm="1">
        <f t="array" ref="E374">INDEX($E$99:$E$202,INT((ROW()-ROW($E$205))/5)+1)</f>
        <v>Re-opener_HSE Policy Re-opener</v>
      </c>
      <c r="F374" s="196"/>
      <c r="G374" s="196" t="s">
        <v>109</v>
      </c>
      <c r="H374" s="196" t="s">
        <v>172</v>
      </c>
      <c r="I374" s="196"/>
      <c r="J374" s="196"/>
      <c r="K374" s="196"/>
      <c r="L374" s="196"/>
      <c r="M374" s="196"/>
      <c r="N374" s="196"/>
      <c r="O374" s="196"/>
      <c r="P374" s="196"/>
      <c r="Q374" s="196"/>
      <c r="R374" s="196"/>
      <c r="S374" s="196"/>
      <c r="T374" s="196"/>
      <c r="U374" s="196"/>
      <c r="V374" s="196"/>
      <c r="W374" s="196"/>
      <c r="X374" s="196"/>
      <c r="Y374" s="196"/>
      <c r="Z374" s="196"/>
      <c r="AA374" s="196"/>
      <c r="AB374" s="196"/>
      <c r="AC374" s="196"/>
      <c r="AD374" s="196"/>
      <c r="AE374" s="196"/>
      <c r="AF374" s="196"/>
      <c r="AG374" s="196"/>
      <c r="AH374" s="196"/>
      <c r="AI374" s="196"/>
      <c r="AJ374" s="196"/>
      <c r="AK374" s="196"/>
      <c r="AL374" s="196"/>
      <c r="AM374" s="196"/>
      <c r="AN374" s="196"/>
      <c r="AO374" s="196"/>
      <c r="AP374" s="196"/>
      <c r="AQ374" s="196"/>
      <c r="AR374" s="196"/>
      <c r="AS374" s="196"/>
      <c r="AT374" s="197"/>
      <c r="AU374" s="198">
        <f>CHOOSE(UserInterface!$C$22,#REF!,#REF!,#REF!,#REF!,#REF!,Scotland!AU374,Southern!AU374,#REF!)</f>
        <v>0</v>
      </c>
      <c r="AV374" s="199">
        <f>CHOOSE(UserInterface!$C$22,#REF!,#REF!,#REF!,#REF!,#REF!,Scotland!AV374,Southern!AV374,#REF!)</f>
        <v>0</v>
      </c>
      <c r="AW374" s="199">
        <f>CHOOSE(UserInterface!$C$22,#REF!,#REF!,#REF!,#REF!,#REF!,Scotland!AW374,Southern!AW374,#REF!)</f>
        <v>0</v>
      </c>
      <c r="AX374" s="199">
        <f>CHOOSE(UserInterface!$C$22,#REF!,#REF!,#REF!,#REF!,#REF!,Scotland!AX374,Southern!AX374,#REF!)</f>
        <v>0</v>
      </c>
      <c r="AY374" s="200">
        <f>CHOOSE(UserInterface!$C$22,#REF!,#REF!,#REF!,#REF!,#REF!,Scotland!AY374,Southern!AY374,#REF!)</f>
        <v>0</v>
      </c>
      <c r="BA374" s="34" t="str">
        <f t="shared" ca="1" si="149"/>
        <v>LicenseeSelect</v>
      </c>
      <c r="BB374" s="34" t="str">
        <f t="shared" si="150"/>
        <v>Fixed Inputs</v>
      </c>
      <c r="BC374" s="34" t="str">
        <f t="shared" si="157"/>
        <v>Variant allowances</v>
      </c>
      <c r="BD374" s="34" t="str">
        <f t="shared" si="152"/>
        <v>Totex variant allowances allocation percentages</v>
      </c>
    </row>
    <row r="375" spans="5:56" x14ac:dyDescent="0.35">
      <c r="E375" s="187" t="str" cm="1">
        <f t="array" ref="E375">INDEX($E$99:$E$202,INT((ROW()-ROW($E$205))/5)+1)</f>
        <v>Re-opener_London Subways and Tunnels</v>
      </c>
      <c r="F375" s="188"/>
      <c r="G375" s="188" t="s">
        <v>109</v>
      </c>
      <c r="H375" s="188" t="s">
        <v>168</v>
      </c>
      <c r="I375" s="188"/>
      <c r="J375" s="188"/>
      <c r="K375" s="188"/>
      <c r="L375" s="188"/>
      <c r="M375" s="188"/>
      <c r="N375" s="188"/>
      <c r="O375" s="188"/>
      <c r="P375" s="188"/>
      <c r="Q375" s="188"/>
      <c r="R375" s="188"/>
      <c r="S375" s="188"/>
      <c r="T375" s="188"/>
      <c r="U375" s="188"/>
      <c r="V375" s="188"/>
      <c r="W375" s="188"/>
      <c r="X375" s="188"/>
      <c r="Y375" s="188"/>
      <c r="Z375" s="188"/>
      <c r="AA375" s="188"/>
      <c r="AB375" s="188"/>
      <c r="AC375" s="188"/>
      <c r="AD375" s="188"/>
      <c r="AE375" s="188"/>
      <c r="AF375" s="188"/>
      <c r="AG375" s="188"/>
      <c r="AH375" s="188"/>
      <c r="AI375" s="188"/>
      <c r="AJ375" s="188"/>
      <c r="AK375" s="188"/>
      <c r="AL375" s="188"/>
      <c r="AM375" s="188"/>
      <c r="AN375" s="188"/>
      <c r="AO375" s="188"/>
      <c r="AP375" s="188"/>
      <c r="AQ375" s="188"/>
      <c r="AR375" s="188"/>
      <c r="AS375" s="188"/>
      <c r="AT375" s="189"/>
      <c r="AU375" s="21">
        <f>CHOOSE(UserInterface!$C$22,#REF!,#REF!,#REF!,#REF!,#REF!,Scotland!AU375,Southern!AU375,#REF!)</f>
        <v>0</v>
      </c>
      <c r="AV375" s="21">
        <f>CHOOSE(UserInterface!$C$22,#REF!,#REF!,#REF!,#REF!,#REF!,Scotland!AV375,Southern!AV375,#REF!)</f>
        <v>0</v>
      </c>
      <c r="AW375" s="21">
        <f>CHOOSE(UserInterface!$C$22,#REF!,#REF!,#REF!,#REF!,#REF!,Scotland!AW375,Southern!AW375,#REF!)</f>
        <v>0</v>
      </c>
      <c r="AX375" s="21">
        <f>CHOOSE(UserInterface!$C$22,#REF!,#REF!,#REF!,#REF!,#REF!,Scotland!AX375,Southern!AX375,#REF!)</f>
        <v>0</v>
      </c>
      <c r="AY375" s="21">
        <f>CHOOSE(UserInterface!$C$22,#REF!,#REF!,#REF!,#REF!,#REF!,Scotland!AY375,Southern!AY375,#REF!)</f>
        <v>0</v>
      </c>
      <c r="BA375" s="34" t="str">
        <f t="shared" ca="1" si="149"/>
        <v>LicenseeSelect</v>
      </c>
      <c r="BB375" s="34" t="str">
        <f t="shared" si="150"/>
        <v>Fixed Inputs</v>
      </c>
      <c r="BC375" s="34" t="str">
        <f t="shared" si="157"/>
        <v>Variant allowances</v>
      </c>
      <c r="BD375" s="34" t="str">
        <f t="shared" si="152"/>
        <v>Totex variant allowances allocation percentages</v>
      </c>
    </row>
    <row r="376" spans="5:56" x14ac:dyDescent="0.35">
      <c r="E376" s="193" t="str" cm="1">
        <f t="array" ref="E376">INDEX($E$99:$E$202,INT((ROW()-ROW($E$205))/5)+1)</f>
        <v>Re-opener_London Subways and Tunnels</v>
      </c>
      <c r="G376" s="33" t="s">
        <v>109</v>
      </c>
      <c r="H376" s="33" t="s">
        <v>169</v>
      </c>
      <c r="AT376" s="108"/>
      <c r="AU376" s="21">
        <f>CHOOSE(UserInterface!$C$22,#REF!,#REF!,#REF!,#REF!,#REF!,Scotland!AU376,Southern!AU376,#REF!)</f>
        <v>0</v>
      </c>
      <c r="AV376" s="21">
        <f>CHOOSE(UserInterface!$C$22,#REF!,#REF!,#REF!,#REF!,#REF!,Scotland!AV376,Southern!AV376,#REF!)</f>
        <v>0</v>
      </c>
      <c r="AW376" s="21">
        <f>CHOOSE(UserInterface!$C$22,#REF!,#REF!,#REF!,#REF!,#REF!,Scotland!AW376,Southern!AW376,#REF!)</f>
        <v>0</v>
      </c>
      <c r="AX376" s="21">
        <f>CHOOSE(UserInterface!$C$22,#REF!,#REF!,#REF!,#REF!,#REF!,Scotland!AX376,Southern!AX376,#REF!)</f>
        <v>0</v>
      </c>
      <c r="AY376" s="21">
        <f>CHOOSE(UserInterface!$C$22,#REF!,#REF!,#REF!,#REF!,#REF!,Scotland!AY376,Southern!AY376,#REF!)</f>
        <v>0</v>
      </c>
      <c r="BA376" s="34" t="str">
        <f t="shared" ca="1" si="149"/>
        <v>LicenseeSelect</v>
      </c>
      <c r="BB376" s="34" t="str">
        <f t="shared" si="150"/>
        <v>Fixed Inputs</v>
      </c>
      <c r="BC376" s="34" t="str">
        <f t="shared" si="157"/>
        <v>Variant allowances</v>
      </c>
      <c r="BD376" s="34" t="str">
        <f t="shared" si="152"/>
        <v>Totex variant allowances allocation percentages</v>
      </c>
    </row>
    <row r="377" spans="5:56" x14ac:dyDescent="0.35">
      <c r="E377" s="193" t="str" cm="1">
        <f t="array" ref="E377">INDEX($E$99:$E$202,INT((ROW()-ROW($E$205))/5)+1)</f>
        <v>Re-opener_London Subways and Tunnels</v>
      </c>
      <c r="G377" s="33" t="s">
        <v>109</v>
      </c>
      <c r="H377" s="33" t="s">
        <v>170</v>
      </c>
      <c r="AT377" s="108"/>
      <c r="AU377" s="21">
        <f>CHOOSE(UserInterface!$C$22,#REF!,#REF!,#REF!,#REF!,#REF!,Scotland!AU377,Southern!AU377,#REF!)</f>
        <v>0</v>
      </c>
      <c r="AV377" s="21">
        <f>CHOOSE(UserInterface!$C$22,#REF!,#REF!,#REF!,#REF!,#REF!,Scotland!AV377,Southern!AV377,#REF!)</f>
        <v>0</v>
      </c>
      <c r="AW377" s="21">
        <f>CHOOSE(UserInterface!$C$22,#REF!,#REF!,#REF!,#REF!,#REF!,Scotland!AW377,Southern!AW377,#REF!)</f>
        <v>0</v>
      </c>
      <c r="AX377" s="21">
        <f>CHOOSE(UserInterface!$C$22,#REF!,#REF!,#REF!,#REF!,#REF!,Scotland!AX377,Southern!AX377,#REF!)</f>
        <v>0</v>
      </c>
      <c r="AY377" s="21">
        <f>CHOOSE(UserInterface!$C$22,#REF!,#REF!,#REF!,#REF!,#REF!,Scotland!AY377,Southern!AY377,#REF!)</f>
        <v>0</v>
      </c>
      <c r="BA377" s="34" t="str">
        <f t="shared" ca="1" si="149"/>
        <v>LicenseeSelect</v>
      </c>
      <c r="BB377" s="34" t="str">
        <f t="shared" si="150"/>
        <v>Fixed Inputs</v>
      </c>
      <c r="BC377" s="34" t="str">
        <f t="shared" si="157"/>
        <v>Variant allowances</v>
      </c>
      <c r="BD377" s="34" t="str">
        <f t="shared" si="152"/>
        <v>Totex variant allowances allocation percentages</v>
      </c>
    </row>
    <row r="378" spans="5:56" x14ac:dyDescent="0.35">
      <c r="E378" s="193" t="str" cm="1">
        <f t="array" ref="E378">INDEX($E$99:$E$202,INT((ROW()-ROW($E$205))/5)+1)</f>
        <v>Re-opener_London Subways and Tunnels</v>
      </c>
      <c r="G378" s="33" t="s">
        <v>109</v>
      </c>
      <c r="H378" s="33" t="s">
        <v>171</v>
      </c>
      <c r="AT378" s="108"/>
      <c r="AU378" s="21">
        <f>CHOOSE(UserInterface!$C$22,#REF!,#REF!,#REF!,#REF!,#REF!,Scotland!AU378,Southern!AU378,#REF!)</f>
        <v>0</v>
      </c>
      <c r="AV378" s="21">
        <f>CHOOSE(UserInterface!$C$22,#REF!,#REF!,#REF!,#REF!,#REF!,Scotland!AV378,Southern!AV378,#REF!)</f>
        <v>0</v>
      </c>
      <c r="AW378" s="21">
        <f>CHOOSE(UserInterface!$C$22,#REF!,#REF!,#REF!,#REF!,#REF!,Scotland!AW378,Southern!AW378,#REF!)</f>
        <v>0</v>
      </c>
      <c r="AX378" s="21">
        <f>CHOOSE(UserInterface!$C$22,#REF!,#REF!,#REF!,#REF!,#REF!,Scotland!AX378,Southern!AX378,#REF!)</f>
        <v>0</v>
      </c>
      <c r="AY378" s="21">
        <f>CHOOSE(UserInterface!$C$22,#REF!,#REF!,#REF!,#REF!,#REF!,Scotland!AY378,Southern!AY378,#REF!)</f>
        <v>0</v>
      </c>
      <c r="BA378" s="34" t="str">
        <f t="shared" ca="1" si="149"/>
        <v>LicenseeSelect</v>
      </c>
      <c r="BB378" s="34" t="str">
        <f t="shared" si="150"/>
        <v>Fixed Inputs</v>
      </c>
      <c r="BC378" s="34" t="str">
        <f t="shared" si="157"/>
        <v>Variant allowances</v>
      </c>
      <c r="BD378" s="34" t="str">
        <f t="shared" si="152"/>
        <v>Totex variant allowances allocation percentages</v>
      </c>
    </row>
    <row r="379" spans="5:56" x14ac:dyDescent="0.35">
      <c r="E379" s="195" t="str" cm="1">
        <f t="array" ref="E379">INDEX($E$99:$E$202,INT((ROW()-ROW($E$205))/5)+1)</f>
        <v>Re-opener_London Subways and Tunnels</v>
      </c>
      <c r="F379" s="196"/>
      <c r="G379" s="196" t="s">
        <v>109</v>
      </c>
      <c r="H379" s="196" t="s">
        <v>172</v>
      </c>
      <c r="I379" s="196"/>
      <c r="J379" s="196"/>
      <c r="K379" s="196"/>
      <c r="L379" s="196"/>
      <c r="M379" s="196"/>
      <c r="N379" s="196"/>
      <c r="O379" s="196"/>
      <c r="P379" s="196"/>
      <c r="Q379" s="196"/>
      <c r="R379" s="196"/>
      <c r="S379" s="196"/>
      <c r="T379" s="196"/>
      <c r="U379" s="196"/>
      <c r="V379" s="196"/>
      <c r="W379" s="196"/>
      <c r="X379" s="196"/>
      <c r="Y379" s="196"/>
      <c r="Z379" s="196"/>
      <c r="AA379" s="196"/>
      <c r="AB379" s="196"/>
      <c r="AC379" s="196"/>
      <c r="AD379" s="196"/>
      <c r="AE379" s="196"/>
      <c r="AF379" s="196"/>
      <c r="AG379" s="196"/>
      <c r="AH379" s="196"/>
      <c r="AI379" s="196"/>
      <c r="AJ379" s="196"/>
      <c r="AK379" s="196"/>
      <c r="AL379" s="196"/>
      <c r="AM379" s="196"/>
      <c r="AN379" s="196"/>
      <c r="AO379" s="196"/>
      <c r="AP379" s="196"/>
      <c r="AQ379" s="196"/>
      <c r="AR379" s="196"/>
      <c r="AS379" s="196"/>
      <c r="AT379" s="197"/>
      <c r="AU379" s="21">
        <f>CHOOSE(UserInterface!$C$22,#REF!,#REF!,#REF!,#REF!,#REF!,Scotland!AU379,Southern!AU379,#REF!)</f>
        <v>0</v>
      </c>
      <c r="AV379" s="21">
        <f>CHOOSE(UserInterface!$C$22,#REF!,#REF!,#REF!,#REF!,#REF!,Scotland!AV379,Southern!AV379,#REF!)</f>
        <v>0</v>
      </c>
      <c r="AW379" s="21">
        <f>CHOOSE(UserInterface!$C$22,#REF!,#REF!,#REF!,#REF!,#REF!,Scotland!AW379,Southern!AW379,#REF!)</f>
        <v>0</v>
      </c>
      <c r="AX379" s="21">
        <f>CHOOSE(UserInterface!$C$22,#REF!,#REF!,#REF!,#REF!,#REF!,Scotland!AX379,Southern!AX379,#REF!)</f>
        <v>0</v>
      </c>
      <c r="AY379" s="21">
        <f>CHOOSE(UserInterface!$C$22,#REF!,#REF!,#REF!,#REF!,#REF!,Scotland!AY379,Southern!AY379,#REF!)</f>
        <v>0</v>
      </c>
      <c r="BA379" s="34" t="str">
        <f t="shared" ca="1" si="149"/>
        <v>LicenseeSelect</v>
      </c>
      <c r="BB379" s="34" t="str">
        <f t="shared" si="150"/>
        <v>Fixed Inputs</v>
      </c>
      <c r="BC379" s="34" t="str">
        <f t="shared" si="157"/>
        <v>Variant allowances</v>
      </c>
      <c r="BD379" s="34" t="str">
        <f t="shared" si="152"/>
        <v>Totex variant allowances allocation percentages</v>
      </c>
    </row>
    <row r="380" spans="5:56" x14ac:dyDescent="0.35">
      <c r="E380" s="187" t="str" cm="1">
        <f t="array" ref="E380">INDEX($E$99:$E$202,INT((ROW()-ROW($E$205))/5)+1)</f>
        <v>Re-opener_Net Zero Pre-construction Works and Small Net Zero Projects Re-opener / Small Decarbonisation Projects Re-opener</v>
      </c>
      <c r="F380" s="188"/>
      <c r="G380" s="188" t="s">
        <v>109</v>
      </c>
      <c r="H380" s="188" t="s">
        <v>168</v>
      </c>
      <c r="I380" s="188"/>
      <c r="J380" s="188"/>
      <c r="K380" s="188"/>
      <c r="L380" s="188"/>
      <c r="M380" s="188"/>
      <c r="N380" s="188"/>
      <c r="O380" s="188"/>
      <c r="P380" s="188"/>
      <c r="Q380" s="188"/>
      <c r="R380" s="188"/>
      <c r="S380" s="188"/>
      <c r="T380" s="188"/>
      <c r="U380" s="188"/>
      <c r="V380" s="188"/>
      <c r="W380" s="188"/>
      <c r="X380" s="188"/>
      <c r="Y380" s="188"/>
      <c r="Z380" s="188"/>
      <c r="AA380" s="188"/>
      <c r="AB380" s="188"/>
      <c r="AC380" s="188"/>
      <c r="AD380" s="188"/>
      <c r="AE380" s="188"/>
      <c r="AF380" s="188"/>
      <c r="AG380" s="188"/>
      <c r="AH380" s="188"/>
      <c r="AI380" s="188"/>
      <c r="AJ380" s="188"/>
      <c r="AK380" s="188"/>
      <c r="AL380" s="188"/>
      <c r="AM380" s="188"/>
      <c r="AN380" s="188"/>
      <c r="AO380" s="188"/>
      <c r="AP380" s="188"/>
      <c r="AQ380" s="188"/>
      <c r="AR380" s="188"/>
      <c r="AS380" s="188"/>
      <c r="AT380" s="189"/>
      <c r="AU380" s="21">
        <f>CHOOSE(UserInterface!$C$22,#REF!,#REF!,#REF!,#REF!,#REF!,Scotland!AU380,Southern!AU380,#REF!)</f>
        <v>0</v>
      </c>
      <c r="AV380" s="21">
        <f>CHOOSE(UserInterface!$C$22,#REF!,#REF!,#REF!,#REF!,#REF!,Scotland!AV380,Southern!AV380,#REF!)</f>
        <v>0</v>
      </c>
      <c r="AW380" s="21">
        <f>CHOOSE(UserInterface!$C$22,#REF!,#REF!,#REF!,#REF!,#REF!,Scotland!AW380,Southern!AW380,#REF!)</f>
        <v>0</v>
      </c>
      <c r="AX380" s="21">
        <f>CHOOSE(UserInterface!$C$22,#REF!,#REF!,#REF!,#REF!,#REF!,Scotland!AX380,Southern!AX380,#REF!)</f>
        <v>0</v>
      </c>
      <c r="AY380" s="21">
        <f>CHOOSE(UserInterface!$C$22,#REF!,#REF!,#REF!,#REF!,#REF!,Scotland!AY380,Southern!AY380,#REF!)</f>
        <v>0</v>
      </c>
      <c r="BA380" s="34" t="str">
        <f t="shared" ca="1" si="149"/>
        <v>LicenseeSelect</v>
      </c>
      <c r="BB380" s="34" t="str">
        <f t="shared" si="150"/>
        <v>Fixed Inputs</v>
      </c>
      <c r="BC380" s="34" t="str">
        <f t="shared" si="157"/>
        <v>Variant allowances</v>
      </c>
      <c r="BD380" s="34" t="str">
        <f t="shared" si="152"/>
        <v>Totex variant allowances allocation percentages</v>
      </c>
    </row>
    <row r="381" spans="5:56" x14ac:dyDescent="0.35">
      <c r="E381" s="193" t="str" cm="1">
        <f t="array" ref="E381">INDEX($E$99:$E$202,INT((ROW()-ROW($E$205))/5)+1)</f>
        <v>Re-opener_Net Zero Pre-construction Works and Small Net Zero Projects Re-opener / Small Decarbonisation Projects Re-opener</v>
      </c>
      <c r="G381" s="33" t="s">
        <v>109</v>
      </c>
      <c r="H381" s="33" t="s">
        <v>169</v>
      </c>
      <c r="AT381" s="108"/>
      <c r="AU381" s="21">
        <f>CHOOSE(UserInterface!$C$22,#REF!,#REF!,#REF!,#REF!,#REF!,Scotland!AU381,Southern!AU381,#REF!)</f>
        <v>0</v>
      </c>
      <c r="AV381" s="21">
        <f>CHOOSE(UserInterface!$C$22,#REF!,#REF!,#REF!,#REF!,#REF!,Scotland!AV381,Southern!AV381,#REF!)</f>
        <v>0</v>
      </c>
      <c r="AW381" s="21">
        <f>CHOOSE(UserInterface!$C$22,#REF!,#REF!,#REF!,#REF!,#REF!,Scotland!AW381,Southern!AW381,#REF!)</f>
        <v>0</v>
      </c>
      <c r="AX381" s="21">
        <f>CHOOSE(UserInterface!$C$22,#REF!,#REF!,#REF!,#REF!,#REF!,Scotland!AX381,Southern!AX381,#REF!)</f>
        <v>0</v>
      </c>
      <c r="AY381" s="21">
        <f>CHOOSE(UserInterface!$C$22,#REF!,#REF!,#REF!,#REF!,#REF!,Scotland!AY381,Southern!AY381,#REF!)</f>
        <v>0</v>
      </c>
      <c r="BA381" s="34" t="str">
        <f t="shared" ca="1" si="149"/>
        <v>LicenseeSelect</v>
      </c>
      <c r="BB381" s="34" t="str">
        <f t="shared" si="150"/>
        <v>Fixed Inputs</v>
      </c>
      <c r="BC381" s="34" t="str">
        <f t="shared" si="157"/>
        <v>Variant allowances</v>
      </c>
      <c r="BD381" s="34" t="str">
        <f t="shared" si="152"/>
        <v>Totex variant allowances allocation percentages</v>
      </c>
    </row>
    <row r="382" spans="5:56" x14ac:dyDescent="0.35">
      <c r="E382" s="193" t="str" cm="1">
        <f t="array" ref="E382">INDEX($E$99:$E$202,INT((ROW()-ROW($E$205))/5)+1)</f>
        <v>Re-opener_Net Zero Pre-construction Works and Small Net Zero Projects Re-opener / Small Decarbonisation Projects Re-opener</v>
      </c>
      <c r="G382" s="33" t="s">
        <v>109</v>
      </c>
      <c r="H382" s="33" t="s">
        <v>170</v>
      </c>
      <c r="AT382" s="108"/>
      <c r="AU382" s="21">
        <f>CHOOSE(UserInterface!$C$22,#REF!,#REF!,#REF!,#REF!,#REF!,Scotland!AU382,Southern!AU382,#REF!)</f>
        <v>0</v>
      </c>
      <c r="AV382" s="21">
        <f>CHOOSE(UserInterface!$C$22,#REF!,#REF!,#REF!,#REF!,#REF!,Scotland!AV382,Southern!AV382,#REF!)</f>
        <v>0</v>
      </c>
      <c r="AW382" s="21">
        <f>CHOOSE(UserInterface!$C$22,#REF!,#REF!,#REF!,#REF!,#REF!,Scotland!AW382,Southern!AW382,#REF!)</f>
        <v>0</v>
      </c>
      <c r="AX382" s="21">
        <f>CHOOSE(UserInterface!$C$22,#REF!,#REF!,#REF!,#REF!,#REF!,Scotland!AX382,Southern!AX382,#REF!)</f>
        <v>0</v>
      </c>
      <c r="AY382" s="21">
        <f>CHOOSE(UserInterface!$C$22,#REF!,#REF!,#REF!,#REF!,#REF!,Scotland!AY382,Southern!AY382,#REF!)</f>
        <v>0</v>
      </c>
      <c r="BA382" s="34" t="str">
        <f t="shared" ca="1" si="149"/>
        <v>LicenseeSelect</v>
      </c>
      <c r="BB382" s="34" t="str">
        <f t="shared" si="150"/>
        <v>Fixed Inputs</v>
      </c>
      <c r="BC382" s="34" t="str">
        <f t="shared" si="157"/>
        <v>Variant allowances</v>
      </c>
      <c r="BD382" s="34" t="str">
        <f t="shared" si="152"/>
        <v>Totex variant allowances allocation percentages</v>
      </c>
    </row>
    <row r="383" spans="5:56" x14ac:dyDescent="0.35">
      <c r="E383" s="193" t="str" cm="1">
        <f t="array" ref="E383">INDEX($E$99:$E$202,INT((ROW()-ROW($E$205))/5)+1)</f>
        <v>Re-opener_Net Zero Pre-construction Works and Small Net Zero Projects Re-opener / Small Decarbonisation Projects Re-opener</v>
      </c>
      <c r="G383" s="33" t="s">
        <v>109</v>
      </c>
      <c r="H383" s="33" t="s">
        <v>171</v>
      </c>
      <c r="AT383" s="108"/>
      <c r="AU383" s="21">
        <f>CHOOSE(UserInterface!$C$22,#REF!,#REF!,#REF!,#REF!,#REF!,Scotland!AU383,Southern!AU383,#REF!)</f>
        <v>0</v>
      </c>
      <c r="AV383" s="21">
        <f>CHOOSE(UserInterface!$C$22,#REF!,#REF!,#REF!,#REF!,#REF!,Scotland!AV383,Southern!AV383,#REF!)</f>
        <v>0</v>
      </c>
      <c r="AW383" s="21">
        <f>CHOOSE(UserInterface!$C$22,#REF!,#REF!,#REF!,#REF!,#REF!,Scotland!AW383,Southern!AW383,#REF!)</f>
        <v>0</v>
      </c>
      <c r="AX383" s="21">
        <f>CHOOSE(UserInterface!$C$22,#REF!,#REF!,#REF!,#REF!,#REF!,Scotland!AX383,Southern!AX383,#REF!)</f>
        <v>0</v>
      </c>
      <c r="AY383" s="21">
        <f>CHOOSE(UserInterface!$C$22,#REF!,#REF!,#REF!,#REF!,#REF!,Scotland!AY383,Southern!AY383,#REF!)</f>
        <v>0</v>
      </c>
      <c r="BA383" s="34" t="str">
        <f t="shared" ca="1" si="149"/>
        <v>LicenseeSelect</v>
      </c>
      <c r="BB383" s="34" t="str">
        <f t="shared" si="150"/>
        <v>Fixed Inputs</v>
      </c>
      <c r="BC383" s="34" t="str">
        <f t="shared" si="157"/>
        <v>Variant allowances</v>
      </c>
      <c r="BD383" s="34" t="str">
        <f t="shared" si="152"/>
        <v>Totex variant allowances allocation percentages</v>
      </c>
    </row>
    <row r="384" spans="5:56" x14ac:dyDescent="0.35">
      <c r="E384" s="195" t="str" cm="1">
        <f t="array" ref="E384">INDEX($E$99:$E$202,INT((ROW()-ROW($E$205))/5)+1)</f>
        <v>Re-opener_Net Zero Pre-construction Works and Small Net Zero Projects Re-opener / Small Decarbonisation Projects Re-opener</v>
      </c>
      <c r="F384" s="196"/>
      <c r="G384" s="196" t="s">
        <v>109</v>
      </c>
      <c r="H384" s="196" t="s">
        <v>172</v>
      </c>
      <c r="I384" s="196"/>
      <c r="J384" s="196"/>
      <c r="K384" s="196"/>
      <c r="L384" s="196"/>
      <c r="M384" s="196"/>
      <c r="N384" s="196"/>
      <c r="O384" s="196"/>
      <c r="P384" s="196"/>
      <c r="Q384" s="196"/>
      <c r="R384" s="196"/>
      <c r="S384" s="196"/>
      <c r="T384" s="196"/>
      <c r="U384" s="196"/>
      <c r="V384" s="196"/>
      <c r="W384" s="196"/>
      <c r="X384" s="196"/>
      <c r="Y384" s="196"/>
      <c r="Z384" s="196"/>
      <c r="AA384" s="196"/>
      <c r="AB384" s="196"/>
      <c r="AC384" s="196"/>
      <c r="AD384" s="196"/>
      <c r="AE384" s="196"/>
      <c r="AF384" s="196"/>
      <c r="AG384" s="196"/>
      <c r="AH384" s="196"/>
      <c r="AI384" s="196"/>
      <c r="AJ384" s="196"/>
      <c r="AK384" s="196"/>
      <c r="AL384" s="196"/>
      <c r="AM384" s="196"/>
      <c r="AN384" s="196"/>
      <c r="AO384" s="196"/>
      <c r="AP384" s="196"/>
      <c r="AQ384" s="196"/>
      <c r="AR384" s="196"/>
      <c r="AS384" s="196"/>
      <c r="AT384" s="197"/>
      <c r="AU384" s="21">
        <f>CHOOSE(UserInterface!$C$22,#REF!,#REF!,#REF!,#REF!,#REF!,Scotland!AU384,Southern!AU384,#REF!)</f>
        <v>0</v>
      </c>
      <c r="AV384" s="21">
        <f>CHOOSE(UserInterface!$C$22,#REF!,#REF!,#REF!,#REF!,#REF!,Scotland!AV384,Southern!AV384,#REF!)</f>
        <v>0</v>
      </c>
      <c r="AW384" s="21">
        <f>CHOOSE(UserInterface!$C$22,#REF!,#REF!,#REF!,#REF!,#REF!,Scotland!AW384,Southern!AW384,#REF!)</f>
        <v>0</v>
      </c>
      <c r="AX384" s="21">
        <f>CHOOSE(UserInterface!$C$22,#REF!,#REF!,#REF!,#REF!,#REF!,Scotland!AX384,Southern!AX384,#REF!)</f>
        <v>0</v>
      </c>
      <c r="AY384" s="21">
        <f>CHOOSE(UserInterface!$C$22,#REF!,#REF!,#REF!,#REF!,#REF!,Scotland!AY384,Southern!AY384,#REF!)</f>
        <v>0</v>
      </c>
      <c r="BA384" s="34" t="str">
        <f t="shared" ca="1" si="149"/>
        <v>LicenseeSelect</v>
      </c>
      <c r="BB384" s="34" t="str">
        <f t="shared" si="150"/>
        <v>Fixed Inputs</v>
      </c>
      <c r="BC384" s="34" t="str">
        <f t="shared" si="157"/>
        <v>Variant allowances</v>
      </c>
      <c r="BD384" s="34" t="str">
        <f t="shared" si="152"/>
        <v>Totex variant allowances allocation percentages</v>
      </c>
    </row>
    <row r="385" spans="5:56" x14ac:dyDescent="0.35">
      <c r="E385" s="187" t="str" cm="1">
        <f t="array" ref="E385">INDEX($E$99:$E$202,INT((ROW()-ROW($E$205))/5)+1)</f>
        <v>Re-opener_Net zero re-opener / Decarbonisation and Environmental Policy Re-opener</v>
      </c>
      <c r="F385" s="188"/>
      <c r="G385" s="188" t="s">
        <v>109</v>
      </c>
      <c r="H385" s="188" t="s">
        <v>168</v>
      </c>
      <c r="I385" s="188"/>
      <c r="J385" s="188"/>
      <c r="K385" s="188"/>
      <c r="L385" s="188"/>
      <c r="M385" s="188"/>
      <c r="N385" s="188"/>
      <c r="O385" s="188"/>
      <c r="P385" s="188"/>
      <c r="Q385" s="188"/>
      <c r="R385" s="188"/>
      <c r="S385" s="188"/>
      <c r="T385" s="188"/>
      <c r="U385" s="188"/>
      <c r="V385" s="188"/>
      <c r="W385" s="188"/>
      <c r="X385" s="188"/>
      <c r="Y385" s="188"/>
      <c r="Z385" s="188"/>
      <c r="AA385" s="188"/>
      <c r="AB385" s="188"/>
      <c r="AC385" s="188"/>
      <c r="AD385" s="188"/>
      <c r="AE385" s="188"/>
      <c r="AF385" s="188"/>
      <c r="AG385" s="188"/>
      <c r="AH385" s="188"/>
      <c r="AI385" s="188"/>
      <c r="AJ385" s="188"/>
      <c r="AK385" s="188"/>
      <c r="AL385" s="188"/>
      <c r="AM385" s="188"/>
      <c r="AN385" s="188"/>
      <c r="AO385" s="188"/>
      <c r="AP385" s="188"/>
      <c r="AQ385" s="188"/>
      <c r="AR385" s="188"/>
      <c r="AS385" s="188"/>
      <c r="AT385" s="189"/>
      <c r="AU385" s="21">
        <f>CHOOSE(UserInterface!$C$22,#REF!,#REF!,#REF!,#REF!,#REF!,Scotland!AU385,Southern!AU385,#REF!)</f>
        <v>0</v>
      </c>
      <c r="AV385" s="21">
        <f>CHOOSE(UserInterface!$C$22,#REF!,#REF!,#REF!,#REF!,#REF!,Scotland!AV385,Southern!AV385,#REF!)</f>
        <v>0</v>
      </c>
      <c r="AW385" s="21">
        <f>CHOOSE(UserInterface!$C$22,#REF!,#REF!,#REF!,#REF!,#REF!,Scotland!AW385,Southern!AW385,#REF!)</f>
        <v>0</v>
      </c>
      <c r="AX385" s="21">
        <f>CHOOSE(UserInterface!$C$22,#REF!,#REF!,#REF!,#REF!,#REF!,Scotland!AX385,Southern!AX385,#REF!)</f>
        <v>0</v>
      </c>
      <c r="AY385" s="21">
        <f>CHOOSE(UserInterface!$C$22,#REF!,#REF!,#REF!,#REF!,#REF!,Scotland!AY385,Southern!AY385,#REF!)</f>
        <v>0</v>
      </c>
      <c r="BA385" s="34" t="str">
        <f t="shared" ca="1" si="149"/>
        <v>LicenseeSelect</v>
      </c>
      <c r="BB385" s="34" t="str">
        <f t="shared" si="150"/>
        <v>Fixed Inputs</v>
      </c>
      <c r="BC385" s="34" t="str">
        <f t="shared" si="157"/>
        <v>Variant allowances</v>
      </c>
      <c r="BD385" s="34" t="str">
        <f t="shared" si="152"/>
        <v>Totex variant allowances allocation percentages</v>
      </c>
    </row>
    <row r="386" spans="5:56" x14ac:dyDescent="0.35">
      <c r="E386" s="193" t="str" cm="1">
        <f t="array" ref="E386">INDEX($E$99:$E$202,INT((ROW()-ROW($E$205))/5)+1)</f>
        <v>Re-opener_Net zero re-opener / Decarbonisation and Environmental Policy Re-opener</v>
      </c>
      <c r="G386" s="33" t="s">
        <v>109</v>
      </c>
      <c r="H386" s="33" t="s">
        <v>169</v>
      </c>
      <c r="AT386" s="108"/>
      <c r="AU386" s="21">
        <f>CHOOSE(UserInterface!$C$22,#REF!,#REF!,#REF!,#REF!,#REF!,Scotland!AU386,Southern!AU386,#REF!)</f>
        <v>0</v>
      </c>
      <c r="AV386" s="21">
        <f>CHOOSE(UserInterface!$C$22,#REF!,#REF!,#REF!,#REF!,#REF!,Scotland!AV386,Southern!AV386,#REF!)</f>
        <v>0</v>
      </c>
      <c r="AW386" s="21">
        <f>CHOOSE(UserInterface!$C$22,#REF!,#REF!,#REF!,#REF!,#REF!,Scotland!AW386,Southern!AW386,#REF!)</f>
        <v>0</v>
      </c>
      <c r="AX386" s="21">
        <f>CHOOSE(UserInterface!$C$22,#REF!,#REF!,#REF!,#REF!,#REF!,Scotland!AX386,Southern!AX386,#REF!)</f>
        <v>0</v>
      </c>
      <c r="AY386" s="21">
        <f>CHOOSE(UserInterface!$C$22,#REF!,#REF!,#REF!,#REF!,#REF!,Scotland!AY386,Southern!AY386,#REF!)</f>
        <v>0</v>
      </c>
      <c r="BA386" s="34" t="str">
        <f t="shared" ca="1" si="149"/>
        <v>LicenseeSelect</v>
      </c>
      <c r="BB386" s="34" t="str">
        <f t="shared" si="150"/>
        <v>Fixed Inputs</v>
      </c>
      <c r="BC386" s="34" t="str">
        <f t="shared" si="157"/>
        <v>Variant allowances</v>
      </c>
      <c r="BD386" s="34" t="str">
        <f t="shared" si="152"/>
        <v>Totex variant allowances allocation percentages</v>
      </c>
    </row>
    <row r="387" spans="5:56" x14ac:dyDescent="0.35">
      <c r="E387" s="193" t="str" cm="1">
        <f t="array" ref="E387">INDEX($E$99:$E$202,INT((ROW()-ROW($E$205))/5)+1)</f>
        <v>Re-opener_Net zero re-opener / Decarbonisation and Environmental Policy Re-opener</v>
      </c>
      <c r="G387" s="33" t="s">
        <v>109</v>
      </c>
      <c r="H387" s="33" t="s">
        <v>170</v>
      </c>
      <c r="AT387" s="108"/>
      <c r="AU387" s="21">
        <f>CHOOSE(UserInterface!$C$22,#REF!,#REF!,#REF!,#REF!,#REF!,Scotland!AU387,Southern!AU387,#REF!)</f>
        <v>0</v>
      </c>
      <c r="AV387" s="21">
        <f>CHOOSE(UserInterface!$C$22,#REF!,#REF!,#REF!,#REF!,#REF!,Scotland!AV387,Southern!AV387,#REF!)</f>
        <v>0</v>
      </c>
      <c r="AW387" s="21">
        <f>CHOOSE(UserInterface!$C$22,#REF!,#REF!,#REF!,#REF!,#REF!,Scotland!AW387,Southern!AW387,#REF!)</f>
        <v>0</v>
      </c>
      <c r="AX387" s="21">
        <f>CHOOSE(UserInterface!$C$22,#REF!,#REF!,#REF!,#REF!,#REF!,Scotland!AX387,Southern!AX387,#REF!)</f>
        <v>0</v>
      </c>
      <c r="AY387" s="21">
        <f>CHOOSE(UserInterface!$C$22,#REF!,#REF!,#REF!,#REF!,#REF!,Scotland!AY387,Southern!AY387,#REF!)</f>
        <v>0</v>
      </c>
      <c r="BA387" s="34" t="str">
        <f t="shared" ca="1" si="149"/>
        <v>LicenseeSelect</v>
      </c>
      <c r="BB387" s="34" t="str">
        <f t="shared" si="150"/>
        <v>Fixed Inputs</v>
      </c>
      <c r="BC387" s="34" t="str">
        <f t="shared" si="157"/>
        <v>Variant allowances</v>
      </c>
      <c r="BD387" s="34" t="str">
        <f t="shared" si="152"/>
        <v>Totex variant allowances allocation percentages</v>
      </c>
    </row>
    <row r="388" spans="5:56" x14ac:dyDescent="0.35">
      <c r="E388" s="193" t="str" cm="1">
        <f t="array" ref="E388">INDEX($E$99:$E$202,INT((ROW()-ROW($E$205))/5)+1)</f>
        <v>Re-opener_Net zero re-opener / Decarbonisation and Environmental Policy Re-opener</v>
      </c>
      <c r="G388" s="33" t="s">
        <v>109</v>
      </c>
      <c r="H388" s="33" t="s">
        <v>171</v>
      </c>
      <c r="AT388" s="108"/>
      <c r="AU388" s="21">
        <f>CHOOSE(UserInterface!$C$22,#REF!,#REF!,#REF!,#REF!,#REF!,Scotland!AU388,Southern!AU388,#REF!)</f>
        <v>0</v>
      </c>
      <c r="AV388" s="21">
        <f>CHOOSE(UserInterface!$C$22,#REF!,#REF!,#REF!,#REF!,#REF!,Scotland!AV388,Southern!AV388,#REF!)</f>
        <v>0</v>
      </c>
      <c r="AW388" s="21">
        <f>CHOOSE(UserInterface!$C$22,#REF!,#REF!,#REF!,#REF!,#REF!,Scotland!AW388,Southern!AW388,#REF!)</f>
        <v>0</v>
      </c>
      <c r="AX388" s="21">
        <f>CHOOSE(UserInterface!$C$22,#REF!,#REF!,#REF!,#REF!,#REF!,Scotland!AX388,Southern!AX388,#REF!)</f>
        <v>0</v>
      </c>
      <c r="AY388" s="21">
        <f>CHOOSE(UserInterface!$C$22,#REF!,#REF!,#REF!,#REF!,#REF!,Scotland!AY388,Southern!AY388,#REF!)</f>
        <v>0</v>
      </c>
      <c r="BA388" s="34" t="str">
        <f t="shared" ca="1" si="149"/>
        <v>LicenseeSelect</v>
      </c>
      <c r="BB388" s="34" t="str">
        <f t="shared" si="150"/>
        <v>Fixed Inputs</v>
      </c>
      <c r="BC388" s="34" t="str">
        <f t="shared" si="157"/>
        <v>Variant allowances</v>
      </c>
      <c r="BD388" s="34" t="str">
        <f t="shared" si="152"/>
        <v>Totex variant allowances allocation percentages</v>
      </c>
    </row>
    <row r="389" spans="5:56" x14ac:dyDescent="0.35">
      <c r="E389" s="195" t="str" cm="1">
        <f t="array" ref="E389">INDEX($E$99:$E$202,INT((ROW()-ROW($E$205))/5)+1)</f>
        <v>Re-opener_Net zero re-opener / Decarbonisation and Environmental Policy Re-opener</v>
      </c>
      <c r="F389" s="196"/>
      <c r="G389" s="196" t="s">
        <v>109</v>
      </c>
      <c r="H389" s="196" t="s">
        <v>172</v>
      </c>
      <c r="I389" s="196"/>
      <c r="J389" s="196"/>
      <c r="K389" s="196"/>
      <c r="L389" s="196"/>
      <c r="M389" s="196"/>
      <c r="N389" s="196"/>
      <c r="O389" s="196"/>
      <c r="P389" s="196"/>
      <c r="Q389" s="196"/>
      <c r="R389" s="196"/>
      <c r="S389" s="196"/>
      <c r="T389" s="196"/>
      <c r="U389" s="196"/>
      <c r="V389" s="196"/>
      <c r="W389" s="196"/>
      <c r="X389" s="196"/>
      <c r="Y389" s="196"/>
      <c r="Z389" s="196"/>
      <c r="AA389" s="196"/>
      <c r="AB389" s="196"/>
      <c r="AC389" s="196"/>
      <c r="AD389" s="196"/>
      <c r="AE389" s="196"/>
      <c r="AF389" s="196"/>
      <c r="AG389" s="196"/>
      <c r="AH389" s="196"/>
      <c r="AI389" s="196"/>
      <c r="AJ389" s="196"/>
      <c r="AK389" s="196"/>
      <c r="AL389" s="196"/>
      <c r="AM389" s="196"/>
      <c r="AN389" s="196"/>
      <c r="AO389" s="196"/>
      <c r="AP389" s="196"/>
      <c r="AQ389" s="196"/>
      <c r="AR389" s="196"/>
      <c r="AS389" s="196"/>
      <c r="AT389" s="197"/>
      <c r="AU389" s="21">
        <f>CHOOSE(UserInterface!$C$22,#REF!,#REF!,#REF!,#REF!,#REF!,Scotland!AU389,Southern!AU389,#REF!)</f>
        <v>0</v>
      </c>
      <c r="AV389" s="21">
        <f>CHOOSE(UserInterface!$C$22,#REF!,#REF!,#REF!,#REF!,#REF!,Scotland!AV389,Southern!AV389,#REF!)</f>
        <v>0</v>
      </c>
      <c r="AW389" s="21">
        <f>CHOOSE(UserInterface!$C$22,#REF!,#REF!,#REF!,#REF!,#REF!,Scotland!AW389,Southern!AW389,#REF!)</f>
        <v>0</v>
      </c>
      <c r="AX389" s="21">
        <f>CHOOSE(UserInterface!$C$22,#REF!,#REF!,#REF!,#REF!,#REF!,Scotland!AX389,Southern!AX389,#REF!)</f>
        <v>0</v>
      </c>
      <c r="AY389" s="21">
        <f>CHOOSE(UserInterface!$C$22,#REF!,#REF!,#REF!,#REF!,#REF!,Scotland!AY389,Southern!AY389,#REF!)</f>
        <v>0</v>
      </c>
      <c r="BA389" s="34" t="str">
        <f t="shared" ca="1" si="149"/>
        <v>LicenseeSelect</v>
      </c>
      <c r="BB389" s="34" t="str">
        <f t="shared" si="150"/>
        <v>Fixed Inputs</v>
      </c>
      <c r="BC389" s="34" t="str">
        <f t="shared" si="157"/>
        <v>Variant allowances</v>
      </c>
      <c r="BD389" s="34" t="str">
        <f t="shared" si="152"/>
        <v>Totex variant allowances allocation percentages</v>
      </c>
    </row>
    <row r="390" spans="5:56" x14ac:dyDescent="0.35">
      <c r="E390" s="187" t="str" cm="1">
        <f t="array" ref="E390">INDEX($E$99:$E$202,INT((ROW()-ROW($E$205))/5)+1)</f>
        <v>Re-opener_New Large Load Connections Re-opener</v>
      </c>
      <c r="F390" s="188"/>
      <c r="G390" s="188" t="s">
        <v>109</v>
      </c>
      <c r="H390" s="188" t="s">
        <v>168</v>
      </c>
      <c r="I390" s="188"/>
      <c r="J390" s="188"/>
      <c r="K390" s="188"/>
      <c r="L390" s="188"/>
      <c r="M390" s="188"/>
      <c r="N390" s="188"/>
      <c r="O390" s="188"/>
      <c r="P390" s="188"/>
      <c r="Q390" s="188"/>
      <c r="R390" s="188"/>
      <c r="S390" s="188"/>
      <c r="T390" s="188"/>
      <c r="U390" s="188"/>
      <c r="V390" s="188"/>
      <c r="W390" s="188"/>
      <c r="X390" s="188"/>
      <c r="Y390" s="188"/>
      <c r="Z390" s="188"/>
      <c r="AA390" s="188"/>
      <c r="AB390" s="188"/>
      <c r="AC390" s="188"/>
      <c r="AD390" s="188"/>
      <c r="AE390" s="188"/>
      <c r="AF390" s="188"/>
      <c r="AG390" s="188"/>
      <c r="AH390" s="188"/>
      <c r="AI390" s="188"/>
      <c r="AJ390" s="188"/>
      <c r="AK390" s="188"/>
      <c r="AL390" s="188"/>
      <c r="AM390" s="188"/>
      <c r="AN390" s="188"/>
      <c r="AO390" s="188"/>
      <c r="AP390" s="188"/>
      <c r="AQ390" s="188"/>
      <c r="AR390" s="188"/>
      <c r="AS390" s="188"/>
      <c r="AT390" s="189"/>
      <c r="AU390" s="190">
        <f>CHOOSE(UserInterface!$C$22,#REF!,#REF!,#REF!,#REF!,#REF!,Scotland!AU390,Southern!AU390,#REF!)</f>
        <v>0</v>
      </c>
      <c r="AV390" s="191">
        <f>CHOOSE(UserInterface!$C$22,#REF!,#REF!,#REF!,#REF!,#REF!,Scotland!AV390,Southern!AV390,#REF!)</f>
        <v>0</v>
      </c>
      <c r="AW390" s="191">
        <f>CHOOSE(UserInterface!$C$22,#REF!,#REF!,#REF!,#REF!,#REF!,Scotland!AW390,Southern!AW390,#REF!)</f>
        <v>0</v>
      </c>
      <c r="AX390" s="191">
        <f>CHOOSE(UserInterface!$C$22,#REF!,#REF!,#REF!,#REF!,#REF!,Scotland!AX390,Southern!AX390,#REF!)</f>
        <v>0</v>
      </c>
      <c r="AY390" s="192">
        <f>CHOOSE(UserInterface!$C$22,#REF!,#REF!,#REF!,#REF!,#REF!,Scotland!AY390,Southern!AY390,#REF!)</f>
        <v>0</v>
      </c>
      <c r="BA390" s="34" t="str">
        <f t="shared" ca="1" si="149"/>
        <v>LicenseeSelect</v>
      </c>
      <c r="BB390" s="34" t="str">
        <f t="shared" si="150"/>
        <v>Fixed Inputs</v>
      </c>
      <c r="BC390" s="34" t="str">
        <f t="shared" si="157"/>
        <v>Variant allowances</v>
      </c>
      <c r="BD390" s="34" t="str">
        <f t="shared" si="152"/>
        <v>Totex variant allowances allocation percentages</v>
      </c>
    </row>
    <row r="391" spans="5:56" x14ac:dyDescent="0.35">
      <c r="E391" s="193" t="str" cm="1">
        <f t="array" ref="E391">INDEX($E$99:$E$202,INT((ROW()-ROW($E$205))/5)+1)</f>
        <v>Re-opener_New Large Load Connections Re-opener</v>
      </c>
      <c r="G391" s="33" t="s">
        <v>109</v>
      </c>
      <c r="H391" s="33" t="s">
        <v>169</v>
      </c>
      <c r="AT391" s="108"/>
      <c r="AU391" s="140">
        <f>CHOOSE(UserInterface!$C$22,#REF!,#REF!,#REF!,#REF!,#REF!,Scotland!AU391,Southern!AU391,#REF!)</f>
        <v>0</v>
      </c>
      <c r="AV391" s="23">
        <f>CHOOSE(UserInterface!$C$22,#REF!,#REF!,#REF!,#REF!,#REF!,Scotland!AV391,Southern!AV391,#REF!)</f>
        <v>0</v>
      </c>
      <c r="AW391" s="23">
        <f>CHOOSE(UserInterface!$C$22,#REF!,#REF!,#REF!,#REF!,#REF!,Scotland!AW391,Southern!AW391,#REF!)</f>
        <v>0</v>
      </c>
      <c r="AX391" s="23">
        <f>CHOOSE(UserInterface!$C$22,#REF!,#REF!,#REF!,#REF!,#REF!,Scotland!AX391,Southern!AX391,#REF!)</f>
        <v>0</v>
      </c>
      <c r="AY391" s="194">
        <f>CHOOSE(UserInterface!$C$22,#REF!,#REF!,#REF!,#REF!,#REF!,Scotland!AY391,Southern!AY391,#REF!)</f>
        <v>0</v>
      </c>
      <c r="BA391" s="34" t="str">
        <f t="shared" ca="1" si="149"/>
        <v>LicenseeSelect</v>
      </c>
      <c r="BB391" s="34" t="str">
        <f t="shared" si="150"/>
        <v>Fixed Inputs</v>
      </c>
      <c r="BC391" s="34" t="str">
        <f t="shared" si="157"/>
        <v>Variant allowances</v>
      </c>
      <c r="BD391" s="34" t="str">
        <f t="shared" si="152"/>
        <v>Totex variant allowances allocation percentages</v>
      </c>
    </row>
    <row r="392" spans="5:56" x14ac:dyDescent="0.35">
      <c r="E392" s="193" t="str" cm="1">
        <f t="array" ref="E392">INDEX($E$99:$E$202,INT((ROW()-ROW($E$205))/5)+1)</f>
        <v>Re-opener_New Large Load Connections Re-opener</v>
      </c>
      <c r="G392" s="33" t="s">
        <v>109</v>
      </c>
      <c r="H392" s="33" t="s">
        <v>170</v>
      </c>
      <c r="AT392" s="108"/>
      <c r="AU392" s="140">
        <f>CHOOSE(UserInterface!$C$22,#REF!,#REF!,#REF!,#REF!,#REF!,Scotland!AU392,Southern!AU392,#REF!)</f>
        <v>0</v>
      </c>
      <c r="AV392" s="23">
        <f>CHOOSE(UserInterface!$C$22,#REF!,#REF!,#REF!,#REF!,#REF!,Scotland!AV392,Southern!AV392,#REF!)</f>
        <v>0</v>
      </c>
      <c r="AW392" s="23">
        <f>CHOOSE(UserInterface!$C$22,#REF!,#REF!,#REF!,#REF!,#REF!,Scotland!AW392,Southern!AW392,#REF!)</f>
        <v>0</v>
      </c>
      <c r="AX392" s="23">
        <f>CHOOSE(UserInterface!$C$22,#REF!,#REF!,#REF!,#REF!,#REF!,Scotland!AX392,Southern!AX392,#REF!)</f>
        <v>0</v>
      </c>
      <c r="AY392" s="194">
        <f>CHOOSE(UserInterface!$C$22,#REF!,#REF!,#REF!,#REF!,#REF!,Scotland!AY392,Southern!AY392,#REF!)</f>
        <v>0</v>
      </c>
      <c r="BA392" s="34" t="str">
        <f t="shared" ca="1" si="149"/>
        <v>LicenseeSelect</v>
      </c>
      <c r="BB392" s="34" t="str">
        <f t="shared" si="150"/>
        <v>Fixed Inputs</v>
      </c>
      <c r="BC392" s="34" t="str">
        <f t="shared" si="157"/>
        <v>Variant allowances</v>
      </c>
      <c r="BD392" s="34" t="str">
        <f t="shared" si="152"/>
        <v>Totex variant allowances allocation percentages</v>
      </c>
    </row>
    <row r="393" spans="5:56" x14ac:dyDescent="0.35">
      <c r="E393" s="193" t="str" cm="1">
        <f t="array" ref="E393">INDEX($E$99:$E$202,INT((ROW()-ROW($E$205))/5)+1)</f>
        <v>Re-opener_New Large Load Connections Re-opener</v>
      </c>
      <c r="G393" s="33" t="s">
        <v>109</v>
      </c>
      <c r="H393" s="33" t="s">
        <v>171</v>
      </c>
      <c r="AT393" s="108"/>
      <c r="AU393" s="140">
        <f>CHOOSE(UserInterface!$C$22,#REF!,#REF!,#REF!,#REF!,#REF!,Scotland!AU393,Southern!AU393,#REF!)</f>
        <v>0</v>
      </c>
      <c r="AV393" s="23">
        <f>CHOOSE(UserInterface!$C$22,#REF!,#REF!,#REF!,#REF!,#REF!,Scotland!AV393,Southern!AV393,#REF!)</f>
        <v>0</v>
      </c>
      <c r="AW393" s="23">
        <f>CHOOSE(UserInterface!$C$22,#REF!,#REF!,#REF!,#REF!,#REF!,Scotland!AW393,Southern!AW393,#REF!)</f>
        <v>0</v>
      </c>
      <c r="AX393" s="23">
        <f>CHOOSE(UserInterface!$C$22,#REF!,#REF!,#REF!,#REF!,#REF!,Scotland!AX393,Southern!AX393,#REF!)</f>
        <v>0</v>
      </c>
      <c r="AY393" s="194">
        <f>CHOOSE(UserInterface!$C$22,#REF!,#REF!,#REF!,#REF!,#REF!,Scotland!AY393,Southern!AY393,#REF!)</f>
        <v>0</v>
      </c>
      <c r="BA393" s="34" t="str">
        <f t="shared" ca="1" si="149"/>
        <v>LicenseeSelect</v>
      </c>
      <c r="BB393" s="34" t="str">
        <f t="shared" si="150"/>
        <v>Fixed Inputs</v>
      </c>
      <c r="BC393" s="34" t="str">
        <f t="shared" si="157"/>
        <v>Variant allowances</v>
      </c>
      <c r="BD393" s="34" t="str">
        <f t="shared" si="152"/>
        <v>Totex variant allowances allocation percentages</v>
      </c>
    </row>
    <row r="394" spans="5:56" x14ac:dyDescent="0.35">
      <c r="E394" s="195" t="str" cm="1">
        <f t="array" ref="E394">INDEX($E$99:$E$202,INT((ROW()-ROW($E$205))/5)+1)</f>
        <v>Re-opener_New Large Load Connections Re-opener</v>
      </c>
      <c r="F394" s="196"/>
      <c r="G394" s="196" t="s">
        <v>109</v>
      </c>
      <c r="H394" s="196" t="s">
        <v>172</v>
      </c>
      <c r="I394" s="196"/>
      <c r="J394" s="196"/>
      <c r="K394" s="196"/>
      <c r="L394" s="196"/>
      <c r="M394" s="196"/>
      <c r="N394" s="196"/>
      <c r="O394" s="196"/>
      <c r="P394" s="196"/>
      <c r="Q394" s="196"/>
      <c r="R394" s="196"/>
      <c r="S394" s="196"/>
      <c r="T394" s="196"/>
      <c r="U394" s="196"/>
      <c r="V394" s="196"/>
      <c r="W394" s="196"/>
      <c r="X394" s="196"/>
      <c r="Y394" s="196"/>
      <c r="Z394" s="196"/>
      <c r="AA394" s="196"/>
      <c r="AB394" s="196"/>
      <c r="AC394" s="196"/>
      <c r="AD394" s="196"/>
      <c r="AE394" s="196"/>
      <c r="AF394" s="196"/>
      <c r="AG394" s="196"/>
      <c r="AH394" s="196"/>
      <c r="AI394" s="196"/>
      <c r="AJ394" s="196"/>
      <c r="AK394" s="196"/>
      <c r="AL394" s="196"/>
      <c r="AM394" s="196"/>
      <c r="AN394" s="196"/>
      <c r="AO394" s="196"/>
      <c r="AP394" s="196"/>
      <c r="AQ394" s="196"/>
      <c r="AR394" s="196"/>
      <c r="AS394" s="196"/>
      <c r="AT394" s="197"/>
      <c r="AU394" s="198">
        <f>CHOOSE(UserInterface!$C$22,#REF!,#REF!,#REF!,#REF!,#REF!,Scotland!AU394,Southern!AU394,#REF!)</f>
        <v>0</v>
      </c>
      <c r="AV394" s="199">
        <f>CHOOSE(UserInterface!$C$22,#REF!,#REF!,#REF!,#REF!,#REF!,Scotland!AV394,Southern!AV394,#REF!)</f>
        <v>0</v>
      </c>
      <c r="AW394" s="199">
        <f>CHOOSE(UserInterface!$C$22,#REF!,#REF!,#REF!,#REF!,#REF!,Scotland!AW394,Southern!AW394,#REF!)</f>
        <v>0</v>
      </c>
      <c r="AX394" s="199">
        <f>CHOOSE(UserInterface!$C$22,#REF!,#REF!,#REF!,#REF!,#REF!,Scotland!AX394,Southern!AX394,#REF!)</f>
        <v>0</v>
      </c>
      <c r="AY394" s="200">
        <f>CHOOSE(UserInterface!$C$22,#REF!,#REF!,#REF!,#REF!,#REF!,Scotland!AY394,Southern!AY394,#REF!)</f>
        <v>0</v>
      </c>
      <c r="BA394" s="34" t="str">
        <f t="shared" ca="1" si="149"/>
        <v>LicenseeSelect</v>
      </c>
      <c r="BB394" s="34" t="str">
        <f t="shared" si="150"/>
        <v>Fixed Inputs</v>
      </c>
      <c r="BC394" s="34" t="str">
        <f t="shared" si="157"/>
        <v>Variant allowances</v>
      </c>
      <c r="BD394" s="34" t="str">
        <f t="shared" si="152"/>
        <v>Totex variant allowances allocation percentages</v>
      </c>
    </row>
    <row r="395" spans="5:56" x14ac:dyDescent="0.35">
      <c r="E395" s="187" t="str" cm="1">
        <f t="array" ref="E395">INDEX($E$99:$E$202,INT((ROW()-ROW($E$205))/5)+1)</f>
        <v>Re-opener_Resilience re-opener / Resilience Activity Re-opener</v>
      </c>
      <c r="F395" s="188"/>
      <c r="G395" s="188" t="s">
        <v>109</v>
      </c>
      <c r="H395" s="188" t="s">
        <v>168</v>
      </c>
      <c r="I395" s="188"/>
      <c r="J395" s="188"/>
      <c r="K395" s="188"/>
      <c r="L395" s="188"/>
      <c r="M395" s="188"/>
      <c r="N395" s="188"/>
      <c r="O395" s="188"/>
      <c r="P395" s="188"/>
      <c r="Q395" s="188"/>
      <c r="R395" s="188"/>
      <c r="S395" s="188"/>
      <c r="T395" s="188"/>
      <c r="U395" s="188"/>
      <c r="V395" s="188"/>
      <c r="W395" s="188"/>
      <c r="X395" s="188"/>
      <c r="Y395" s="188"/>
      <c r="Z395" s="188"/>
      <c r="AA395" s="188"/>
      <c r="AB395" s="188"/>
      <c r="AC395" s="188"/>
      <c r="AD395" s="188"/>
      <c r="AE395" s="188"/>
      <c r="AF395" s="188"/>
      <c r="AG395" s="188"/>
      <c r="AH395" s="188"/>
      <c r="AI395" s="188"/>
      <c r="AJ395" s="188"/>
      <c r="AK395" s="188"/>
      <c r="AL395" s="188"/>
      <c r="AM395" s="188"/>
      <c r="AN395" s="188"/>
      <c r="AO395" s="188"/>
      <c r="AP395" s="188"/>
      <c r="AQ395" s="188"/>
      <c r="AR395" s="188"/>
      <c r="AS395" s="188"/>
      <c r="AT395" s="189"/>
      <c r="AU395" s="190">
        <f>CHOOSE(UserInterface!$C$22,#REF!,#REF!,#REF!,#REF!,#REF!,Scotland!AU395,Southern!AU395,#REF!)</f>
        <v>0</v>
      </c>
      <c r="AV395" s="191">
        <f>CHOOSE(UserInterface!$C$22,#REF!,#REF!,#REF!,#REF!,#REF!,Scotland!AV395,Southern!AV395,#REF!)</f>
        <v>0</v>
      </c>
      <c r="AW395" s="191">
        <f>CHOOSE(UserInterface!$C$22,#REF!,#REF!,#REF!,#REF!,#REF!,Scotland!AW395,Southern!AW395,#REF!)</f>
        <v>0</v>
      </c>
      <c r="AX395" s="191">
        <f>CHOOSE(UserInterface!$C$22,#REF!,#REF!,#REF!,#REF!,#REF!,Scotland!AX395,Southern!AX395,#REF!)</f>
        <v>0</v>
      </c>
      <c r="AY395" s="192">
        <f>CHOOSE(UserInterface!$C$22,#REF!,#REF!,#REF!,#REF!,#REF!,Scotland!AY395,Southern!AY395,#REF!)</f>
        <v>0</v>
      </c>
      <c r="BA395" s="34" t="str">
        <f t="shared" ca="1" si="149"/>
        <v>LicenseeSelect</v>
      </c>
      <c r="BB395" s="34" t="str">
        <f t="shared" si="150"/>
        <v>Fixed Inputs</v>
      </c>
      <c r="BC395" s="34" t="str">
        <f t="shared" si="157"/>
        <v>Variant allowances</v>
      </c>
      <c r="BD395" s="34" t="str">
        <f t="shared" si="152"/>
        <v>Totex variant allowances allocation percentages</v>
      </c>
    </row>
    <row r="396" spans="5:56" x14ac:dyDescent="0.35">
      <c r="E396" s="193" t="str" cm="1">
        <f t="array" ref="E396">INDEX($E$99:$E$202,INT((ROW()-ROW($E$205))/5)+1)</f>
        <v>Re-opener_Resilience re-opener / Resilience Activity Re-opener</v>
      </c>
      <c r="G396" s="33" t="s">
        <v>109</v>
      </c>
      <c r="H396" s="33" t="s">
        <v>169</v>
      </c>
      <c r="AT396" s="108"/>
      <c r="AU396" s="140">
        <f>CHOOSE(UserInterface!$C$22,#REF!,#REF!,#REF!,#REF!,#REF!,Scotland!AU396,Southern!AU396,#REF!)</f>
        <v>0</v>
      </c>
      <c r="AV396" s="23">
        <f>CHOOSE(UserInterface!$C$22,#REF!,#REF!,#REF!,#REF!,#REF!,Scotland!AV396,Southern!AV396,#REF!)</f>
        <v>0</v>
      </c>
      <c r="AW396" s="23">
        <f>CHOOSE(UserInterface!$C$22,#REF!,#REF!,#REF!,#REF!,#REF!,Scotland!AW396,Southern!AW396,#REF!)</f>
        <v>0</v>
      </c>
      <c r="AX396" s="23">
        <f>CHOOSE(UserInterface!$C$22,#REF!,#REF!,#REF!,#REF!,#REF!,Scotland!AX396,Southern!AX396,#REF!)</f>
        <v>0</v>
      </c>
      <c r="AY396" s="194">
        <f>CHOOSE(UserInterface!$C$22,#REF!,#REF!,#REF!,#REF!,#REF!,Scotland!AY396,Southern!AY396,#REF!)</f>
        <v>0</v>
      </c>
      <c r="BA396" s="34" t="str">
        <f t="shared" ca="1" si="149"/>
        <v>LicenseeSelect</v>
      </c>
      <c r="BB396" s="34" t="str">
        <f t="shared" si="150"/>
        <v>Fixed Inputs</v>
      </c>
      <c r="BC396" s="34" t="str">
        <f t="shared" si="157"/>
        <v>Variant allowances</v>
      </c>
      <c r="BD396" s="34" t="str">
        <f t="shared" si="152"/>
        <v>Totex variant allowances allocation percentages</v>
      </c>
    </row>
    <row r="397" spans="5:56" x14ac:dyDescent="0.35">
      <c r="E397" s="193" t="str" cm="1">
        <f t="array" ref="E397">INDEX($E$99:$E$202,INT((ROW()-ROW($E$205))/5)+1)</f>
        <v>Re-opener_Resilience re-opener / Resilience Activity Re-opener</v>
      </c>
      <c r="G397" s="33" t="s">
        <v>109</v>
      </c>
      <c r="H397" s="33" t="s">
        <v>170</v>
      </c>
      <c r="AT397" s="108"/>
      <c r="AU397" s="140">
        <f>CHOOSE(UserInterface!$C$22,#REF!,#REF!,#REF!,#REF!,#REF!,Scotland!AU397,Southern!AU397,#REF!)</f>
        <v>0</v>
      </c>
      <c r="AV397" s="23">
        <f>CHOOSE(UserInterface!$C$22,#REF!,#REF!,#REF!,#REF!,#REF!,Scotland!AV397,Southern!AV397,#REF!)</f>
        <v>0</v>
      </c>
      <c r="AW397" s="23">
        <f>CHOOSE(UserInterface!$C$22,#REF!,#REF!,#REF!,#REF!,#REF!,Scotland!AW397,Southern!AW397,#REF!)</f>
        <v>0</v>
      </c>
      <c r="AX397" s="23">
        <f>CHOOSE(UserInterface!$C$22,#REF!,#REF!,#REF!,#REF!,#REF!,Scotland!AX397,Southern!AX397,#REF!)</f>
        <v>0</v>
      </c>
      <c r="AY397" s="194">
        <f>CHOOSE(UserInterface!$C$22,#REF!,#REF!,#REF!,#REF!,#REF!,Scotland!AY397,Southern!AY397,#REF!)</f>
        <v>0</v>
      </c>
      <c r="BA397" s="34" t="str">
        <f t="shared" ca="1" si="149"/>
        <v>LicenseeSelect</v>
      </c>
      <c r="BB397" s="34" t="str">
        <f t="shared" si="150"/>
        <v>Fixed Inputs</v>
      </c>
      <c r="BC397" s="34" t="str">
        <f t="shared" ref="BC397:BC454" si="158">$B$151</f>
        <v>Variant allowances</v>
      </c>
      <c r="BD397" s="34" t="str">
        <f t="shared" si="152"/>
        <v>Totex variant allowances allocation percentages</v>
      </c>
    </row>
    <row r="398" spans="5:56" x14ac:dyDescent="0.35">
      <c r="E398" s="193" t="str" cm="1">
        <f t="array" ref="E398">INDEX($E$99:$E$202,INT((ROW()-ROW($E$205))/5)+1)</f>
        <v>Re-opener_Resilience re-opener / Resilience Activity Re-opener</v>
      </c>
      <c r="G398" s="33" t="s">
        <v>109</v>
      </c>
      <c r="H398" s="33" t="s">
        <v>171</v>
      </c>
      <c r="AT398" s="108"/>
      <c r="AU398" s="140">
        <f>CHOOSE(UserInterface!$C$22,#REF!,#REF!,#REF!,#REF!,#REF!,Scotland!AU398,Southern!AU398,#REF!)</f>
        <v>0</v>
      </c>
      <c r="AV398" s="23">
        <f>CHOOSE(UserInterface!$C$22,#REF!,#REF!,#REF!,#REF!,#REF!,Scotland!AV398,Southern!AV398,#REF!)</f>
        <v>0</v>
      </c>
      <c r="AW398" s="23">
        <f>CHOOSE(UserInterface!$C$22,#REF!,#REF!,#REF!,#REF!,#REF!,Scotland!AW398,Southern!AW398,#REF!)</f>
        <v>0</v>
      </c>
      <c r="AX398" s="23">
        <f>CHOOSE(UserInterface!$C$22,#REF!,#REF!,#REF!,#REF!,#REF!,Scotland!AX398,Southern!AX398,#REF!)</f>
        <v>0</v>
      </c>
      <c r="AY398" s="194">
        <f>CHOOSE(UserInterface!$C$22,#REF!,#REF!,#REF!,#REF!,#REF!,Scotland!AY398,Southern!AY398,#REF!)</f>
        <v>0</v>
      </c>
      <c r="BA398" s="34" t="str">
        <f t="shared" ca="1" si="149"/>
        <v>LicenseeSelect</v>
      </c>
      <c r="BB398" s="34" t="str">
        <f t="shared" si="150"/>
        <v>Fixed Inputs</v>
      </c>
      <c r="BC398" s="34" t="str">
        <f t="shared" si="158"/>
        <v>Variant allowances</v>
      </c>
      <c r="BD398" s="34" t="str">
        <f t="shared" si="152"/>
        <v>Totex variant allowances allocation percentages</v>
      </c>
    </row>
    <row r="399" spans="5:56" x14ac:dyDescent="0.35">
      <c r="E399" s="195" t="str" cm="1">
        <f t="array" ref="E399">INDEX($E$99:$E$202,INT((ROW()-ROW($E$205))/5)+1)</f>
        <v>Re-opener_Resilience re-opener / Resilience Activity Re-opener</v>
      </c>
      <c r="F399" s="196"/>
      <c r="G399" s="196" t="s">
        <v>109</v>
      </c>
      <c r="H399" s="196" t="s">
        <v>172</v>
      </c>
      <c r="I399" s="196"/>
      <c r="J399" s="196"/>
      <c r="K399" s="196"/>
      <c r="L399" s="196"/>
      <c r="M399" s="196"/>
      <c r="N399" s="196"/>
      <c r="O399" s="196"/>
      <c r="P399" s="196"/>
      <c r="Q399" s="196"/>
      <c r="R399" s="196"/>
      <c r="S399" s="196"/>
      <c r="T399" s="196"/>
      <c r="U399" s="196"/>
      <c r="V399" s="196"/>
      <c r="W399" s="196"/>
      <c r="X399" s="196"/>
      <c r="Y399" s="196"/>
      <c r="Z399" s="196"/>
      <c r="AA399" s="196"/>
      <c r="AB399" s="196"/>
      <c r="AC399" s="196"/>
      <c r="AD399" s="196"/>
      <c r="AE399" s="196"/>
      <c r="AF399" s="196"/>
      <c r="AG399" s="196"/>
      <c r="AH399" s="196"/>
      <c r="AI399" s="196"/>
      <c r="AJ399" s="196"/>
      <c r="AK399" s="196"/>
      <c r="AL399" s="196"/>
      <c r="AM399" s="196"/>
      <c r="AN399" s="196"/>
      <c r="AO399" s="196"/>
      <c r="AP399" s="196"/>
      <c r="AQ399" s="196"/>
      <c r="AR399" s="196"/>
      <c r="AS399" s="196"/>
      <c r="AT399" s="197"/>
      <c r="AU399" s="198">
        <f>CHOOSE(UserInterface!$C$22,#REF!,#REF!,#REF!,#REF!,#REF!,Scotland!AU399,Southern!AU399,#REF!)</f>
        <v>0</v>
      </c>
      <c r="AV399" s="199">
        <f>CHOOSE(UserInterface!$C$22,#REF!,#REF!,#REF!,#REF!,#REF!,Scotland!AV399,Southern!AV399,#REF!)</f>
        <v>0</v>
      </c>
      <c r="AW399" s="199">
        <f>CHOOSE(UserInterface!$C$22,#REF!,#REF!,#REF!,#REF!,#REF!,Scotland!AW399,Southern!AW399,#REF!)</f>
        <v>0</v>
      </c>
      <c r="AX399" s="199">
        <f>CHOOSE(UserInterface!$C$22,#REF!,#REF!,#REF!,#REF!,#REF!,Scotland!AX399,Southern!AX399,#REF!)</f>
        <v>0</v>
      </c>
      <c r="AY399" s="200">
        <f>CHOOSE(UserInterface!$C$22,#REF!,#REF!,#REF!,#REF!,#REF!,Scotland!AY399,Southern!AY399,#REF!)</f>
        <v>0</v>
      </c>
      <c r="BA399" s="34" t="str">
        <f t="shared" ca="1" si="149"/>
        <v>LicenseeSelect</v>
      </c>
      <c r="BB399" s="34" t="str">
        <f t="shared" si="150"/>
        <v>Fixed Inputs</v>
      </c>
      <c r="BC399" s="34" t="str">
        <f t="shared" si="158"/>
        <v>Variant allowances</v>
      </c>
      <c r="BD399" s="34" t="str">
        <f t="shared" si="152"/>
        <v>Totex variant allowances allocation percentages</v>
      </c>
    </row>
    <row r="400" spans="5:56" x14ac:dyDescent="0.35">
      <c r="E400" s="187" t="str" cm="1">
        <f t="array" ref="E400">INDEX($E$99:$E$202,INT((ROW()-ROW($E$205))/5)+1)</f>
        <v>Re-opener_Specified Streetworks Costs Re-opener</v>
      </c>
      <c r="F400" s="188"/>
      <c r="G400" s="188" t="s">
        <v>109</v>
      </c>
      <c r="H400" s="188" t="s">
        <v>168</v>
      </c>
      <c r="I400" s="188"/>
      <c r="J400" s="188"/>
      <c r="K400" s="188"/>
      <c r="L400" s="188"/>
      <c r="M400" s="188"/>
      <c r="N400" s="188"/>
      <c r="O400" s="188"/>
      <c r="P400" s="188"/>
      <c r="Q400" s="188"/>
      <c r="R400" s="188"/>
      <c r="S400" s="188"/>
      <c r="T400" s="188"/>
      <c r="U400" s="188"/>
      <c r="V400" s="188"/>
      <c r="W400" s="188"/>
      <c r="X400" s="188"/>
      <c r="Y400" s="188"/>
      <c r="Z400" s="188"/>
      <c r="AA400" s="188"/>
      <c r="AB400" s="188"/>
      <c r="AC400" s="188"/>
      <c r="AD400" s="188"/>
      <c r="AE400" s="188"/>
      <c r="AF400" s="188"/>
      <c r="AG400" s="188"/>
      <c r="AH400" s="188"/>
      <c r="AI400" s="188"/>
      <c r="AJ400" s="188"/>
      <c r="AK400" s="188"/>
      <c r="AL400" s="188"/>
      <c r="AM400" s="188"/>
      <c r="AN400" s="188"/>
      <c r="AO400" s="188"/>
      <c r="AP400" s="188"/>
      <c r="AQ400" s="188"/>
      <c r="AR400" s="188"/>
      <c r="AS400" s="188"/>
      <c r="AT400" s="189"/>
      <c r="AU400" s="190">
        <f>CHOOSE(UserInterface!$C$22,#REF!,#REF!,#REF!,#REF!,#REF!,Scotland!AU400,Southern!AU400,#REF!)</f>
        <v>0</v>
      </c>
      <c r="AV400" s="191">
        <f>CHOOSE(UserInterface!$C$22,#REF!,#REF!,#REF!,#REF!,#REF!,Scotland!AV400,Southern!AV400,#REF!)</f>
        <v>0</v>
      </c>
      <c r="AW400" s="191">
        <f>CHOOSE(UserInterface!$C$22,#REF!,#REF!,#REF!,#REF!,#REF!,Scotland!AW400,Southern!AW400,#REF!)</f>
        <v>0</v>
      </c>
      <c r="AX400" s="191">
        <f>CHOOSE(UserInterface!$C$22,#REF!,#REF!,#REF!,#REF!,#REF!,Scotland!AX400,Southern!AX400,#REF!)</f>
        <v>0</v>
      </c>
      <c r="AY400" s="192">
        <f>CHOOSE(UserInterface!$C$22,#REF!,#REF!,#REF!,#REF!,#REF!,Scotland!AY400,Southern!AY400,#REF!)</f>
        <v>0</v>
      </c>
      <c r="BA400" s="34" t="str">
        <f t="shared" ca="1" si="149"/>
        <v>LicenseeSelect</v>
      </c>
      <c r="BB400" s="34" t="str">
        <f t="shared" si="150"/>
        <v>Fixed Inputs</v>
      </c>
      <c r="BC400" s="34" t="str">
        <f t="shared" si="158"/>
        <v>Variant allowances</v>
      </c>
      <c r="BD400" s="34" t="str">
        <f t="shared" si="152"/>
        <v>Totex variant allowances allocation percentages</v>
      </c>
    </row>
    <row r="401" spans="5:56" x14ac:dyDescent="0.35">
      <c r="E401" s="193" t="str" cm="1">
        <f t="array" ref="E401">INDEX($E$99:$E$202,INT((ROW()-ROW($E$205))/5)+1)</f>
        <v>Re-opener_Specified Streetworks Costs Re-opener</v>
      </c>
      <c r="G401" s="33" t="s">
        <v>109</v>
      </c>
      <c r="H401" s="33" t="s">
        <v>169</v>
      </c>
      <c r="AT401" s="108"/>
      <c r="AU401" s="140">
        <f>CHOOSE(UserInterface!$C$22,#REF!,#REF!,#REF!,#REF!,#REF!,Scotland!AU401,Southern!AU401,#REF!)</f>
        <v>0</v>
      </c>
      <c r="AV401" s="23">
        <f>CHOOSE(UserInterface!$C$22,#REF!,#REF!,#REF!,#REF!,#REF!,Scotland!AV401,Southern!AV401,#REF!)</f>
        <v>0</v>
      </c>
      <c r="AW401" s="23">
        <f>CHOOSE(UserInterface!$C$22,#REF!,#REF!,#REF!,#REF!,#REF!,Scotland!AW401,Southern!AW401,#REF!)</f>
        <v>0</v>
      </c>
      <c r="AX401" s="23">
        <f>CHOOSE(UserInterface!$C$22,#REF!,#REF!,#REF!,#REF!,#REF!,Scotland!AX401,Southern!AX401,#REF!)</f>
        <v>0</v>
      </c>
      <c r="AY401" s="194">
        <f>CHOOSE(UserInterface!$C$22,#REF!,#REF!,#REF!,#REF!,#REF!,Scotland!AY401,Southern!AY401,#REF!)</f>
        <v>0</v>
      </c>
      <c r="BA401" s="34" t="str">
        <f t="shared" ca="1" si="149"/>
        <v>LicenseeSelect</v>
      </c>
      <c r="BB401" s="34" t="str">
        <f t="shared" si="150"/>
        <v>Fixed Inputs</v>
      </c>
      <c r="BC401" s="34" t="str">
        <f t="shared" si="158"/>
        <v>Variant allowances</v>
      </c>
      <c r="BD401" s="34" t="str">
        <f t="shared" si="152"/>
        <v>Totex variant allowances allocation percentages</v>
      </c>
    </row>
    <row r="402" spans="5:56" x14ac:dyDescent="0.35">
      <c r="E402" s="193" t="str" cm="1">
        <f t="array" ref="E402">INDEX($E$99:$E$202,INT((ROW()-ROW($E$205))/5)+1)</f>
        <v>Re-opener_Specified Streetworks Costs Re-opener</v>
      </c>
      <c r="G402" s="33" t="s">
        <v>109</v>
      </c>
      <c r="H402" s="33" t="s">
        <v>170</v>
      </c>
      <c r="AT402" s="108"/>
      <c r="AU402" s="140">
        <f>CHOOSE(UserInterface!$C$22,#REF!,#REF!,#REF!,#REF!,#REF!,Scotland!AU402,Southern!AU402,#REF!)</f>
        <v>0</v>
      </c>
      <c r="AV402" s="23">
        <f>CHOOSE(UserInterface!$C$22,#REF!,#REF!,#REF!,#REF!,#REF!,Scotland!AV402,Southern!AV402,#REF!)</f>
        <v>0</v>
      </c>
      <c r="AW402" s="23">
        <f>CHOOSE(UserInterface!$C$22,#REF!,#REF!,#REF!,#REF!,#REF!,Scotland!AW402,Southern!AW402,#REF!)</f>
        <v>0</v>
      </c>
      <c r="AX402" s="23">
        <f>CHOOSE(UserInterface!$C$22,#REF!,#REF!,#REF!,#REF!,#REF!,Scotland!AX402,Southern!AX402,#REF!)</f>
        <v>0</v>
      </c>
      <c r="AY402" s="194">
        <f>CHOOSE(UserInterface!$C$22,#REF!,#REF!,#REF!,#REF!,#REF!,Scotland!AY402,Southern!AY402,#REF!)</f>
        <v>0</v>
      </c>
      <c r="BA402" s="34" t="str">
        <f t="shared" ca="1" si="149"/>
        <v>LicenseeSelect</v>
      </c>
      <c r="BB402" s="34" t="str">
        <f t="shared" si="150"/>
        <v>Fixed Inputs</v>
      </c>
      <c r="BC402" s="34" t="str">
        <f t="shared" si="158"/>
        <v>Variant allowances</v>
      </c>
      <c r="BD402" s="34" t="str">
        <f t="shared" si="152"/>
        <v>Totex variant allowances allocation percentages</v>
      </c>
    </row>
    <row r="403" spans="5:56" x14ac:dyDescent="0.35">
      <c r="E403" s="193" t="str" cm="1">
        <f t="array" ref="E403">INDEX($E$99:$E$202,INT((ROW()-ROW($E$205))/5)+1)</f>
        <v>Re-opener_Specified Streetworks Costs Re-opener</v>
      </c>
      <c r="G403" s="33" t="s">
        <v>109</v>
      </c>
      <c r="H403" s="33" t="s">
        <v>171</v>
      </c>
      <c r="AT403" s="108"/>
      <c r="AU403" s="140">
        <f>CHOOSE(UserInterface!$C$22,#REF!,#REF!,#REF!,#REF!,#REF!,Scotland!AU403,Southern!AU403,#REF!)</f>
        <v>0</v>
      </c>
      <c r="AV403" s="23">
        <f>CHOOSE(UserInterface!$C$22,#REF!,#REF!,#REF!,#REF!,#REF!,Scotland!AV403,Southern!AV403,#REF!)</f>
        <v>0</v>
      </c>
      <c r="AW403" s="23">
        <f>CHOOSE(UserInterface!$C$22,#REF!,#REF!,#REF!,#REF!,#REF!,Scotland!AW403,Southern!AW403,#REF!)</f>
        <v>0</v>
      </c>
      <c r="AX403" s="23">
        <f>CHOOSE(UserInterface!$C$22,#REF!,#REF!,#REF!,#REF!,#REF!,Scotland!AX403,Southern!AX403,#REF!)</f>
        <v>0</v>
      </c>
      <c r="AY403" s="194">
        <f>CHOOSE(UserInterface!$C$22,#REF!,#REF!,#REF!,#REF!,#REF!,Scotland!AY403,Southern!AY403,#REF!)</f>
        <v>0</v>
      </c>
      <c r="BA403" s="34" t="str">
        <f t="shared" ca="1" si="149"/>
        <v>LicenseeSelect</v>
      </c>
      <c r="BB403" s="34" t="str">
        <f t="shared" si="150"/>
        <v>Fixed Inputs</v>
      </c>
      <c r="BC403" s="34" t="str">
        <f t="shared" si="158"/>
        <v>Variant allowances</v>
      </c>
      <c r="BD403" s="34" t="str">
        <f t="shared" si="152"/>
        <v>Totex variant allowances allocation percentages</v>
      </c>
    </row>
    <row r="404" spans="5:56" x14ac:dyDescent="0.35">
      <c r="E404" s="195" t="str" cm="1">
        <f t="array" ref="E404">INDEX($E$99:$E$202,INT((ROW()-ROW($E$205))/5)+1)</f>
        <v>Re-opener_Specified Streetworks Costs Re-opener</v>
      </c>
      <c r="F404" s="196"/>
      <c r="G404" s="196" t="s">
        <v>109</v>
      </c>
      <c r="H404" s="196" t="s">
        <v>172</v>
      </c>
      <c r="I404" s="196"/>
      <c r="J404" s="196"/>
      <c r="K404" s="196"/>
      <c r="L404" s="196"/>
      <c r="M404" s="196"/>
      <c r="N404" s="196"/>
      <c r="O404" s="196"/>
      <c r="P404" s="196"/>
      <c r="Q404" s="196"/>
      <c r="R404" s="196"/>
      <c r="S404" s="196"/>
      <c r="T404" s="196"/>
      <c r="U404" s="196"/>
      <c r="V404" s="196"/>
      <c r="W404" s="196"/>
      <c r="X404" s="196"/>
      <c r="Y404" s="196"/>
      <c r="Z404" s="196"/>
      <c r="AA404" s="196"/>
      <c r="AB404" s="196"/>
      <c r="AC404" s="196"/>
      <c r="AD404" s="196"/>
      <c r="AE404" s="196"/>
      <c r="AF404" s="196"/>
      <c r="AG404" s="196"/>
      <c r="AH404" s="196"/>
      <c r="AI404" s="196"/>
      <c r="AJ404" s="196"/>
      <c r="AK404" s="196"/>
      <c r="AL404" s="196"/>
      <c r="AM404" s="196"/>
      <c r="AN404" s="196"/>
      <c r="AO404" s="196"/>
      <c r="AP404" s="196"/>
      <c r="AQ404" s="196"/>
      <c r="AR404" s="196"/>
      <c r="AS404" s="196"/>
      <c r="AT404" s="197"/>
      <c r="AU404" s="198">
        <f>CHOOSE(UserInterface!$C$22,#REF!,#REF!,#REF!,#REF!,#REF!,Scotland!AU404,Southern!AU404,#REF!)</f>
        <v>0</v>
      </c>
      <c r="AV404" s="199">
        <f>CHOOSE(UserInterface!$C$22,#REF!,#REF!,#REF!,#REF!,#REF!,Scotland!AV404,Southern!AV404,#REF!)</f>
        <v>0</v>
      </c>
      <c r="AW404" s="199">
        <f>CHOOSE(UserInterface!$C$22,#REF!,#REF!,#REF!,#REF!,#REF!,Scotland!AW404,Southern!AW404,#REF!)</f>
        <v>0</v>
      </c>
      <c r="AX404" s="199">
        <f>CHOOSE(UserInterface!$C$22,#REF!,#REF!,#REF!,#REF!,#REF!,Scotland!AX404,Southern!AX404,#REF!)</f>
        <v>0</v>
      </c>
      <c r="AY404" s="200">
        <f>CHOOSE(UserInterface!$C$22,#REF!,#REF!,#REF!,#REF!,#REF!,Scotland!AY404,Southern!AY404,#REF!)</f>
        <v>0</v>
      </c>
      <c r="BA404" s="34" t="str">
        <f t="shared" ca="1" si="149"/>
        <v>LicenseeSelect</v>
      </c>
      <c r="BB404" s="34" t="str">
        <f t="shared" si="150"/>
        <v>Fixed Inputs</v>
      </c>
      <c r="BC404" s="34" t="str">
        <f t="shared" si="158"/>
        <v>Variant allowances</v>
      </c>
      <c r="BD404" s="34" t="str">
        <f t="shared" si="152"/>
        <v>Totex variant allowances allocation percentages</v>
      </c>
    </row>
    <row r="405" spans="5:56" x14ac:dyDescent="0.35">
      <c r="E405" s="187" t="str" cm="1">
        <f t="array" ref="E405">INDEX($E$99:$E$202,INT((ROW()-ROW($E$205))/5)+1)</f>
        <v>Re-opener_Physical Security Re-opener</v>
      </c>
      <c r="F405" s="188"/>
      <c r="G405" s="188" t="s">
        <v>109</v>
      </c>
      <c r="H405" s="188" t="s">
        <v>168</v>
      </c>
      <c r="I405" s="188"/>
      <c r="J405" s="188"/>
      <c r="K405" s="188"/>
      <c r="L405" s="188"/>
      <c r="M405" s="188"/>
      <c r="N405" s="188"/>
      <c r="O405" s="188"/>
      <c r="P405" s="188"/>
      <c r="Q405" s="188"/>
      <c r="R405" s="188"/>
      <c r="S405" s="188"/>
      <c r="T405" s="188"/>
      <c r="U405" s="188"/>
      <c r="V405" s="188"/>
      <c r="W405" s="188"/>
      <c r="X405" s="188"/>
      <c r="Y405" s="188"/>
      <c r="Z405" s="188"/>
      <c r="AA405" s="188"/>
      <c r="AB405" s="188"/>
      <c r="AC405" s="188"/>
      <c r="AD405" s="188"/>
      <c r="AE405" s="188"/>
      <c r="AF405" s="188"/>
      <c r="AG405" s="188"/>
      <c r="AH405" s="188"/>
      <c r="AI405" s="188"/>
      <c r="AJ405" s="188"/>
      <c r="AK405" s="188"/>
      <c r="AL405" s="188"/>
      <c r="AM405" s="188"/>
      <c r="AN405" s="188"/>
      <c r="AO405" s="188"/>
      <c r="AP405" s="188"/>
      <c r="AQ405" s="188"/>
      <c r="AR405" s="188"/>
      <c r="AS405" s="188"/>
      <c r="AT405" s="189"/>
      <c r="AU405" s="190">
        <f>CHOOSE(UserInterface!$C$22,#REF!,#REF!,#REF!,#REF!,#REF!,Scotland!AU405,Southern!AU405,#REF!)</f>
        <v>0</v>
      </c>
      <c r="AV405" s="191">
        <f>CHOOSE(UserInterface!$C$22,#REF!,#REF!,#REF!,#REF!,#REF!,Scotland!AV405,Southern!AV405,#REF!)</f>
        <v>0</v>
      </c>
      <c r="AW405" s="191">
        <f>CHOOSE(UserInterface!$C$22,#REF!,#REF!,#REF!,#REF!,#REF!,Scotland!AW405,Southern!AW405,#REF!)</f>
        <v>0</v>
      </c>
      <c r="AX405" s="191">
        <f>CHOOSE(UserInterface!$C$22,#REF!,#REF!,#REF!,#REF!,#REF!,Scotland!AX405,Southern!AX405,#REF!)</f>
        <v>0</v>
      </c>
      <c r="AY405" s="192">
        <f>CHOOSE(UserInterface!$C$22,#REF!,#REF!,#REF!,#REF!,#REF!,Scotland!AY405,Southern!AY405,#REF!)</f>
        <v>0</v>
      </c>
      <c r="BA405" s="34" t="str">
        <f t="shared" ca="1" si="149"/>
        <v>LicenseeSelect</v>
      </c>
      <c r="BB405" s="34" t="str">
        <f t="shared" si="150"/>
        <v>Fixed Inputs</v>
      </c>
      <c r="BC405" s="34" t="str">
        <f t="shared" si="158"/>
        <v>Variant allowances</v>
      </c>
      <c r="BD405" s="34" t="str">
        <f t="shared" si="152"/>
        <v>Totex variant allowances allocation percentages</v>
      </c>
    </row>
    <row r="406" spans="5:56" x14ac:dyDescent="0.35">
      <c r="E406" s="193" t="str" cm="1">
        <f t="array" ref="E406">INDEX($E$99:$E$202,INT((ROW()-ROW($E$205))/5)+1)</f>
        <v>Re-opener_Physical Security Re-opener</v>
      </c>
      <c r="G406" s="33" t="s">
        <v>109</v>
      </c>
      <c r="H406" s="33" t="s">
        <v>169</v>
      </c>
      <c r="AT406" s="108"/>
      <c r="AU406" s="140">
        <f>CHOOSE(UserInterface!$C$22,#REF!,#REF!,#REF!,#REF!,#REF!,Scotland!AU406,Southern!AU406,#REF!)</f>
        <v>0</v>
      </c>
      <c r="AV406" s="23">
        <f>CHOOSE(UserInterface!$C$22,#REF!,#REF!,#REF!,#REF!,#REF!,Scotland!AV406,Southern!AV406,#REF!)</f>
        <v>0</v>
      </c>
      <c r="AW406" s="23">
        <f>CHOOSE(UserInterface!$C$22,#REF!,#REF!,#REF!,#REF!,#REF!,Scotland!AW406,Southern!AW406,#REF!)</f>
        <v>0</v>
      </c>
      <c r="AX406" s="23">
        <f>CHOOSE(UserInterface!$C$22,#REF!,#REF!,#REF!,#REF!,#REF!,Scotland!AX406,Southern!AX406,#REF!)</f>
        <v>0</v>
      </c>
      <c r="AY406" s="194">
        <f>CHOOSE(UserInterface!$C$22,#REF!,#REF!,#REF!,#REF!,#REF!,Scotland!AY406,Southern!AY406,#REF!)</f>
        <v>0</v>
      </c>
      <c r="BA406" s="34" t="str">
        <f t="shared" ca="1" si="149"/>
        <v>LicenseeSelect</v>
      </c>
      <c r="BB406" s="34" t="str">
        <f t="shared" si="150"/>
        <v>Fixed Inputs</v>
      </c>
      <c r="BC406" s="34" t="str">
        <f t="shared" si="158"/>
        <v>Variant allowances</v>
      </c>
      <c r="BD406" s="34" t="str">
        <f t="shared" si="152"/>
        <v>Totex variant allowances allocation percentages</v>
      </c>
    </row>
    <row r="407" spans="5:56" x14ac:dyDescent="0.35">
      <c r="E407" s="193" t="str" cm="1">
        <f t="array" ref="E407">INDEX($E$99:$E$202,INT((ROW()-ROW($E$205))/5)+1)</f>
        <v>Re-opener_Physical Security Re-opener</v>
      </c>
      <c r="G407" s="33" t="s">
        <v>109</v>
      </c>
      <c r="H407" s="33" t="s">
        <v>170</v>
      </c>
      <c r="AT407" s="108"/>
      <c r="AU407" s="140">
        <f>CHOOSE(UserInterface!$C$22,#REF!,#REF!,#REF!,#REF!,#REF!,Scotland!AU407,Southern!AU407,#REF!)</f>
        <v>0</v>
      </c>
      <c r="AV407" s="23">
        <f>CHOOSE(UserInterface!$C$22,#REF!,#REF!,#REF!,#REF!,#REF!,Scotland!AV407,Southern!AV407,#REF!)</f>
        <v>0</v>
      </c>
      <c r="AW407" s="23">
        <f>CHOOSE(UserInterface!$C$22,#REF!,#REF!,#REF!,#REF!,#REF!,Scotland!AW407,Southern!AW407,#REF!)</f>
        <v>0</v>
      </c>
      <c r="AX407" s="23">
        <f>CHOOSE(UserInterface!$C$22,#REF!,#REF!,#REF!,#REF!,#REF!,Scotland!AX407,Southern!AX407,#REF!)</f>
        <v>0</v>
      </c>
      <c r="AY407" s="194">
        <f>CHOOSE(UserInterface!$C$22,#REF!,#REF!,#REF!,#REF!,#REF!,Scotland!AY407,Southern!AY407,#REF!)</f>
        <v>0</v>
      </c>
      <c r="BA407" s="34" t="str">
        <f t="shared" ca="1" si="149"/>
        <v>LicenseeSelect</v>
      </c>
      <c r="BB407" s="34" t="str">
        <f t="shared" si="150"/>
        <v>Fixed Inputs</v>
      </c>
      <c r="BC407" s="34" t="str">
        <f t="shared" si="158"/>
        <v>Variant allowances</v>
      </c>
      <c r="BD407" s="34" t="str">
        <f t="shared" si="152"/>
        <v>Totex variant allowances allocation percentages</v>
      </c>
    </row>
    <row r="408" spans="5:56" x14ac:dyDescent="0.35">
      <c r="E408" s="193" t="str" cm="1">
        <f t="array" ref="E408">INDEX($E$99:$E$202,INT((ROW()-ROW($E$205))/5)+1)</f>
        <v>Re-opener_Physical Security Re-opener</v>
      </c>
      <c r="G408" s="33" t="s">
        <v>109</v>
      </c>
      <c r="H408" s="33" t="s">
        <v>171</v>
      </c>
      <c r="AT408" s="108"/>
      <c r="AU408" s="140">
        <f>CHOOSE(UserInterface!$C$22,#REF!,#REF!,#REF!,#REF!,#REF!,Scotland!AU408,Southern!AU408,#REF!)</f>
        <v>0</v>
      </c>
      <c r="AV408" s="23">
        <f>CHOOSE(UserInterface!$C$22,#REF!,#REF!,#REF!,#REF!,#REF!,Scotland!AV408,Southern!AV408,#REF!)</f>
        <v>0</v>
      </c>
      <c r="AW408" s="23">
        <f>CHOOSE(UserInterface!$C$22,#REF!,#REF!,#REF!,#REF!,#REF!,Scotland!AW408,Southern!AW408,#REF!)</f>
        <v>0</v>
      </c>
      <c r="AX408" s="23">
        <f>CHOOSE(UserInterface!$C$22,#REF!,#REF!,#REF!,#REF!,#REF!,Scotland!AX408,Southern!AX408,#REF!)</f>
        <v>0</v>
      </c>
      <c r="AY408" s="194">
        <f>CHOOSE(UserInterface!$C$22,#REF!,#REF!,#REF!,#REF!,#REF!,Scotland!AY408,Southern!AY408,#REF!)</f>
        <v>0</v>
      </c>
      <c r="BA408" s="34" t="str">
        <f t="shared" ca="1" si="149"/>
        <v>LicenseeSelect</v>
      </c>
      <c r="BB408" s="34" t="str">
        <f t="shared" si="150"/>
        <v>Fixed Inputs</v>
      </c>
      <c r="BC408" s="34" t="str">
        <f t="shared" si="158"/>
        <v>Variant allowances</v>
      </c>
      <c r="BD408" s="34" t="str">
        <f t="shared" si="152"/>
        <v>Totex variant allowances allocation percentages</v>
      </c>
    </row>
    <row r="409" spans="5:56" x14ac:dyDescent="0.35">
      <c r="E409" s="195" t="str" cm="1">
        <f t="array" ref="E409">INDEX($E$99:$E$202,INT((ROW()-ROW($E$205))/5)+1)</f>
        <v>Re-opener_Physical Security Re-opener</v>
      </c>
      <c r="F409" s="196"/>
      <c r="G409" s="196" t="s">
        <v>109</v>
      </c>
      <c r="H409" s="196" t="s">
        <v>172</v>
      </c>
      <c r="I409" s="196"/>
      <c r="J409" s="196"/>
      <c r="K409" s="196"/>
      <c r="L409" s="196"/>
      <c r="M409" s="196"/>
      <c r="N409" s="196"/>
      <c r="O409" s="196"/>
      <c r="P409" s="196"/>
      <c r="Q409" s="196"/>
      <c r="R409" s="196"/>
      <c r="S409" s="196"/>
      <c r="T409" s="196"/>
      <c r="U409" s="196"/>
      <c r="V409" s="196"/>
      <c r="W409" s="196"/>
      <c r="X409" s="196"/>
      <c r="Y409" s="196"/>
      <c r="Z409" s="196"/>
      <c r="AA409" s="196"/>
      <c r="AB409" s="196"/>
      <c r="AC409" s="196"/>
      <c r="AD409" s="196"/>
      <c r="AE409" s="196"/>
      <c r="AF409" s="196"/>
      <c r="AG409" s="196"/>
      <c r="AH409" s="196"/>
      <c r="AI409" s="196"/>
      <c r="AJ409" s="196"/>
      <c r="AK409" s="196"/>
      <c r="AL409" s="196"/>
      <c r="AM409" s="196"/>
      <c r="AN409" s="196"/>
      <c r="AO409" s="196"/>
      <c r="AP409" s="196"/>
      <c r="AQ409" s="196"/>
      <c r="AR409" s="196"/>
      <c r="AS409" s="196"/>
      <c r="AT409" s="197"/>
      <c r="AU409" s="198">
        <f>CHOOSE(UserInterface!$C$22,#REF!,#REF!,#REF!,#REF!,#REF!,Scotland!AU409,Southern!AU409,#REF!)</f>
        <v>0</v>
      </c>
      <c r="AV409" s="199">
        <f>CHOOSE(UserInterface!$C$22,#REF!,#REF!,#REF!,#REF!,#REF!,Scotland!AV409,Southern!AV409,#REF!)</f>
        <v>0</v>
      </c>
      <c r="AW409" s="199">
        <f>CHOOSE(UserInterface!$C$22,#REF!,#REF!,#REF!,#REF!,#REF!,Scotland!AW409,Southern!AW409,#REF!)</f>
        <v>0</v>
      </c>
      <c r="AX409" s="199">
        <f>CHOOSE(UserInterface!$C$22,#REF!,#REF!,#REF!,#REF!,#REF!,Scotland!AX409,Southern!AX409,#REF!)</f>
        <v>0</v>
      </c>
      <c r="AY409" s="200">
        <f>CHOOSE(UserInterface!$C$22,#REF!,#REF!,#REF!,#REF!,#REF!,Scotland!AY409,Southern!AY409,#REF!)</f>
        <v>0</v>
      </c>
      <c r="BA409" s="34" t="str">
        <f t="shared" ca="1" si="149"/>
        <v>LicenseeSelect</v>
      </c>
      <c r="BB409" s="34" t="str">
        <f t="shared" si="150"/>
        <v>Fixed Inputs</v>
      </c>
      <c r="BC409" s="34" t="str">
        <f t="shared" si="158"/>
        <v>Variant allowances</v>
      </c>
      <c r="BD409" s="34" t="str">
        <f t="shared" si="152"/>
        <v>Totex variant allowances allocation percentages</v>
      </c>
    </row>
    <row r="410" spans="5:56" x14ac:dyDescent="0.35">
      <c r="E410" s="187" t="str" cm="1">
        <f t="array" ref="E410">INDEX($E$99:$E$202,INT((ROW()-ROW($E$205))/5)+1)</f>
        <v>Re-opener_East Coast Hydrogen NZASP Re-Opener (EoE and NGN) / GD2/GD3 Crossover Adjustment</v>
      </c>
      <c r="F410" s="188"/>
      <c r="G410" s="188" t="s">
        <v>109</v>
      </c>
      <c r="H410" s="188" t="s">
        <v>168</v>
      </c>
      <c r="I410" s="188"/>
      <c r="J410" s="188"/>
      <c r="K410" s="188"/>
      <c r="L410" s="188"/>
      <c r="M410" s="188"/>
      <c r="N410" s="188"/>
      <c r="O410" s="188"/>
      <c r="P410" s="188"/>
      <c r="Q410" s="188"/>
      <c r="R410" s="188"/>
      <c r="S410" s="188"/>
      <c r="T410" s="188"/>
      <c r="U410" s="188"/>
      <c r="V410" s="188"/>
      <c r="W410" s="188"/>
      <c r="X410" s="188"/>
      <c r="Y410" s="188"/>
      <c r="Z410" s="188"/>
      <c r="AA410" s="188"/>
      <c r="AB410" s="188"/>
      <c r="AC410" s="188"/>
      <c r="AD410" s="188"/>
      <c r="AE410" s="188"/>
      <c r="AF410" s="188"/>
      <c r="AG410" s="188"/>
      <c r="AH410" s="188"/>
      <c r="AI410" s="188"/>
      <c r="AJ410" s="188"/>
      <c r="AK410" s="188"/>
      <c r="AL410" s="188"/>
      <c r="AM410" s="188"/>
      <c r="AN410" s="188"/>
      <c r="AO410" s="188"/>
      <c r="AP410" s="188"/>
      <c r="AQ410" s="188"/>
      <c r="AR410" s="188"/>
      <c r="AS410" s="188"/>
      <c r="AT410" s="189"/>
      <c r="AU410" s="190">
        <f>CHOOSE(UserInterface!$C$22,#REF!,#REF!,#REF!,#REF!,#REF!,Scotland!AU410,Southern!AU410,#REF!)</f>
        <v>0</v>
      </c>
      <c r="AV410" s="191">
        <f>CHOOSE(UserInterface!$C$22,#REF!,#REF!,#REF!,#REF!,#REF!,Scotland!AV410,Southern!AV410,#REF!)</f>
        <v>0</v>
      </c>
      <c r="AW410" s="191">
        <f>CHOOSE(UserInterface!$C$22,#REF!,#REF!,#REF!,#REF!,#REF!,Scotland!AW410,Southern!AW410,#REF!)</f>
        <v>0</v>
      </c>
      <c r="AX410" s="191">
        <f>CHOOSE(UserInterface!$C$22,#REF!,#REF!,#REF!,#REF!,#REF!,Scotland!AX410,Southern!AX410,#REF!)</f>
        <v>0</v>
      </c>
      <c r="AY410" s="192">
        <f>CHOOSE(UserInterface!$C$22,#REF!,#REF!,#REF!,#REF!,#REF!,Scotland!AY410,Southern!AY410,#REF!)</f>
        <v>0</v>
      </c>
      <c r="BA410" s="34" t="str">
        <f t="shared" ca="1" si="149"/>
        <v>LicenseeSelect</v>
      </c>
      <c r="BB410" s="34" t="str">
        <f t="shared" si="150"/>
        <v>Fixed Inputs</v>
      </c>
      <c r="BC410" s="34" t="str">
        <f t="shared" si="158"/>
        <v>Variant allowances</v>
      </c>
      <c r="BD410" s="34" t="str">
        <f t="shared" si="152"/>
        <v>Totex variant allowances allocation percentages</v>
      </c>
    </row>
    <row r="411" spans="5:56" x14ac:dyDescent="0.35">
      <c r="E411" s="193" t="str" cm="1">
        <f t="array" ref="E411">INDEX($E$99:$E$202,INT((ROW()-ROW($E$205))/5)+1)</f>
        <v>Re-opener_East Coast Hydrogen NZASP Re-Opener (EoE and NGN) / GD2/GD3 Crossover Adjustment</v>
      </c>
      <c r="G411" s="33" t="s">
        <v>109</v>
      </c>
      <c r="H411" s="33" t="s">
        <v>169</v>
      </c>
      <c r="AT411" s="108"/>
      <c r="AU411" s="140">
        <f>CHOOSE(UserInterface!$C$22,#REF!,#REF!,#REF!,#REF!,#REF!,Scotland!AU411,Southern!AU411,#REF!)</f>
        <v>0</v>
      </c>
      <c r="AV411" s="23">
        <f>CHOOSE(UserInterface!$C$22,#REF!,#REF!,#REF!,#REF!,#REF!,Scotland!AV411,Southern!AV411,#REF!)</f>
        <v>0</v>
      </c>
      <c r="AW411" s="23">
        <f>CHOOSE(UserInterface!$C$22,#REF!,#REF!,#REF!,#REF!,#REF!,Scotland!AW411,Southern!AW411,#REF!)</f>
        <v>0</v>
      </c>
      <c r="AX411" s="23">
        <f>CHOOSE(UserInterface!$C$22,#REF!,#REF!,#REF!,#REF!,#REF!,Scotland!AX411,Southern!AX411,#REF!)</f>
        <v>0</v>
      </c>
      <c r="AY411" s="194">
        <f>CHOOSE(UserInterface!$C$22,#REF!,#REF!,#REF!,#REF!,#REF!,Scotland!AY411,Southern!AY411,#REF!)</f>
        <v>0</v>
      </c>
      <c r="BA411" s="34" t="str">
        <f t="shared" ca="1" si="149"/>
        <v>LicenseeSelect</v>
      </c>
      <c r="BB411" s="34" t="str">
        <f t="shared" si="150"/>
        <v>Fixed Inputs</v>
      </c>
      <c r="BC411" s="34" t="str">
        <f t="shared" si="158"/>
        <v>Variant allowances</v>
      </c>
      <c r="BD411" s="34" t="str">
        <f t="shared" si="152"/>
        <v>Totex variant allowances allocation percentages</v>
      </c>
    </row>
    <row r="412" spans="5:56" x14ac:dyDescent="0.35">
      <c r="E412" s="193" t="str" cm="1">
        <f t="array" ref="E412">INDEX($E$99:$E$202,INT((ROW()-ROW($E$205))/5)+1)</f>
        <v>Re-opener_East Coast Hydrogen NZASP Re-Opener (EoE and NGN) / GD2/GD3 Crossover Adjustment</v>
      </c>
      <c r="G412" s="33" t="s">
        <v>109</v>
      </c>
      <c r="H412" s="33" t="s">
        <v>170</v>
      </c>
      <c r="AT412" s="108"/>
      <c r="AU412" s="140">
        <f>CHOOSE(UserInterface!$C$22,#REF!,#REF!,#REF!,#REF!,#REF!,Scotland!AU412,Southern!AU412,#REF!)</f>
        <v>0.6</v>
      </c>
      <c r="AV412" s="23">
        <f>CHOOSE(UserInterface!$C$22,#REF!,#REF!,#REF!,#REF!,#REF!,Scotland!AV412,Southern!AV412,#REF!)</f>
        <v>0.6</v>
      </c>
      <c r="AW412" s="23">
        <f>CHOOSE(UserInterface!$C$22,#REF!,#REF!,#REF!,#REF!,#REF!,Scotland!AW412,Southern!AW412,#REF!)</f>
        <v>0.6</v>
      </c>
      <c r="AX412" s="23">
        <f>CHOOSE(UserInterface!$C$22,#REF!,#REF!,#REF!,#REF!,#REF!,Scotland!AX412,Southern!AX412,#REF!)</f>
        <v>0.6</v>
      </c>
      <c r="AY412" s="194">
        <f>CHOOSE(UserInterface!$C$22,#REF!,#REF!,#REF!,#REF!,#REF!,Scotland!AY412,Southern!AY412,#REF!)</f>
        <v>0.6</v>
      </c>
      <c r="BA412" s="34" t="str">
        <f t="shared" ca="1" si="149"/>
        <v>LicenseeSelect</v>
      </c>
      <c r="BB412" s="34" t="str">
        <f t="shared" si="150"/>
        <v>Fixed Inputs</v>
      </c>
      <c r="BC412" s="34" t="str">
        <f t="shared" si="158"/>
        <v>Variant allowances</v>
      </c>
      <c r="BD412" s="34" t="str">
        <f t="shared" si="152"/>
        <v>Totex variant allowances allocation percentages</v>
      </c>
    </row>
    <row r="413" spans="5:56" x14ac:dyDescent="0.35">
      <c r="E413" s="193" t="str" cm="1">
        <f t="array" ref="E413">INDEX($E$99:$E$202,INT((ROW()-ROW($E$205))/5)+1)</f>
        <v>Re-opener_East Coast Hydrogen NZASP Re-Opener (EoE and NGN) / GD2/GD3 Crossover Adjustment</v>
      </c>
      <c r="G413" s="33" t="s">
        <v>109</v>
      </c>
      <c r="H413" s="33" t="s">
        <v>171</v>
      </c>
      <c r="AT413" s="108"/>
      <c r="AU413" s="140">
        <f>CHOOSE(UserInterface!$C$22,#REF!,#REF!,#REF!,#REF!,#REF!,Scotland!AU413,Southern!AU413,#REF!)</f>
        <v>0.4</v>
      </c>
      <c r="AV413" s="23">
        <f>CHOOSE(UserInterface!$C$22,#REF!,#REF!,#REF!,#REF!,#REF!,Scotland!AV413,Southern!AV413,#REF!)</f>
        <v>0.4</v>
      </c>
      <c r="AW413" s="23">
        <f>CHOOSE(UserInterface!$C$22,#REF!,#REF!,#REF!,#REF!,#REF!,Scotland!AW413,Southern!AW413,#REF!)</f>
        <v>0.4</v>
      </c>
      <c r="AX413" s="23">
        <f>CHOOSE(UserInterface!$C$22,#REF!,#REF!,#REF!,#REF!,#REF!,Scotland!AX413,Southern!AX413,#REF!)</f>
        <v>0.4</v>
      </c>
      <c r="AY413" s="194">
        <f>CHOOSE(UserInterface!$C$22,#REF!,#REF!,#REF!,#REF!,#REF!,Scotland!AY413,Southern!AY413,#REF!)</f>
        <v>0.4</v>
      </c>
      <c r="BA413" s="34" t="str">
        <f t="shared" ca="1" si="149"/>
        <v>LicenseeSelect</v>
      </c>
      <c r="BB413" s="34" t="str">
        <f t="shared" si="150"/>
        <v>Fixed Inputs</v>
      </c>
      <c r="BC413" s="34" t="str">
        <f t="shared" si="158"/>
        <v>Variant allowances</v>
      </c>
      <c r="BD413" s="34" t="str">
        <f t="shared" si="152"/>
        <v>Totex variant allowances allocation percentages</v>
      </c>
    </row>
    <row r="414" spans="5:56" x14ac:dyDescent="0.35">
      <c r="E414" s="195" t="str" cm="1">
        <f t="array" ref="E414">INDEX($E$99:$E$202,INT((ROW()-ROW($E$205))/5)+1)</f>
        <v>Re-opener_East Coast Hydrogen NZASP Re-Opener (EoE and NGN) / GD2/GD3 Crossover Adjustment</v>
      </c>
      <c r="F414" s="196"/>
      <c r="G414" s="196" t="s">
        <v>109</v>
      </c>
      <c r="H414" s="196" t="s">
        <v>172</v>
      </c>
      <c r="I414" s="196"/>
      <c r="J414" s="196"/>
      <c r="K414" s="196"/>
      <c r="L414" s="196"/>
      <c r="M414" s="196"/>
      <c r="N414" s="196"/>
      <c r="O414" s="196"/>
      <c r="P414" s="196"/>
      <c r="Q414" s="196"/>
      <c r="R414" s="196"/>
      <c r="S414" s="196"/>
      <c r="T414" s="196"/>
      <c r="U414" s="196"/>
      <c r="V414" s="196"/>
      <c r="W414" s="196"/>
      <c r="X414" s="196"/>
      <c r="Y414" s="196"/>
      <c r="Z414" s="196"/>
      <c r="AA414" s="196"/>
      <c r="AB414" s="196"/>
      <c r="AC414" s="196"/>
      <c r="AD414" s="196"/>
      <c r="AE414" s="196"/>
      <c r="AF414" s="196"/>
      <c r="AG414" s="196"/>
      <c r="AH414" s="196"/>
      <c r="AI414" s="196"/>
      <c r="AJ414" s="196"/>
      <c r="AK414" s="196"/>
      <c r="AL414" s="196"/>
      <c r="AM414" s="196"/>
      <c r="AN414" s="196"/>
      <c r="AO414" s="196"/>
      <c r="AP414" s="196"/>
      <c r="AQ414" s="196"/>
      <c r="AR414" s="196"/>
      <c r="AS414" s="196"/>
      <c r="AT414" s="197"/>
      <c r="AU414" s="198">
        <f>CHOOSE(UserInterface!$C$22,#REF!,#REF!,#REF!,#REF!,#REF!,Scotland!AU414,Southern!AU414,#REF!)</f>
        <v>0</v>
      </c>
      <c r="AV414" s="199">
        <f>CHOOSE(UserInterface!$C$22,#REF!,#REF!,#REF!,#REF!,#REF!,Scotland!AV414,Southern!AV414,#REF!)</f>
        <v>0</v>
      </c>
      <c r="AW414" s="199">
        <f>CHOOSE(UserInterface!$C$22,#REF!,#REF!,#REF!,#REF!,#REF!,Scotland!AW414,Southern!AW414,#REF!)</f>
        <v>0</v>
      </c>
      <c r="AX414" s="199">
        <f>CHOOSE(UserInterface!$C$22,#REF!,#REF!,#REF!,#REF!,#REF!,Scotland!AX414,Southern!AX414,#REF!)</f>
        <v>0</v>
      </c>
      <c r="AY414" s="200">
        <f>CHOOSE(UserInterface!$C$22,#REF!,#REF!,#REF!,#REF!,#REF!,Scotland!AY414,Southern!AY414,#REF!)</f>
        <v>0</v>
      </c>
      <c r="BA414" s="34" t="str">
        <f t="shared" ca="1" si="149"/>
        <v>LicenseeSelect</v>
      </c>
      <c r="BB414" s="34" t="str">
        <f t="shared" si="150"/>
        <v>Fixed Inputs</v>
      </c>
      <c r="BC414" s="34" t="str">
        <f t="shared" si="158"/>
        <v>Variant allowances</v>
      </c>
      <c r="BD414" s="34" t="str">
        <f t="shared" si="152"/>
        <v>Totex variant allowances allocation percentages</v>
      </c>
    </row>
    <row r="415" spans="5:56" x14ac:dyDescent="0.35">
      <c r="E415" s="187" t="str" cm="1">
        <f t="array" ref="E415">INDEX($E$99:$E$202,INT((ROW()-ROW($E$205))/5)+1)</f>
        <v>Re-opener_Complex Distributions Systems Re-opener</v>
      </c>
      <c r="F415" s="188"/>
      <c r="G415" s="188" t="s">
        <v>109</v>
      </c>
      <c r="H415" s="188" t="s">
        <v>168</v>
      </c>
      <c r="I415" s="188"/>
      <c r="J415" s="188"/>
      <c r="K415" s="188"/>
      <c r="L415" s="188"/>
      <c r="M415" s="188"/>
      <c r="N415" s="188"/>
      <c r="O415" s="188"/>
      <c r="P415" s="188"/>
      <c r="Q415" s="188"/>
      <c r="R415" s="188"/>
      <c r="S415" s="188"/>
      <c r="T415" s="188"/>
      <c r="U415" s="188"/>
      <c r="V415" s="188"/>
      <c r="W415" s="188"/>
      <c r="X415" s="188"/>
      <c r="Y415" s="188"/>
      <c r="Z415" s="188"/>
      <c r="AA415" s="188"/>
      <c r="AB415" s="188"/>
      <c r="AC415" s="188"/>
      <c r="AD415" s="188"/>
      <c r="AE415" s="188"/>
      <c r="AF415" s="188"/>
      <c r="AG415" s="188"/>
      <c r="AH415" s="188"/>
      <c r="AI415" s="188"/>
      <c r="AJ415" s="188"/>
      <c r="AK415" s="188"/>
      <c r="AL415" s="188"/>
      <c r="AM415" s="188"/>
      <c r="AN415" s="188"/>
      <c r="AO415" s="188"/>
      <c r="AP415" s="188"/>
      <c r="AQ415" s="188"/>
      <c r="AR415" s="188"/>
      <c r="AS415" s="188"/>
      <c r="AT415" s="189"/>
      <c r="AU415" s="190">
        <f>CHOOSE(UserInterface!$C$22,#REF!,#REF!,#REF!,#REF!,#REF!,Scotland!AU415,Southern!AU415,#REF!)</f>
        <v>0</v>
      </c>
      <c r="AV415" s="191">
        <f>CHOOSE(UserInterface!$C$22,#REF!,#REF!,#REF!,#REF!,#REF!,Scotland!AV415,Southern!AV415,#REF!)</f>
        <v>0</v>
      </c>
      <c r="AW415" s="191">
        <f>CHOOSE(UserInterface!$C$22,#REF!,#REF!,#REF!,#REF!,#REF!,Scotland!AW415,Southern!AW415,#REF!)</f>
        <v>0</v>
      </c>
      <c r="AX415" s="191">
        <f>CHOOSE(UserInterface!$C$22,#REF!,#REF!,#REF!,#REF!,#REF!,Scotland!AX415,Southern!AX415,#REF!)</f>
        <v>0</v>
      </c>
      <c r="AY415" s="192">
        <f>CHOOSE(UserInterface!$C$22,#REF!,#REF!,#REF!,#REF!,#REF!,Scotland!AY415,Southern!AY415,#REF!)</f>
        <v>0</v>
      </c>
      <c r="BA415" s="34" t="str">
        <f t="shared" ca="1" si="149"/>
        <v>LicenseeSelect</v>
      </c>
      <c r="BB415" s="34" t="str">
        <f t="shared" si="150"/>
        <v>Fixed Inputs</v>
      </c>
      <c r="BC415" s="34" t="str">
        <f t="shared" si="158"/>
        <v>Variant allowances</v>
      </c>
      <c r="BD415" s="34" t="str">
        <f t="shared" si="152"/>
        <v>Totex variant allowances allocation percentages</v>
      </c>
    </row>
    <row r="416" spans="5:56" x14ac:dyDescent="0.35">
      <c r="E416" s="193" t="str" cm="1">
        <f t="array" ref="E416">INDEX($E$99:$E$202,INT((ROW()-ROW($E$205))/5)+1)</f>
        <v>Re-opener_Complex Distributions Systems Re-opener</v>
      </c>
      <c r="G416" s="33" t="s">
        <v>109</v>
      </c>
      <c r="H416" s="33" t="s">
        <v>169</v>
      </c>
      <c r="AT416" s="108"/>
      <c r="AU416" s="140">
        <f>CHOOSE(UserInterface!$C$22,#REF!,#REF!,#REF!,#REF!,#REF!,Scotland!AU416,Southern!AU416,#REF!)</f>
        <v>0</v>
      </c>
      <c r="AV416" s="23">
        <f>CHOOSE(UserInterface!$C$22,#REF!,#REF!,#REF!,#REF!,#REF!,Scotland!AV416,Southern!AV416,#REF!)</f>
        <v>0</v>
      </c>
      <c r="AW416" s="23">
        <f>CHOOSE(UserInterface!$C$22,#REF!,#REF!,#REF!,#REF!,#REF!,Scotland!AW416,Southern!AW416,#REF!)</f>
        <v>0</v>
      </c>
      <c r="AX416" s="23">
        <f>CHOOSE(UserInterface!$C$22,#REF!,#REF!,#REF!,#REF!,#REF!,Scotland!AX416,Southern!AX416,#REF!)</f>
        <v>0</v>
      </c>
      <c r="AY416" s="194">
        <f>CHOOSE(UserInterface!$C$22,#REF!,#REF!,#REF!,#REF!,#REF!,Scotland!AY416,Southern!AY416,#REF!)</f>
        <v>0</v>
      </c>
      <c r="BA416" s="34" t="str">
        <f t="shared" ca="1" si="149"/>
        <v>LicenseeSelect</v>
      </c>
      <c r="BB416" s="34" t="str">
        <f t="shared" si="150"/>
        <v>Fixed Inputs</v>
      </c>
      <c r="BC416" s="34" t="str">
        <f t="shared" si="158"/>
        <v>Variant allowances</v>
      </c>
      <c r="BD416" s="34" t="str">
        <f t="shared" si="152"/>
        <v>Totex variant allowances allocation percentages</v>
      </c>
    </row>
    <row r="417" spans="5:56" x14ac:dyDescent="0.35">
      <c r="E417" s="193" t="str" cm="1">
        <f t="array" ref="E417">INDEX($E$99:$E$202,INT((ROW()-ROW($E$205))/5)+1)</f>
        <v>Re-opener_Complex Distributions Systems Re-opener</v>
      </c>
      <c r="G417" s="33" t="s">
        <v>109</v>
      </c>
      <c r="H417" s="33" t="s">
        <v>170</v>
      </c>
      <c r="AT417" s="108"/>
      <c r="AU417" s="140">
        <f>CHOOSE(UserInterface!$C$22,#REF!,#REF!,#REF!,#REF!,#REF!,Scotland!AU417,Southern!AU417,#REF!)</f>
        <v>0</v>
      </c>
      <c r="AV417" s="23">
        <f>CHOOSE(UserInterface!$C$22,#REF!,#REF!,#REF!,#REF!,#REF!,Scotland!AV417,Southern!AV417,#REF!)</f>
        <v>0</v>
      </c>
      <c r="AW417" s="23">
        <f>CHOOSE(UserInterface!$C$22,#REF!,#REF!,#REF!,#REF!,#REF!,Scotland!AW417,Southern!AW417,#REF!)</f>
        <v>0</v>
      </c>
      <c r="AX417" s="23">
        <f>CHOOSE(UserInterface!$C$22,#REF!,#REF!,#REF!,#REF!,#REF!,Scotland!AX417,Southern!AX417,#REF!)</f>
        <v>0</v>
      </c>
      <c r="AY417" s="194">
        <f>CHOOSE(UserInterface!$C$22,#REF!,#REF!,#REF!,#REF!,#REF!,Scotland!AY417,Southern!AY417,#REF!)</f>
        <v>0</v>
      </c>
      <c r="BA417" s="34" t="str">
        <f t="shared" ca="1" si="149"/>
        <v>LicenseeSelect</v>
      </c>
      <c r="BB417" s="34" t="str">
        <f t="shared" si="150"/>
        <v>Fixed Inputs</v>
      </c>
      <c r="BC417" s="34" t="str">
        <f t="shared" si="158"/>
        <v>Variant allowances</v>
      </c>
      <c r="BD417" s="34" t="str">
        <f t="shared" si="152"/>
        <v>Totex variant allowances allocation percentages</v>
      </c>
    </row>
    <row r="418" spans="5:56" x14ac:dyDescent="0.35">
      <c r="E418" s="193" t="str" cm="1">
        <f t="array" ref="E418">INDEX($E$99:$E$202,INT((ROW()-ROW($E$205))/5)+1)</f>
        <v>Re-opener_Complex Distributions Systems Re-opener</v>
      </c>
      <c r="G418" s="33" t="s">
        <v>109</v>
      </c>
      <c r="H418" s="33" t="s">
        <v>171</v>
      </c>
      <c r="AT418" s="108"/>
      <c r="AU418" s="140">
        <f>CHOOSE(UserInterface!$C$22,#REF!,#REF!,#REF!,#REF!,#REF!,Scotland!AU418,Southern!AU418,#REF!)</f>
        <v>0</v>
      </c>
      <c r="AV418" s="23">
        <f>CHOOSE(UserInterface!$C$22,#REF!,#REF!,#REF!,#REF!,#REF!,Scotland!AV418,Southern!AV418,#REF!)</f>
        <v>0</v>
      </c>
      <c r="AW418" s="23">
        <f>CHOOSE(UserInterface!$C$22,#REF!,#REF!,#REF!,#REF!,#REF!,Scotland!AW418,Southern!AW418,#REF!)</f>
        <v>0</v>
      </c>
      <c r="AX418" s="23">
        <f>CHOOSE(UserInterface!$C$22,#REF!,#REF!,#REF!,#REF!,#REF!,Scotland!AX418,Southern!AX418,#REF!)</f>
        <v>0</v>
      </c>
      <c r="AY418" s="194">
        <f>CHOOSE(UserInterface!$C$22,#REF!,#REF!,#REF!,#REF!,#REF!,Scotland!AY418,Southern!AY418,#REF!)</f>
        <v>0</v>
      </c>
      <c r="BA418" s="34" t="str">
        <f t="shared" ca="1" si="149"/>
        <v>LicenseeSelect</v>
      </c>
      <c r="BB418" s="34" t="str">
        <f t="shared" si="150"/>
        <v>Fixed Inputs</v>
      </c>
      <c r="BC418" s="34" t="str">
        <f t="shared" si="158"/>
        <v>Variant allowances</v>
      </c>
      <c r="BD418" s="34" t="str">
        <f t="shared" si="152"/>
        <v>Totex variant allowances allocation percentages</v>
      </c>
    </row>
    <row r="419" spans="5:56" x14ac:dyDescent="0.35">
      <c r="E419" s="195" t="str" cm="1">
        <f t="array" ref="E419">INDEX($E$99:$E$202,INT((ROW()-ROW($E$205))/5)+1)</f>
        <v>Re-opener_Complex Distributions Systems Re-opener</v>
      </c>
      <c r="F419" s="196"/>
      <c r="G419" s="196" t="s">
        <v>109</v>
      </c>
      <c r="H419" s="196" t="s">
        <v>172</v>
      </c>
      <c r="I419" s="196"/>
      <c r="J419" s="196"/>
      <c r="K419" s="196"/>
      <c r="L419" s="196"/>
      <c r="M419" s="196"/>
      <c r="N419" s="196"/>
      <c r="O419" s="196"/>
      <c r="P419" s="196"/>
      <c r="Q419" s="196"/>
      <c r="R419" s="196"/>
      <c r="S419" s="196"/>
      <c r="T419" s="196"/>
      <c r="U419" s="196"/>
      <c r="V419" s="196"/>
      <c r="W419" s="196"/>
      <c r="X419" s="196"/>
      <c r="Y419" s="196"/>
      <c r="Z419" s="196"/>
      <c r="AA419" s="196"/>
      <c r="AB419" s="196"/>
      <c r="AC419" s="196"/>
      <c r="AD419" s="196"/>
      <c r="AE419" s="196"/>
      <c r="AF419" s="196"/>
      <c r="AG419" s="196"/>
      <c r="AH419" s="196"/>
      <c r="AI419" s="196"/>
      <c r="AJ419" s="196"/>
      <c r="AK419" s="196"/>
      <c r="AL419" s="196"/>
      <c r="AM419" s="196"/>
      <c r="AN419" s="196"/>
      <c r="AO419" s="196"/>
      <c r="AP419" s="196"/>
      <c r="AQ419" s="196"/>
      <c r="AR419" s="196"/>
      <c r="AS419" s="196"/>
      <c r="AT419" s="197"/>
      <c r="AU419" s="198">
        <f>CHOOSE(UserInterface!$C$22,#REF!,#REF!,#REF!,#REF!,#REF!,Scotland!AU419,Southern!AU419,#REF!)</f>
        <v>1</v>
      </c>
      <c r="AV419" s="199">
        <f>CHOOSE(UserInterface!$C$22,#REF!,#REF!,#REF!,#REF!,#REF!,Scotland!AV419,Southern!AV419,#REF!)</f>
        <v>1</v>
      </c>
      <c r="AW419" s="199">
        <f>CHOOSE(UserInterface!$C$22,#REF!,#REF!,#REF!,#REF!,#REF!,Scotland!AW419,Southern!AW419,#REF!)</f>
        <v>1</v>
      </c>
      <c r="AX419" s="199">
        <f>CHOOSE(UserInterface!$C$22,#REF!,#REF!,#REF!,#REF!,#REF!,Scotland!AX419,Southern!AX419,#REF!)</f>
        <v>1</v>
      </c>
      <c r="AY419" s="200">
        <f>CHOOSE(UserInterface!$C$22,#REF!,#REF!,#REF!,#REF!,#REF!,Scotland!AY419,Southern!AY419,#REF!)</f>
        <v>1</v>
      </c>
      <c r="BA419" s="34" t="str">
        <f t="shared" ca="1" si="149"/>
        <v>LicenseeSelect</v>
      </c>
      <c r="BB419" s="34" t="str">
        <f t="shared" si="150"/>
        <v>Fixed Inputs</v>
      </c>
      <c r="BC419" s="34" t="str">
        <f t="shared" si="158"/>
        <v>Variant allowances</v>
      </c>
      <c r="BD419" s="34" t="str">
        <f t="shared" si="152"/>
        <v>Totex variant allowances allocation percentages</v>
      </c>
    </row>
    <row r="420" spans="5:56" x14ac:dyDescent="0.35">
      <c r="E420" s="187" t="str" cm="1">
        <f t="array" ref="E420">INDEX($E$99:$E$202,INT((ROW()-ROW($E$205))/5)+1)</f>
        <v>Re-opener_Mandated Category 3 Security Re-opener</v>
      </c>
      <c r="F420" s="188"/>
      <c r="G420" s="188" t="s">
        <v>109</v>
      </c>
      <c r="H420" s="188" t="s">
        <v>168</v>
      </c>
      <c r="I420" s="188"/>
      <c r="J420" s="188"/>
      <c r="K420" s="188"/>
      <c r="L420" s="188"/>
      <c r="M420" s="188"/>
      <c r="N420" s="188"/>
      <c r="O420" s="188"/>
      <c r="P420" s="188"/>
      <c r="Q420" s="188"/>
      <c r="R420" s="188"/>
      <c r="S420" s="188"/>
      <c r="T420" s="188"/>
      <c r="U420" s="188"/>
      <c r="V420" s="188"/>
      <c r="W420" s="188"/>
      <c r="X420" s="188"/>
      <c r="Y420" s="188"/>
      <c r="Z420" s="188"/>
      <c r="AA420" s="188"/>
      <c r="AB420" s="188"/>
      <c r="AC420" s="188"/>
      <c r="AD420" s="188"/>
      <c r="AE420" s="188"/>
      <c r="AF420" s="188"/>
      <c r="AG420" s="188"/>
      <c r="AH420" s="188"/>
      <c r="AI420" s="188"/>
      <c r="AJ420" s="188"/>
      <c r="AK420" s="188"/>
      <c r="AL420" s="188"/>
      <c r="AM420" s="188"/>
      <c r="AN420" s="188"/>
      <c r="AO420" s="188"/>
      <c r="AP420" s="188"/>
      <c r="AQ420" s="188"/>
      <c r="AR420" s="188"/>
      <c r="AS420" s="188"/>
      <c r="AT420" s="189"/>
      <c r="AU420" s="190">
        <f>CHOOSE(UserInterface!$C$22,#REF!,#REF!,#REF!,#REF!,#REF!,Scotland!AU420,Southern!AU420,#REF!)</f>
        <v>0</v>
      </c>
      <c r="AV420" s="191">
        <f>CHOOSE(UserInterface!$C$22,#REF!,#REF!,#REF!,#REF!,#REF!,Scotland!AV420,Southern!AV420,#REF!)</f>
        <v>0</v>
      </c>
      <c r="AW420" s="191">
        <f>CHOOSE(UserInterface!$C$22,#REF!,#REF!,#REF!,#REF!,#REF!,Scotland!AW420,Southern!AW420,#REF!)</f>
        <v>0</v>
      </c>
      <c r="AX420" s="191">
        <f>CHOOSE(UserInterface!$C$22,#REF!,#REF!,#REF!,#REF!,#REF!,Scotland!AX420,Southern!AX420,#REF!)</f>
        <v>0</v>
      </c>
      <c r="AY420" s="192">
        <f>CHOOSE(UserInterface!$C$22,#REF!,#REF!,#REF!,#REF!,#REF!,Scotland!AY420,Southern!AY420,#REF!)</f>
        <v>0</v>
      </c>
      <c r="BA420" s="34" t="str">
        <f t="shared" ca="1" si="149"/>
        <v>LicenseeSelect</v>
      </c>
      <c r="BB420" s="34" t="str">
        <f t="shared" si="150"/>
        <v>Fixed Inputs</v>
      </c>
      <c r="BC420" s="34" t="str">
        <f t="shared" si="158"/>
        <v>Variant allowances</v>
      </c>
      <c r="BD420" s="34" t="str">
        <f t="shared" si="152"/>
        <v>Totex variant allowances allocation percentages</v>
      </c>
    </row>
    <row r="421" spans="5:56" x14ac:dyDescent="0.35">
      <c r="E421" s="193" t="str" cm="1">
        <f t="array" ref="E421">INDEX($E$99:$E$202,INT((ROW()-ROW($E$205))/5)+1)</f>
        <v>Re-opener_Mandated Category 3 Security Re-opener</v>
      </c>
      <c r="G421" s="33" t="s">
        <v>109</v>
      </c>
      <c r="H421" s="33" t="s">
        <v>169</v>
      </c>
      <c r="AT421" s="108"/>
      <c r="AU421" s="140">
        <f>CHOOSE(UserInterface!$C$22,#REF!,#REF!,#REF!,#REF!,#REF!,Scotland!AU421,Southern!AU421,#REF!)</f>
        <v>0</v>
      </c>
      <c r="AV421" s="23">
        <f>CHOOSE(UserInterface!$C$22,#REF!,#REF!,#REF!,#REF!,#REF!,Scotland!AV421,Southern!AV421,#REF!)</f>
        <v>0</v>
      </c>
      <c r="AW421" s="23">
        <f>CHOOSE(UserInterface!$C$22,#REF!,#REF!,#REF!,#REF!,#REF!,Scotland!AW421,Southern!AW421,#REF!)</f>
        <v>0</v>
      </c>
      <c r="AX421" s="23">
        <f>CHOOSE(UserInterface!$C$22,#REF!,#REF!,#REF!,#REF!,#REF!,Scotland!AX421,Southern!AX421,#REF!)</f>
        <v>0</v>
      </c>
      <c r="AY421" s="194">
        <f>CHOOSE(UserInterface!$C$22,#REF!,#REF!,#REF!,#REF!,#REF!,Scotland!AY421,Southern!AY421,#REF!)</f>
        <v>0</v>
      </c>
      <c r="BA421" s="34" t="str">
        <f t="shared" ca="1" si="149"/>
        <v>LicenseeSelect</v>
      </c>
      <c r="BB421" s="34" t="str">
        <f t="shared" si="150"/>
        <v>Fixed Inputs</v>
      </c>
      <c r="BC421" s="34" t="str">
        <f t="shared" si="158"/>
        <v>Variant allowances</v>
      </c>
      <c r="BD421" s="34" t="str">
        <f t="shared" si="152"/>
        <v>Totex variant allowances allocation percentages</v>
      </c>
    </row>
    <row r="422" spans="5:56" x14ac:dyDescent="0.35">
      <c r="E422" s="193" t="str" cm="1">
        <f t="array" ref="E422">INDEX($E$99:$E$202,INT((ROW()-ROW($E$205))/5)+1)</f>
        <v>Re-opener_Mandated Category 3 Security Re-opener</v>
      </c>
      <c r="G422" s="33" t="s">
        <v>109</v>
      </c>
      <c r="H422" s="33" t="s">
        <v>170</v>
      </c>
      <c r="AT422" s="108"/>
      <c r="AU422" s="140">
        <f>CHOOSE(UserInterface!$C$22,#REF!,#REF!,#REF!,#REF!,#REF!,Scotland!AU422,Southern!AU422,#REF!)</f>
        <v>0</v>
      </c>
      <c r="AV422" s="23">
        <f>CHOOSE(UserInterface!$C$22,#REF!,#REF!,#REF!,#REF!,#REF!,Scotland!AV422,Southern!AV422,#REF!)</f>
        <v>0</v>
      </c>
      <c r="AW422" s="23">
        <f>CHOOSE(UserInterface!$C$22,#REF!,#REF!,#REF!,#REF!,#REF!,Scotland!AW422,Southern!AW422,#REF!)</f>
        <v>0</v>
      </c>
      <c r="AX422" s="23">
        <f>CHOOSE(UserInterface!$C$22,#REF!,#REF!,#REF!,#REF!,#REF!,Scotland!AX422,Southern!AX422,#REF!)</f>
        <v>0</v>
      </c>
      <c r="AY422" s="194">
        <f>CHOOSE(UserInterface!$C$22,#REF!,#REF!,#REF!,#REF!,#REF!,Scotland!AY422,Southern!AY422,#REF!)</f>
        <v>0</v>
      </c>
      <c r="BA422" s="34" t="str">
        <f t="shared" ca="1" si="149"/>
        <v>LicenseeSelect</v>
      </c>
      <c r="BB422" s="34" t="str">
        <f t="shared" si="150"/>
        <v>Fixed Inputs</v>
      </c>
      <c r="BC422" s="34" t="str">
        <f t="shared" si="158"/>
        <v>Variant allowances</v>
      </c>
      <c r="BD422" s="34" t="str">
        <f t="shared" si="152"/>
        <v>Totex variant allowances allocation percentages</v>
      </c>
    </row>
    <row r="423" spans="5:56" x14ac:dyDescent="0.35">
      <c r="E423" s="193" t="str" cm="1">
        <f t="array" ref="E423">INDEX($E$99:$E$202,INT((ROW()-ROW($E$205))/5)+1)</f>
        <v>Re-opener_Mandated Category 3 Security Re-opener</v>
      </c>
      <c r="G423" s="33" t="s">
        <v>109</v>
      </c>
      <c r="H423" s="33" t="s">
        <v>171</v>
      </c>
      <c r="AT423" s="108"/>
      <c r="AU423" s="140">
        <f>CHOOSE(UserInterface!$C$22,#REF!,#REF!,#REF!,#REF!,#REF!,Scotland!AU423,Southern!AU423,#REF!)</f>
        <v>0</v>
      </c>
      <c r="AV423" s="23">
        <f>CHOOSE(UserInterface!$C$22,#REF!,#REF!,#REF!,#REF!,#REF!,Scotland!AV423,Southern!AV423,#REF!)</f>
        <v>0</v>
      </c>
      <c r="AW423" s="23">
        <f>CHOOSE(UserInterface!$C$22,#REF!,#REF!,#REF!,#REF!,#REF!,Scotland!AW423,Southern!AW423,#REF!)</f>
        <v>0</v>
      </c>
      <c r="AX423" s="23">
        <f>CHOOSE(UserInterface!$C$22,#REF!,#REF!,#REF!,#REF!,#REF!,Scotland!AX423,Southern!AX423,#REF!)</f>
        <v>0</v>
      </c>
      <c r="AY423" s="194">
        <f>CHOOSE(UserInterface!$C$22,#REF!,#REF!,#REF!,#REF!,#REF!,Scotland!AY423,Southern!AY423,#REF!)</f>
        <v>0</v>
      </c>
      <c r="BA423" s="34" t="str">
        <f t="shared" ca="1" si="149"/>
        <v>LicenseeSelect</v>
      </c>
      <c r="BB423" s="34" t="str">
        <f t="shared" si="150"/>
        <v>Fixed Inputs</v>
      </c>
      <c r="BC423" s="34" t="str">
        <f t="shared" si="158"/>
        <v>Variant allowances</v>
      </c>
      <c r="BD423" s="34" t="str">
        <f t="shared" si="152"/>
        <v>Totex variant allowances allocation percentages</v>
      </c>
    </row>
    <row r="424" spans="5:56" x14ac:dyDescent="0.35">
      <c r="E424" s="195" t="str" cm="1">
        <f t="array" ref="E424">INDEX($E$99:$E$202,INT((ROW()-ROW($E$205))/5)+1)</f>
        <v>Re-opener_Mandated Category 3 Security Re-opener</v>
      </c>
      <c r="F424" s="196"/>
      <c r="G424" s="196" t="s">
        <v>109</v>
      </c>
      <c r="H424" s="196" t="s">
        <v>172</v>
      </c>
      <c r="I424" s="196"/>
      <c r="J424" s="196"/>
      <c r="K424" s="196"/>
      <c r="L424" s="196"/>
      <c r="M424" s="196"/>
      <c r="N424" s="196"/>
      <c r="O424" s="196"/>
      <c r="P424" s="196"/>
      <c r="Q424" s="196"/>
      <c r="R424" s="196"/>
      <c r="S424" s="196"/>
      <c r="T424" s="196"/>
      <c r="U424" s="196"/>
      <c r="V424" s="196"/>
      <c r="W424" s="196"/>
      <c r="X424" s="196"/>
      <c r="Y424" s="196"/>
      <c r="Z424" s="196"/>
      <c r="AA424" s="196"/>
      <c r="AB424" s="196"/>
      <c r="AC424" s="196"/>
      <c r="AD424" s="196"/>
      <c r="AE424" s="196"/>
      <c r="AF424" s="196"/>
      <c r="AG424" s="196"/>
      <c r="AH424" s="196"/>
      <c r="AI424" s="196"/>
      <c r="AJ424" s="196"/>
      <c r="AK424" s="196"/>
      <c r="AL424" s="196"/>
      <c r="AM424" s="196"/>
      <c r="AN424" s="196"/>
      <c r="AO424" s="196"/>
      <c r="AP424" s="196"/>
      <c r="AQ424" s="196"/>
      <c r="AR424" s="196"/>
      <c r="AS424" s="196"/>
      <c r="AT424" s="197"/>
      <c r="AU424" s="198">
        <f>CHOOSE(UserInterface!$C$22,#REF!,#REF!,#REF!,#REF!,#REF!,Scotland!AU424,Southern!AU424,#REF!)</f>
        <v>0</v>
      </c>
      <c r="AV424" s="199">
        <f>CHOOSE(UserInterface!$C$22,#REF!,#REF!,#REF!,#REF!,#REF!,Scotland!AV424,Southern!AV424,#REF!)</f>
        <v>0</v>
      </c>
      <c r="AW424" s="199">
        <f>CHOOSE(UserInterface!$C$22,#REF!,#REF!,#REF!,#REF!,#REF!,Scotland!AW424,Southern!AW424,#REF!)</f>
        <v>0</v>
      </c>
      <c r="AX424" s="199">
        <f>CHOOSE(UserInterface!$C$22,#REF!,#REF!,#REF!,#REF!,#REF!,Scotland!AX424,Southern!AX424,#REF!)</f>
        <v>0</v>
      </c>
      <c r="AY424" s="200">
        <f>CHOOSE(UserInterface!$C$22,#REF!,#REF!,#REF!,#REF!,#REF!,Scotland!AY424,Southern!AY424,#REF!)</f>
        <v>0</v>
      </c>
      <c r="BA424" s="34" t="str">
        <f t="shared" ca="1" si="149"/>
        <v>LicenseeSelect</v>
      </c>
      <c r="BB424" s="34" t="str">
        <f t="shared" si="150"/>
        <v>Fixed Inputs</v>
      </c>
      <c r="BC424" s="34" t="str">
        <f t="shared" si="158"/>
        <v>Variant allowances</v>
      </c>
      <c r="BD424" s="34" t="str">
        <f t="shared" si="152"/>
        <v>Totex variant allowances allocation percentages</v>
      </c>
    </row>
    <row r="425" spans="5:56" x14ac:dyDescent="0.35">
      <c r="E425" s="187" t="str" cm="1">
        <f t="array" ref="E425">INDEX($E$99:$E$202,INT((ROW()-ROW($E$205))/5)+1)</f>
        <v>Re-opener_General Reinforcement</v>
      </c>
      <c r="F425" s="188"/>
      <c r="G425" s="188" t="s">
        <v>109</v>
      </c>
      <c r="H425" s="188" t="s">
        <v>168</v>
      </c>
      <c r="I425" s="188"/>
      <c r="J425" s="188"/>
      <c r="K425" s="188"/>
      <c r="L425" s="188"/>
      <c r="M425" s="188"/>
      <c r="N425" s="188"/>
      <c r="O425" s="188"/>
      <c r="P425" s="188"/>
      <c r="Q425" s="188"/>
      <c r="R425" s="188"/>
      <c r="S425" s="188"/>
      <c r="T425" s="188"/>
      <c r="U425" s="188"/>
      <c r="V425" s="188"/>
      <c r="W425" s="188"/>
      <c r="X425" s="188"/>
      <c r="Y425" s="188"/>
      <c r="Z425" s="188"/>
      <c r="AA425" s="188"/>
      <c r="AB425" s="188"/>
      <c r="AC425" s="188"/>
      <c r="AD425" s="188"/>
      <c r="AE425" s="188"/>
      <c r="AF425" s="188"/>
      <c r="AG425" s="188"/>
      <c r="AH425" s="188"/>
      <c r="AI425" s="188"/>
      <c r="AJ425" s="188"/>
      <c r="AK425" s="188"/>
      <c r="AL425" s="188"/>
      <c r="AM425" s="188"/>
      <c r="AN425" s="188"/>
      <c r="AO425" s="188"/>
      <c r="AP425" s="188"/>
      <c r="AQ425" s="188"/>
      <c r="AR425" s="188"/>
      <c r="AS425" s="188"/>
      <c r="AT425" s="189"/>
      <c r="AU425" s="190">
        <f>CHOOSE(UserInterface!$C$22,#REF!,#REF!,#REF!,#REF!,#REF!,Scotland!AU425,Southern!AU425,#REF!)</f>
        <v>0</v>
      </c>
      <c r="AV425" s="191">
        <f>CHOOSE(UserInterface!$C$22,#REF!,#REF!,#REF!,#REF!,#REF!,Scotland!AV425,Southern!AV425,#REF!)</f>
        <v>0</v>
      </c>
      <c r="AW425" s="191">
        <f>CHOOSE(UserInterface!$C$22,#REF!,#REF!,#REF!,#REF!,#REF!,Scotland!AW425,Southern!AW425,#REF!)</f>
        <v>0</v>
      </c>
      <c r="AX425" s="191">
        <f>CHOOSE(UserInterface!$C$22,#REF!,#REF!,#REF!,#REF!,#REF!,Scotland!AX425,Southern!AX425,#REF!)</f>
        <v>0</v>
      </c>
      <c r="AY425" s="192">
        <f>CHOOSE(UserInterface!$C$22,#REF!,#REF!,#REF!,#REF!,#REF!,Scotland!AY425,Southern!AY425,#REF!)</f>
        <v>0</v>
      </c>
      <c r="BA425" s="34" t="str">
        <f t="shared" ca="1" si="149"/>
        <v>LicenseeSelect</v>
      </c>
      <c r="BB425" s="34" t="str">
        <f t="shared" si="150"/>
        <v>Fixed Inputs</v>
      </c>
      <c r="BC425" s="34" t="str">
        <f t="shared" si="158"/>
        <v>Variant allowances</v>
      </c>
      <c r="BD425" s="34" t="str">
        <f t="shared" si="152"/>
        <v>Totex variant allowances allocation percentages</v>
      </c>
    </row>
    <row r="426" spans="5:56" x14ac:dyDescent="0.35">
      <c r="E426" s="193" t="str" cm="1">
        <f t="array" ref="E426">INDEX($E$99:$E$202,INT((ROW()-ROW($E$205))/5)+1)</f>
        <v>Re-opener_General Reinforcement</v>
      </c>
      <c r="G426" s="33" t="s">
        <v>109</v>
      </c>
      <c r="H426" s="33" t="s">
        <v>169</v>
      </c>
      <c r="AT426" s="108"/>
      <c r="AU426" s="140">
        <f>CHOOSE(UserInterface!$C$22,#REF!,#REF!,#REF!,#REF!,#REF!,Scotland!AU426,Southern!AU426,#REF!)</f>
        <v>0</v>
      </c>
      <c r="AV426" s="23">
        <f>CHOOSE(UserInterface!$C$22,#REF!,#REF!,#REF!,#REF!,#REF!,Scotland!AV426,Southern!AV426,#REF!)</f>
        <v>0</v>
      </c>
      <c r="AW426" s="23">
        <f>CHOOSE(UserInterface!$C$22,#REF!,#REF!,#REF!,#REF!,#REF!,Scotland!AW426,Southern!AW426,#REF!)</f>
        <v>0</v>
      </c>
      <c r="AX426" s="23">
        <f>CHOOSE(UserInterface!$C$22,#REF!,#REF!,#REF!,#REF!,#REF!,Scotland!AX426,Southern!AX426,#REF!)</f>
        <v>0</v>
      </c>
      <c r="AY426" s="194">
        <f>CHOOSE(UserInterface!$C$22,#REF!,#REF!,#REF!,#REF!,#REF!,Scotland!AY426,Southern!AY426,#REF!)</f>
        <v>0</v>
      </c>
      <c r="BA426" s="34" t="str">
        <f t="shared" ca="1" si="149"/>
        <v>LicenseeSelect</v>
      </c>
      <c r="BB426" s="34" t="str">
        <f t="shared" si="150"/>
        <v>Fixed Inputs</v>
      </c>
      <c r="BC426" s="34" t="str">
        <f t="shared" si="158"/>
        <v>Variant allowances</v>
      </c>
      <c r="BD426" s="34" t="str">
        <f t="shared" si="152"/>
        <v>Totex variant allowances allocation percentages</v>
      </c>
    </row>
    <row r="427" spans="5:56" x14ac:dyDescent="0.35">
      <c r="E427" s="193" t="str" cm="1">
        <f t="array" ref="E427">INDEX($E$99:$E$202,INT((ROW()-ROW($E$205))/5)+1)</f>
        <v>Re-opener_General Reinforcement</v>
      </c>
      <c r="G427" s="33" t="s">
        <v>109</v>
      </c>
      <c r="H427" s="33" t="s">
        <v>170</v>
      </c>
      <c r="AT427" s="108"/>
      <c r="AU427" s="140">
        <f>CHOOSE(UserInterface!$C$22,#REF!,#REF!,#REF!,#REF!,#REF!,Scotland!AU427,Southern!AU427,#REF!)</f>
        <v>0</v>
      </c>
      <c r="AV427" s="23">
        <f>CHOOSE(UserInterface!$C$22,#REF!,#REF!,#REF!,#REF!,#REF!,Scotland!AV427,Southern!AV427,#REF!)</f>
        <v>0</v>
      </c>
      <c r="AW427" s="23">
        <f>CHOOSE(UserInterface!$C$22,#REF!,#REF!,#REF!,#REF!,#REF!,Scotland!AW427,Southern!AW427,#REF!)</f>
        <v>0</v>
      </c>
      <c r="AX427" s="23">
        <f>CHOOSE(UserInterface!$C$22,#REF!,#REF!,#REF!,#REF!,#REF!,Scotland!AX427,Southern!AX427,#REF!)</f>
        <v>0</v>
      </c>
      <c r="AY427" s="194">
        <f>CHOOSE(UserInterface!$C$22,#REF!,#REF!,#REF!,#REF!,#REF!,Scotland!AY427,Southern!AY427,#REF!)</f>
        <v>0</v>
      </c>
      <c r="BA427" s="34" t="str">
        <f t="shared" ca="1" si="149"/>
        <v>LicenseeSelect</v>
      </c>
      <c r="BB427" s="34" t="str">
        <f t="shared" si="150"/>
        <v>Fixed Inputs</v>
      </c>
      <c r="BC427" s="34" t="str">
        <f t="shared" si="158"/>
        <v>Variant allowances</v>
      </c>
      <c r="BD427" s="34" t="str">
        <f t="shared" si="152"/>
        <v>Totex variant allowances allocation percentages</v>
      </c>
    </row>
    <row r="428" spans="5:56" x14ac:dyDescent="0.35">
      <c r="E428" s="193" t="str" cm="1">
        <f t="array" ref="E428">INDEX($E$99:$E$202,INT((ROW()-ROW($E$205))/5)+1)</f>
        <v>Re-opener_General Reinforcement</v>
      </c>
      <c r="G428" s="33" t="s">
        <v>109</v>
      </c>
      <c r="H428" s="33" t="s">
        <v>171</v>
      </c>
      <c r="AT428" s="108"/>
      <c r="AU428" s="140">
        <f>CHOOSE(UserInterface!$C$22,#REF!,#REF!,#REF!,#REF!,#REF!,Scotland!AU428,Southern!AU428,#REF!)</f>
        <v>0</v>
      </c>
      <c r="AV428" s="23">
        <f>CHOOSE(UserInterface!$C$22,#REF!,#REF!,#REF!,#REF!,#REF!,Scotland!AV428,Southern!AV428,#REF!)</f>
        <v>0</v>
      </c>
      <c r="AW428" s="23">
        <f>CHOOSE(UserInterface!$C$22,#REF!,#REF!,#REF!,#REF!,#REF!,Scotland!AW428,Southern!AW428,#REF!)</f>
        <v>0</v>
      </c>
      <c r="AX428" s="23">
        <f>CHOOSE(UserInterface!$C$22,#REF!,#REF!,#REF!,#REF!,#REF!,Scotland!AX428,Southern!AX428,#REF!)</f>
        <v>0</v>
      </c>
      <c r="AY428" s="194">
        <f>CHOOSE(UserInterface!$C$22,#REF!,#REF!,#REF!,#REF!,#REF!,Scotland!AY428,Southern!AY428,#REF!)</f>
        <v>0</v>
      </c>
      <c r="BA428" s="34" t="str">
        <f t="shared" ca="1" si="149"/>
        <v>LicenseeSelect</v>
      </c>
      <c r="BB428" s="34" t="str">
        <f t="shared" si="150"/>
        <v>Fixed Inputs</v>
      </c>
      <c r="BC428" s="34" t="str">
        <f t="shared" si="158"/>
        <v>Variant allowances</v>
      </c>
      <c r="BD428" s="34" t="str">
        <f t="shared" si="152"/>
        <v>Totex variant allowances allocation percentages</v>
      </c>
    </row>
    <row r="429" spans="5:56" x14ac:dyDescent="0.35">
      <c r="E429" s="195" t="str" cm="1">
        <f t="array" ref="E429">INDEX($E$99:$E$202,INT((ROW()-ROW($E$205))/5)+1)</f>
        <v>Re-opener_General Reinforcement</v>
      </c>
      <c r="F429" s="196"/>
      <c r="G429" s="196" t="s">
        <v>109</v>
      </c>
      <c r="H429" s="196" t="s">
        <v>172</v>
      </c>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7"/>
      <c r="AU429" s="198">
        <f>CHOOSE(UserInterface!$C$22,#REF!,#REF!,#REF!,#REF!,#REF!,Scotland!AU429,Southern!AU429,#REF!)</f>
        <v>0</v>
      </c>
      <c r="AV429" s="199">
        <f>CHOOSE(UserInterface!$C$22,#REF!,#REF!,#REF!,#REF!,#REF!,Scotland!AV429,Southern!AV429,#REF!)</f>
        <v>0</v>
      </c>
      <c r="AW429" s="199">
        <f>CHOOSE(UserInterface!$C$22,#REF!,#REF!,#REF!,#REF!,#REF!,Scotland!AW429,Southern!AW429,#REF!)</f>
        <v>0</v>
      </c>
      <c r="AX429" s="199">
        <f>CHOOSE(UserInterface!$C$22,#REF!,#REF!,#REF!,#REF!,#REF!,Scotland!AX429,Southern!AX429,#REF!)</f>
        <v>0</v>
      </c>
      <c r="AY429" s="200">
        <f>CHOOSE(UserInterface!$C$22,#REF!,#REF!,#REF!,#REF!,#REF!,Scotland!AY429,Southern!AY429,#REF!)</f>
        <v>0</v>
      </c>
      <c r="BA429" s="34" t="str">
        <f t="shared" ca="1" si="149"/>
        <v>LicenseeSelect</v>
      </c>
      <c r="BB429" s="34" t="str">
        <f t="shared" si="150"/>
        <v>Fixed Inputs</v>
      </c>
      <c r="BC429" s="34" t="str">
        <f t="shared" si="158"/>
        <v>Variant allowances</v>
      </c>
      <c r="BD429" s="34" t="str">
        <f t="shared" si="152"/>
        <v>Totex variant allowances allocation percentages</v>
      </c>
    </row>
    <row r="430" spans="5:56" x14ac:dyDescent="0.35">
      <c r="E430" s="187" t="str" cm="1">
        <f t="array" ref="E430">INDEX($E$99:$E$202,INT((ROW()-ROW($E$205))/5)+1)</f>
        <v>Spare 2</v>
      </c>
      <c r="F430" s="188"/>
      <c r="G430" s="188" t="s">
        <v>109</v>
      </c>
      <c r="H430" s="188" t="s">
        <v>168</v>
      </c>
      <c r="I430" s="188"/>
      <c r="J430" s="188"/>
      <c r="K430" s="188"/>
      <c r="L430" s="188"/>
      <c r="M430" s="188"/>
      <c r="N430" s="188"/>
      <c r="O430" s="188"/>
      <c r="P430" s="188"/>
      <c r="Q430" s="188"/>
      <c r="R430" s="188"/>
      <c r="S430" s="188"/>
      <c r="T430" s="188"/>
      <c r="U430" s="188"/>
      <c r="V430" s="188"/>
      <c r="W430" s="188"/>
      <c r="X430" s="188"/>
      <c r="Y430" s="188"/>
      <c r="Z430" s="188"/>
      <c r="AA430" s="188"/>
      <c r="AB430" s="188"/>
      <c r="AC430" s="188"/>
      <c r="AD430" s="188"/>
      <c r="AE430" s="188"/>
      <c r="AF430" s="188"/>
      <c r="AG430" s="188"/>
      <c r="AH430" s="188"/>
      <c r="AI430" s="188"/>
      <c r="AJ430" s="188"/>
      <c r="AK430" s="188"/>
      <c r="AL430" s="188"/>
      <c r="AM430" s="188"/>
      <c r="AN430" s="188"/>
      <c r="AO430" s="188"/>
      <c r="AP430" s="188"/>
      <c r="AQ430" s="188"/>
      <c r="AR430" s="188"/>
      <c r="AS430" s="188"/>
      <c r="AT430" s="189"/>
      <c r="AU430" s="190">
        <f>CHOOSE(UserInterface!$C$22,#REF!,#REF!,#REF!,#REF!,#REF!,Scotland!AU430,Southern!AU430,#REF!)</f>
        <v>0</v>
      </c>
      <c r="AV430" s="191">
        <f>CHOOSE(UserInterface!$C$22,#REF!,#REF!,#REF!,#REF!,#REF!,Scotland!AV430,Southern!AV430,#REF!)</f>
        <v>0</v>
      </c>
      <c r="AW430" s="191">
        <f>CHOOSE(UserInterface!$C$22,#REF!,#REF!,#REF!,#REF!,#REF!,Scotland!AW430,Southern!AW430,#REF!)</f>
        <v>0</v>
      </c>
      <c r="AX430" s="191">
        <f>CHOOSE(UserInterface!$C$22,#REF!,#REF!,#REF!,#REF!,#REF!,Scotland!AX430,Southern!AX430,#REF!)</f>
        <v>0</v>
      </c>
      <c r="AY430" s="192">
        <f>CHOOSE(UserInterface!$C$22,#REF!,#REF!,#REF!,#REF!,#REF!,Scotland!AY430,Southern!AY430,#REF!)</f>
        <v>0</v>
      </c>
      <c r="BA430" s="34" t="str">
        <f t="shared" ca="1" si="149"/>
        <v>LicenseeSelect</v>
      </c>
      <c r="BB430" s="34" t="str">
        <f t="shared" si="150"/>
        <v>Fixed Inputs</v>
      </c>
      <c r="BC430" s="34" t="str">
        <f t="shared" si="158"/>
        <v>Variant allowances</v>
      </c>
      <c r="BD430" s="34" t="str">
        <f t="shared" si="152"/>
        <v>Totex variant allowances allocation percentages</v>
      </c>
    </row>
    <row r="431" spans="5:56" x14ac:dyDescent="0.35">
      <c r="E431" s="193" t="str" cm="1">
        <f t="array" ref="E431">INDEX($E$99:$E$202,INT((ROW()-ROW($E$205))/5)+1)</f>
        <v>Spare 2</v>
      </c>
      <c r="G431" s="33" t="s">
        <v>109</v>
      </c>
      <c r="H431" s="33" t="s">
        <v>169</v>
      </c>
      <c r="AT431" s="108"/>
      <c r="AU431" s="140">
        <f>CHOOSE(UserInterface!$C$22,#REF!,#REF!,#REF!,#REF!,#REF!,Scotland!AU431,Southern!AU431,#REF!)</f>
        <v>0</v>
      </c>
      <c r="AV431" s="23">
        <f>CHOOSE(UserInterface!$C$22,#REF!,#REF!,#REF!,#REF!,#REF!,Scotland!AV431,Southern!AV431,#REF!)</f>
        <v>0</v>
      </c>
      <c r="AW431" s="23">
        <f>CHOOSE(UserInterface!$C$22,#REF!,#REF!,#REF!,#REF!,#REF!,Scotland!AW431,Southern!AW431,#REF!)</f>
        <v>0</v>
      </c>
      <c r="AX431" s="23">
        <f>CHOOSE(UserInterface!$C$22,#REF!,#REF!,#REF!,#REF!,#REF!,Scotland!AX431,Southern!AX431,#REF!)</f>
        <v>0</v>
      </c>
      <c r="AY431" s="194">
        <f>CHOOSE(UserInterface!$C$22,#REF!,#REF!,#REF!,#REF!,#REF!,Scotland!AY431,Southern!AY431,#REF!)</f>
        <v>0</v>
      </c>
      <c r="BA431" s="34" t="str">
        <f t="shared" ca="1" si="149"/>
        <v>LicenseeSelect</v>
      </c>
      <c r="BB431" s="34" t="str">
        <f t="shared" si="150"/>
        <v>Fixed Inputs</v>
      </c>
      <c r="BC431" s="34" t="str">
        <f t="shared" si="158"/>
        <v>Variant allowances</v>
      </c>
      <c r="BD431" s="34" t="str">
        <f t="shared" si="152"/>
        <v>Totex variant allowances allocation percentages</v>
      </c>
    </row>
    <row r="432" spans="5:56" x14ac:dyDescent="0.35">
      <c r="E432" s="193" t="str" cm="1">
        <f t="array" ref="E432">INDEX($E$99:$E$202,INT((ROW()-ROW($E$205))/5)+1)</f>
        <v>Spare 2</v>
      </c>
      <c r="G432" s="33" t="s">
        <v>109</v>
      </c>
      <c r="H432" s="33" t="s">
        <v>170</v>
      </c>
      <c r="AT432" s="108"/>
      <c r="AU432" s="140">
        <f>CHOOSE(UserInterface!$C$22,#REF!,#REF!,#REF!,#REF!,#REF!,Scotland!AU432,Southern!AU432,#REF!)</f>
        <v>0</v>
      </c>
      <c r="AV432" s="23">
        <f>CHOOSE(UserInterface!$C$22,#REF!,#REF!,#REF!,#REF!,#REF!,Scotland!AV432,Southern!AV432,#REF!)</f>
        <v>0</v>
      </c>
      <c r="AW432" s="23">
        <f>CHOOSE(UserInterface!$C$22,#REF!,#REF!,#REF!,#REF!,#REF!,Scotland!AW432,Southern!AW432,#REF!)</f>
        <v>0</v>
      </c>
      <c r="AX432" s="23">
        <f>CHOOSE(UserInterface!$C$22,#REF!,#REF!,#REF!,#REF!,#REF!,Scotland!AX432,Southern!AX432,#REF!)</f>
        <v>0</v>
      </c>
      <c r="AY432" s="194">
        <f>CHOOSE(UserInterface!$C$22,#REF!,#REF!,#REF!,#REF!,#REF!,Scotland!AY432,Southern!AY432,#REF!)</f>
        <v>0</v>
      </c>
      <c r="BA432" s="34" t="str">
        <f t="shared" ca="1" si="149"/>
        <v>LicenseeSelect</v>
      </c>
      <c r="BB432" s="34" t="str">
        <f t="shared" si="150"/>
        <v>Fixed Inputs</v>
      </c>
      <c r="BC432" s="34" t="str">
        <f t="shared" si="158"/>
        <v>Variant allowances</v>
      </c>
      <c r="BD432" s="34" t="str">
        <f t="shared" si="152"/>
        <v>Totex variant allowances allocation percentages</v>
      </c>
    </row>
    <row r="433" spans="5:56" x14ac:dyDescent="0.35">
      <c r="E433" s="193" t="str" cm="1">
        <f t="array" ref="E433">INDEX($E$99:$E$202,INT((ROW()-ROW($E$205))/5)+1)</f>
        <v>Spare 2</v>
      </c>
      <c r="G433" s="33" t="s">
        <v>109</v>
      </c>
      <c r="H433" s="33" t="s">
        <v>171</v>
      </c>
      <c r="AT433" s="108"/>
      <c r="AU433" s="140">
        <f>CHOOSE(UserInterface!$C$22,#REF!,#REF!,#REF!,#REF!,#REF!,Scotland!AU433,Southern!AU433,#REF!)</f>
        <v>0</v>
      </c>
      <c r="AV433" s="23">
        <f>CHOOSE(UserInterface!$C$22,#REF!,#REF!,#REF!,#REF!,#REF!,Scotland!AV433,Southern!AV433,#REF!)</f>
        <v>0</v>
      </c>
      <c r="AW433" s="23">
        <f>CHOOSE(UserInterface!$C$22,#REF!,#REF!,#REF!,#REF!,#REF!,Scotland!AW433,Southern!AW433,#REF!)</f>
        <v>0</v>
      </c>
      <c r="AX433" s="23">
        <f>CHOOSE(UserInterface!$C$22,#REF!,#REF!,#REF!,#REF!,#REF!,Scotland!AX433,Southern!AX433,#REF!)</f>
        <v>0</v>
      </c>
      <c r="AY433" s="194">
        <f>CHOOSE(UserInterface!$C$22,#REF!,#REF!,#REF!,#REF!,#REF!,Scotland!AY433,Southern!AY433,#REF!)</f>
        <v>0</v>
      </c>
      <c r="BA433" s="34" t="str">
        <f t="shared" ca="1" si="149"/>
        <v>LicenseeSelect</v>
      </c>
      <c r="BB433" s="34" t="str">
        <f t="shared" si="150"/>
        <v>Fixed Inputs</v>
      </c>
      <c r="BC433" s="34" t="str">
        <f t="shared" si="158"/>
        <v>Variant allowances</v>
      </c>
      <c r="BD433" s="34" t="str">
        <f t="shared" si="152"/>
        <v>Totex variant allowances allocation percentages</v>
      </c>
    </row>
    <row r="434" spans="5:56" x14ac:dyDescent="0.35">
      <c r="E434" s="195" t="str" cm="1">
        <f t="array" ref="E434">INDEX($E$99:$E$202,INT((ROW()-ROW($E$205))/5)+1)</f>
        <v>Spare 2</v>
      </c>
      <c r="F434" s="196"/>
      <c r="G434" s="196" t="s">
        <v>109</v>
      </c>
      <c r="H434" s="196" t="s">
        <v>172</v>
      </c>
      <c r="I434" s="196"/>
      <c r="J434" s="196"/>
      <c r="K434" s="196"/>
      <c r="L434" s="196"/>
      <c r="M434" s="196"/>
      <c r="N434" s="196"/>
      <c r="O434" s="196"/>
      <c r="P434" s="196"/>
      <c r="Q434" s="196"/>
      <c r="R434" s="196"/>
      <c r="S434" s="196"/>
      <c r="T434" s="196"/>
      <c r="U434" s="196"/>
      <c r="V434" s="196"/>
      <c r="W434" s="196"/>
      <c r="X434" s="196"/>
      <c r="Y434" s="196"/>
      <c r="Z434" s="196"/>
      <c r="AA434" s="196"/>
      <c r="AB434" s="196"/>
      <c r="AC434" s="196"/>
      <c r="AD434" s="196"/>
      <c r="AE434" s="196"/>
      <c r="AF434" s="196"/>
      <c r="AG434" s="196"/>
      <c r="AH434" s="196"/>
      <c r="AI434" s="196"/>
      <c r="AJ434" s="196"/>
      <c r="AK434" s="196"/>
      <c r="AL434" s="196"/>
      <c r="AM434" s="196"/>
      <c r="AN434" s="196"/>
      <c r="AO434" s="196"/>
      <c r="AP434" s="196"/>
      <c r="AQ434" s="196"/>
      <c r="AR434" s="196"/>
      <c r="AS434" s="196"/>
      <c r="AT434" s="197"/>
      <c r="AU434" s="198">
        <f>CHOOSE(UserInterface!$C$22,#REF!,#REF!,#REF!,#REF!,#REF!,Scotland!AU434,Southern!AU434,#REF!)</f>
        <v>0</v>
      </c>
      <c r="AV434" s="199">
        <f>CHOOSE(UserInterface!$C$22,#REF!,#REF!,#REF!,#REF!,#REF!,Scotland!AV434,Southern!AV434,#REF!)</f>
        <v>0</v>
      </c>
      <c r="AW434" s="199">
        <f>CHOOSE(UserInterface!$C$22,#REF!,#REF!,#REF!,#REF!,#REF!,Scotland!AW434,Southern!AW434,#REF!)</f>
        <v>0</v>
      </c>
      <c r="AX434" s="199">
        <f>CHOOSE(UserInterface!$C$22,#REF!,#REF!,#REF!,#REF!,#REF!,Scotland!AX434,Southern!AX434,#REF!)</f>
        <v>0</v>
      </c>
      <c r="AY434" s="200">
        <f>CHOOSE(UserInterface!$C$22,#REF!,#REF!,#REF!,#REF!,#REF!,Scotland!AY434,Southern!AY434,#REF!)</f>
        <v>0</v>
      </c>
      <c r="BA434" s="34" t="str">
        <f t="shared" ca="1" si="149"/>
        <v>LicenseeSelect</v>
      </c>
      <c r="BB434" s="34" t="str">
        <f t="shared" si="150"/>
        <v>Fixed Inputs</v>
      </c>
      <c r="BC434" s="34" t="str">
        <f t="shared" si="158"/>
        <v>Variant allowances</v>
      </c>
      <c r="BD434" s="34" t="str">
        <f t="shared" si="152"/>
        <v>Totex variant allowances allocation percentages</v>
      </c>
    </row>
    <row r="435" spans="5:56" x14ac:dyDescent="0.35">
      <c r="E435" s="187" t="str" cm="1">
        <f t="array" ref="E435">INDEX($E$99:$E$202,INT((ROW()-ROW($E$205))/5)+1)</f>
        <v>Spare 3</v>
      </c>
      <c r="F435" s="188"/>
      <c r="G435" s="188" t="s">
        <v>109</v>
      </c>
      <c r="H435" s="188" t="s">
        <v>168</v>
      </c>
      <c r="I435" s="188"/>
      <c r="J435" s="188"/>
      <c r="K435" s="188"/>
      <c r="L435" s="188"/>
      <c r="M435" s="188"/>
      <c r="N435" s="188"/>
      <c r="O435" s="188"/>
      <c r="P435" s="188"/>
      <c r="Q435" s="188"/>
      <c r="R435" s="188"/>
      <c r="S435" s="188"/>
      <c r="T435" s="188"/>
      <c r="U435" s="188"/>
      <c r="V435" s="188"/>
      <c r="W435" s="188"/>
      <c r="X435" s="188"/>
      <c r="Y435" s="188"/>
      <c r="Z435" s="188"/>
      <c r="AA435" s="188"/>
      <c r="AB435" s="188"/>
      <c r="AC435" s="188"/>
      <c r="AD435" s="188"/>
      <c r="AE435" s="188"/>
      <c r="AF435" s="188"/>
      <c r="AG435" s="188"/>
      <c r="AH435" s="188"/>
      <c r="AI435" s="188"/>
      <c r="AJ435" s="188"/>
      <c r="AK435" s="188"/>
      <c r="AL435" s="188"/>
      <c r="AM435" s="188"/>
      <c r="AN435" s="188"/>
      <c r="AO435" s="188"/>
      <c r="AP435" s="188"/>
      <c r="AQ435" s="188"/>
      <c r="AR435" s="188"/>
      <c r="AS435" s="188"/>
      <c r="AT435" s="189"/>
      <c r="AU435" s="190">
        <f>CHOOSE(UserInterface!$C$22,#REF!,#REF!,#REF!,#REF!,#REF!,Scotland!AU435,Southern!AU435,#REF!)</f>
        <v>0</v>
      </c>
      <c r="AV435" s="191">
        <f>CHOOSE(UserInterface!$C$22,#REF!,#REF!,#REF!,#REF!,#REF!,Scotland!AV435,Southern!AV435,#REF!)</f>
        <v>0</v>
      </c>
      <c r="AW435" s="191">
        <f>CHOOSE(UserInterface!$C$22,#REF!,#REF!,#REF!,#REF!,#REF!,Scotland!AW435,Southern!AW435,#REF!)</f>
        <v>0</v>
      </c>
      <c r="AX435" s="191">
        <f>CHOOSE(UserInterface!$C$22,#REF!,#REF!,#REF!,#REF!,#REF!,Scotland!AX435,Southern!AX435,#REF!)</f>
        <v>0</v>
      </c>
      <c r="AY435" s="192">
        <f>CHOOSE(UserInterface!$C$22,#REF!,#REF!,#REF!,#REF!,#REF!,Scotland!AY435,Southern!AY435,#REF!)</f>
        <v>0</v>
      </c>
      <c r="BA435" s="34" t="str">
        <f t="shared" ca="1" si="149"/>
        <v>LicenseeSelect</v>
      </c>
      <c r="BB435" s="34" t="str">
        <f t="shared" si="150"/>
        <v>Fixed Inputs</v>
      </c>
      <c r="BC435" s="34" t="str">
        <f t="shared" si="158"/>
        <v>Variant allowances</v>
      </c>
      <c r="BD435" s="34" t="str">
        <f t="shared" si="152"/>
        <v>Totex variant allowances allocation percentages</v>
      </c>
    </row>
    <row r="436" spans="5:56" x14ac:dyDescent="0.35">
      <c r="E436" s="193" t="str" cm="1">
        <f t="array" ref="E436">INDEX($E$99:$E$202,INT((ROW()-ROW($E$205))/5)+1)</f>
        <v>Spare 3</v>
      </c>
      <c r="G436" s="33" t="s">
        <v>109</v>
      </c>
      <c r="H436" s="33" t="s">
        <v>169</v>
      </c>
      <c r="AT436" s="108"/>
      <c r="AU436" s="140">
        <f>CHOOSE(UserInterface!$C$22,#REF!,#REF!,#REF!,#REF!,#REF!,Scotland!AU436,Southern!AU436,#REF!)</f>
        <v>0</v>
      </c>
      <c r="AV436" s="23">
        <f>CHOOSE(UserInterface!$C$22,#REF!,#REF!,#REF!,#REF!,#REF!,Scotland!AV436,Southern!AV436,#REF!)</f>
        <v>0</v>
      </c>
      <c r="AW436" s="23">
        <f>CHOOSE(UserInterface!$C$22,#REF!,#REF!,#REF!,#REF!,#REF!,Scotland!AW436,Southern!AW436,#REF!)</f>
        <v>0</v>
      </c>
      <c r="AX436" s="23">
        <f>CHOOSE(UserInterface!$C$22,#REF!,#REF!,#REF!,#REF!,#REF!,Scotland!AX436,Southern!AX436,#REF!)</f>
        <v>0</v>
      </c>
      <c r="AY436" s="194">
        <f>CHOOSE(UserInterface!$C$22,#REF!,#REF!,#REF!,#REF!,#REF!,Scotland!AY436,Southern!AY436,#REF!)</f>
        <v>0</v>
      </c>
      <c r="BA436" s="34" t="str">
        <f t="shared" ca="1" si="149"/>
        <v>LicenseeSelect</v>
      </c>
      <c r="BB436" s="34" t="str">
        <f t="shared" si="150"/>
        <v>Fixed Inputs</v>
      </c>
      <c r="BC436" s="34" t="str">
        <f t="shared" si="158"/>
        <v>Variant allowances</v>
      </c>
      <c r="BD436" s="34" t="str">
        <f t="shared" si="152"/>
        <v>Totex variant allowances allocation percentages</v>
      </c>
    </row>
    <row r="437" spans="5:56" x14ac:dyDescent="0.35">
      <c r="E437" s="193" t="str" cm="1">
        <f t="array" ref="E437">INDEX($E$99:$E$202,INT((ROW()-ROW($E$205))/5)+1)</f>
        <v>Spare 3</v>
      </c>
      <c r="G437" s="33" t="s">
        <v>109</v>
      </c>
      <c r="H437" s="33" t="s">
        <v>170</v>
      </c>
      <c r="AT437" s="108"/>
      <c r="AU437" s="140">
        <f>CHOOSE(UserInterface!$C$22,#REF!,#REF!,#REF!,#REF!,#REF!,Scotland!AU437,Southern!AU437,#REF!)</f>
        <v>0</v>
      </c>
      <c r="AV437" s="23">
        <f>CHOOSE(UserInterface!$C$22,#REF!,#REF!,#REF!,#REF!,#REF!,Scotland!AV437,Southern!AV437,#REF!)</f>
        <v>0</v>
      </c>
      <c r="AW437" s="23">
        <f>CHOOSE(UserInterface!$C$22,#REF!,#REF!,#REF!,#REF!,#REF!,Scotland!AW437,Southern!AW437,#REF!)</f>
        <v>0</v>
      </c>
      <c r="AX437" s="23">
        <f>CHOOSE(UserInterface!$C$22,#REF!,#REF!,#REF!,#REF!,#REF!,Scotland!AX437,Southern!AX437,#REF!)</f>
        <v>0</v>
      </c>
      <c r="AY437" s="194">
        <f>CHOOSE(UserInterface!$C$22,#REF!,#REF!,#REF!,#REF!,#REF!,Scotland!AY437,Southern!AY437,#REF!)</f>
        <v>0</v>
      </c>
      <c r="BA437" s="34" t="str">
        <f t="shared" ca="1" si="149"/>
        <v>LicenseeSelect</v>
      </c>
      <c r="BB437" s="34" t="str">
        <f t="shared" si="150"/>
        <v>Fixed Inputs</v>
      </c>
      <c r="BC437" s="34" t="str">
        <f t="shared" si="158"/>
        <v>Variant allowances</v>
      </c>
      <c r="BD437" s="34" t="str">
        <f t="shared" si="152"/>
        <v>Totex variant allowances allocation percentages</v>
      </c>
    </row>
    <row r="438" spans="5:56" x14ac:dyDescent="0.35">
      <c r="E438" s="193" t="str" cm="1">
        <f t="array" ref="E438">INDEX($E$99:$E$202,INT((ROW()-ROW($E$205))/5)+1)</f>
        <v>Spare 3</v>
      </c>
      <c r="G438" s="33" t="s">
        <v>109</v>
      </c>
      <c r="H438" s="33" t="s">
        <v>171</v>
      </c>
      <c r="AT438" s="108"/>
      <c r="AU438" s="140">
        <f>CHOOSE(UserInterface!$C$22,#REF!,#REF!,#REF!,#REF!,#REF!,Scotland!AU438,Southern!AU438,#REF!)</f>
        <v>0</v>
      </c>
      <c r="AV438" s="23">
        <f>CHOOSE(UserInterface!$C$22,#REF!,#REF!,#REF!,#REF!,#REF!,Scotland!AV438,Southern!AV438,#REF!)</f>
        <v>0</v>
      </c>
      <c r="AW438" s="23">
        <f>CHOOSE(UserInterface!$C$22,#REF!,#REF!,#REF!,#REF!,#REF!,Scotland!AW438,Southern!AW438,#REF!)</f>
        <v>0</v>
      </c>
      <c r="AX438" s="23">
        <f>CHOOSE(UserInterface!$C$22,#REF!,#REF!,#REF!,#REF!,#REF!,Scotland!AX438,Southern!AX438,#REF!)</f>
        <v>0</v>
      </c>
      <c r="AY438" s="194">
        <f>CHOOSE(UserInterface!$C$22,#REF!,#REF!,#REF!,#REF!,#REF!,Scotland!AY438,Southern!AY438,#REF!)</f>
        <v>0</v>
      </c>
      <c r="BA438" s="34" t="str">
        <f t="shared" ca="1" si="149"/>
        <v>LicenseeSelect</v>
      </c>
      <c r="BB438" s="34" t="str">
        <f t="shared" si="150"/>
        <v>Fixed Inputs</v>
      </c>
      <c r="BC438" s="34" t="str">
        <f t="shared" si="158"/>
        <v>Variant allowances</v>
      </c>
      <c r="BD438" s="34" t="str">
        <f t="shared" si="152"/>
        <v>Totex variant allowances allocation percentages</v>
      </c>
    </row>
    <row r="439" spans="5:56" x14ac:dyDescent="0.35">
      <c r="E439" s="195" t="str" cm="1">
        <f t="array" ref="E439">INDEX($E$99:$E$202,INT((ROW()-ROW($E$205))/5)+1)</f>
        <v>Spare 3</v>
      </c>
      <c r="F439" s="196"/>
      <c r="G439" s="196" t="s">
        <v>109</v>
      </c>
      <c r="H439" s="196" t="s">
        <v>172</v>
      </c>
      <c r="I439" s="196"/>
      <c r="J439" s="196"/>
      <c r="K439" s="196"/>
      <c r="L439" s="196"/>
      <c r="M439" s="196"/>
      <c r="N439" s="196"/>
      <c r="O439" s="196"/>
      <c r="P439" s="196"/>
      <c r="Q439" s="196"/>
      <c r="R439" s="196"/>
      <c r="S439" s="196"/>
      <c r="T439" s="196"/>
      <c r="U439" s="196"/>
      <c r="V439" s="196"/>
      <c r="W439" s="196"/>
      <c r="X439" s="196"/>
      <c r="Y439" s="196"/>
      <c r="Z439" s="196"/>
      <c r="AA439" s="196"/>
      <c r="AB439" s="196"/>
      <c r="AC439" s="196"/>
      <c r="AD439" s="196"/>
      <c r="AE439" s="196"/>
      <c r="AF439" s="196"/>
      <c r="AG439" s="196"/>
      <c r="AH439" s="196"/>
      <c r="AI439" s="196"/>
      <c r="AJ439" s="196"/>
      <c r="AK439" s="196"/>
      <c r="AL439" s="196"/>
      <c r="AM439" s="196"/>
      <c r="AN439" s="196"/>
      <c r="AO439" s="196"/>
      <c r="AP439" s="196"/>
      <c r="AQ439" s="196"/>
      <c r="AR439" s="196"/>
      <c r="AS439" s="196"/>
      <c r="AT439" s="197"/>
      <c r="AU439" s="198">
        <f>CHOOSE(UserInterface!$C$22,#REF!,#REF!,#REF!,#REF!,#REF!,Scotland!AU439,Southern!AU439,#REF!)</f>
        <v>0</v>
      </c>
      <c r="AV439" s="199">
        <f>CHOOSE(UserInterface!$C$22,#REF!,#REF!,#REF!,#REF!,#REF!,Scotland!AV439,Southern!AV439,#REF!)</f>
        <v>0</v>
      </c>
      <c r="AW439" s="199">
        <f>CHOOSE(UserInterface!$C$22,#REF!,#REF!,#REF!,#REF!,#REF!,Scotland!AW439,Southern!AW439,#REF!)</f>
        <v>0</v>
      </c>
      <c r="AX439" s="199">
        <f>CHOOSE(UserInterface!$C$22,#REF!,#REF!,#REF!,#REF!,#REF!,Scotland!AX439,Southern!AX439,#REF!)</f>
        <v>0</v>
      </c>
      <c r="AY439" s="200">
        <f>CHOOSE(UserInterface!$C$22,#REF!,#REF!,#REF!,#REF!,#REF!,Scotland!AY439,Southern!AY439,#REF!)</f>
        <v>0</v>
      </c>
      <c r="BA439" s="34" t="str">
        <f t="shared" ca="1" si="149"/>
        <v>LicenseeSelect</v>
      </c>
      <c r="BB439" s="34" t="str">
        <f t="shared" si="150"/>
        <v>Fixed Inputs</v>
      </c>
      <c r="BC439" s="34" t="str">
        <f t="shared" si="158"/>
        <v>Variant allowances</v>
      </c>
      <c r="BD439" s="34" t="str">
        <f t="shared" si="152"/>
        <v>Totex variant allowances allocation percentages</v>
      </c>
    </row>
    <row r="440" spans="5:56" x14ac:dyDescent="0.35">
      <c r="E440" s="187" t="str" cm="1">
        <f t="array" ref="E440">INDEX($E$99:$E$202,INT((ROW()-ROW($E$205))/5)+1)</f>
        <v>Spare 4</v>
      </c>
      <c r="F440" s="188"/>
      <c r="G440" s="188" t="s">
        <v>109</v>
      </c>
      <c r="H440" s="188" t="s">
        <v>168</v>
      </c>
      <c r="I440" s="188"/>
      <c r="J440" s="188"/>
      <c r="K440" s="188"/>
      <c r="L440" s="188"/>
      <c r="M440" s="188"/>
      <c r="N440" s="188"/>
      <c r="O440" s="188"/>
      <c r="P440" s="188"/>
      <c r="Q440" s="188"/>
      <c r="R440" s="188"/>
      <c r="S440" s="188"/>
      <c r="T440" s="188"/>
      <c r="U440" s="188"/>
      <c r="V440" s="188"/>
      <c r="W440" s="188"/>
      <c r="X440" s="188"/>
      <c r="Y440" s="188"/>
      <c r="Z440" s="188"/>
      <c r="AA440" s="188"/>
      <c r="AB440" s="188"/>
      <c r="AC440" s="188"/>
      <c r="AD440" s="188"/>
      <c r="AE440" s="188"/>
      <c r="AF440" s="188"/>
      <c r="AG440" s="188"/>
      <c r="AH440" s="188"/>
      <c r="AI440" s="188"/>
      <c r="AJ440" s="188"/>
      <c r="AK440" s="188"/>
      <c r="AL440" s="188"/>
      <c r="AM440" s="188"/>
      <c r="AN440" s="188"/>
      <c r="AO440" s="188"/>
      <c r="AP440" s="188"/>
      <c r="AQ440" s="188"/>
      <c r="AR440" s="188"/>
      <c r="AS440" s="188"/>
      <c r="AT440" s="189"/>
      <c r="AU440" s="190">
        <f>CHOOSE(UserInterface!$C$22,#REF!,#REF!,#REF!,#REF!,#REF!,Scotland!AU440,Southern!AU440,#REF!)</f>
        <v>0</v>
      </c>
      <c r="AV440" s="191">
        <f>CHOOSE(UserInterface!$C$22,#REF!,#REF!,#REF!,#REF!,#REF!,Scotland!AV440,Southern!AV440,#REF!)</f>
        <v>0</v>
      </c>
      <c r="AW440" s="191">
        <f>CHOOSE(UserInterface!$C$22,#REF!,#REF!,#REF!,#REF!,#REF!,Scotland!AW440,Southern!AW440,#REF!)</f>
        <v>0</v>
      </c>
      <c r="AX440" s="191">
        <f>CHOOSE(UserInterface!$C$22,#REF!,#REF!,#REF!,#REF!,#REF!,Scotland!AX440,Southern!AX440,#REF!)</f>
        <v>0</v>
      </c>
      <c r="AY440" s="192">
        <f>CHOOSE(UserInterface!$C$22,#REF!,#REF!,#REF!,#REF!,#REF!,Scotland!AY440,Southern!AY440,#REF!)</f>
        <v>0</v>
      </c>
      <c r="BA440" s="34" t="str">
        <f t="shared" ca="1" si="149"/>
        <v>LicenseeSelect</v>
      </c>
      <c r="BB440" s="34" t="str">
        <f t="shared" si="150"/>
        <v>Fixed Inputs</v>
      </c>
      <c r="BC440" s="34" t="str">
        <f t="shared" si="158"/>
        <v>Variant allowances</v>
      </c>
      <c r="BD440" s="34" t="str">
        <f t="shared" si="152"/>
        <v>Totex variant allowances allocation percentages</v>
      </c>
    </row>
    <row r="441" spans="5:56" x14ac:dyDescent="0.35">
      <c r="E441" s="193" t="str" cm="1">
        <f t="array" ref="E441">INDEX($E$99:$E$202,INT((ROW()-ROW($E$205))/5)+1)</f>
        <v>Spare 4</v>
      </c>
      <c r="G441" s="33" t="s">
        <v>109</v>
      </c>
      <c r="H441" s="33" t="s">
        <v>169</v>
      </c>
      <c r="AT441" s="108"/>
      <c r="AU441" s="140">
        <f>CHOOSE(UserInterface!$C$22,#REF!,#REF!,#REF!,#REF!,#REF!,Scotland!AU441,Southern!AU441,#REF!)</f>
        <v>0</v>
      </c>
      <c r="AV441" s="23">
        <f>CHOOSE(UserInterface!$C$22,#REF!,#REF!,#REF!,#REF!,#REF!,Scotland!AV441,Southern!AV441,#REF!)</f>
        <v>0</v>
      </c>
      <c r="AW441" s="23">
        <f>CHOOSE(UserInterface!$C$22,#REF!,#REF!,#REF!,#REF!,#REF!,Scotland!AW441,Southern!AW441,#REF!)</f>
        <v>0</v>
      </c>
      <c r="AX441" s="23">
        <f>CHOOSE(UserInterface!$C$22,#REF!,#REF!,#REF!,#REF!,#REF!,Scotland!AX441,Southern!AX441,#REF!)</f>
        <v>0</v>
      </c>
      <c r="AY441" s="194">
        <f>CHOOSE(UserInterface!$C$22,#REF!,#REF!,#REF!,#REF!,#REF!,Scotland!AY441,Southern!AY441,#REF!)</f>
        <v>0</v>
      </c>
      <c r="BA441" s="34" t="str">
        <f t="shared" ca="1" si="149"/>
        <v>LicenseeSelect</v>
      </c>
      <c r="BB441" s="34" t="str">
        <f t="shared" si="150"/>
        <v>Fixed Inputs</v>
      </c>
      <c r="BC441" s="34" t="str">
        <f t="shared" si="158"/>
        <v>Variant allowances</v>
      </c>
      <c r="BD441" s="34" t="str">
        <f t="shared" si="152"/>
        <v>Totex variant allowances allocation percentages</v>
      </c>
    </row>
    <row r="442" spans="5:56" x14ac:dyDescent="0.35">
      <c r="E442" s="193" t="str" cm="1">
        <f t="array" ref="E442">INDEX($E$99:$E$202,INT((ROW()-ROW($E$205))/5)+1)</f>
        <v>Spare 4</v>
      </c>
      <c r="G442" s="33" t="s">
        <v>109</v>
      </c>
      <c r="H442" s="33" t="s">
        <v>170</v>
      </c>
      <c r="AT442" s="108"/>
      <c r="AU442" s="140">
        <f>CHOOSE(UserInterface!$C$22,#REF!,#REF!,#REF!,#REF!,#REF!,Scotland!AU442,Southern!AU442,#REF!)</f>
        <v>0</v>
      </c>
      <c r="AV442" s="23">
        <f>CHOOSE(UserInterface!$C$22,#REF!,#REF!,#REF!,#REF!,#REF!,Scotland!AV442,Southern!AV442,#REF!)</f>
        <v>0</v>
      </c>
      <c r="AW442" s="23">
        <f>CHOOSE(UserInterface!$C$22,#REF!,#REF!,#REF!,#REF!,#REF!,Scotland!AW442,Southern!AW442,#REF!)</f>
        <v>0</v>
      </c>
      <c r="AX442" s="23">
        <f>CHOOSE(UserInterface!$C$22,#REF!,#REF!,#REF!,#REF!,#REF!,Scotland!AX442,Southern!AX442,#REF!)</f>
        <v>0</v>
      </c>
      <c r="AY442" s="194">
        <f>CHOOSE(UserInterface!$C$22,#REF!,#REF!,#REF!,#REF!,#REF!,Scotland!AY442,Southern!AY442,#REF!)</f>
        <v>0</v>
      </c>
      <c r="BA442" s="34" t="str">
        <f t="shared" ca="1" si="149"/>
        <v>LicenseeSelect</v>
      </c>
      <c r="BB442" s="34" t="str">
        <f t="shared" si="150"/>
        <v>Fixed Inputs</v>
      </c>
      <c r="BC442" s="34" t="str">
        <f t="shared" si="158"/>
        <v>Variant allowances</v>
      </c>
      <c r="BD442" s="34" t="str">
        <f t="shared" si="152"/>
        <v>Totex variant allowances allocation percentages</v>
      </c>
    </row>
    <row r="443" spans="5:56" x14ac:dyDescent="0.35">
      <c r="E443" s="193" t="str" cm="1">
        <f t="array" ref="E443">INDEX($E$99:$E$202,INT((ROW()-ROW($E$205))/5)+1)</f>
        <v>Spare 4</v>
      </c>
      <c r="G443" s="33" t="s">
        <v>109</v>
      </c>
      <c r="H443" s="33" t="s">
        <v>171</v>
      </c>
      <c r="AT443" s="108"/>
      <c r="AU443" s="140">
        <f>CHOOSE(UserInterface!$C$22,#REF!,#REF!,#REF!,#REF!,#REF!,Scotland!AU443,Southern!AU443,#REF!)</f>
        <v>0</v>
      </c>
      <c r="AV443" s="23">
        <f>CHOOSE(UserInterface!$C$22,#REF!,#REF!,#REF!,#REF!,#REF!,Scotland!AV443,Southern!AV443,#REF!)</f>
        <v>0</v>
      </c>
      <c r="AW443" s="23">
        <f>CHOOSE(UserInterface!$C$22,#REF!,#REF!,#REF!,#REF!,#REF!,Scotland!AW443,Southern!AW443,#REF!)</f>
        <v>0</v>
      </c>
      <c r="AX443" s="23">
        <f>CHOOSE(UserInterface!$C$22,#REF!,#REF!,#REF!,#REF!,#REF!,Scotland!AX443,Southern!AX443,#REF!)</f>
        <v>0</v>
      </c>
      <c r="AY443" s="194">
        <f>CHOOSE(UserInterface!$C$22,#REF!,#REF!,#REF!,#REF!,#REF!,Scotland!AY443,Southern!AY443,#REF!)</f>
        <v>0</v>
      </c>
      <c r="BA443" s="34" t="str">
        <f t="shared" ca="1" si="149"/>
        <v>LicenseeSelect</v>
      </c>
      <c r="BB443" s="34" t="str">
        <f t="shared" si="150"/>
        <v>Fixed Inputs</v>
      </c>
      <c r="BC443" s="34" t="str">
        <f t="shared" si="158"/>
        <v>Variant allowances</v>
      </c>
      <c r="BD443" s="34" t="str">
        <f t="shared" si="152"/>
        <v>Totex variant allowances allocation percentages</v>
      </c>
    </row>
    <row r="444" spans="5:56" x14ac:dyDescent="0.35">
      <c r="E444" s="195" t="str" cm="1">
        <f t="array" ref="E444">INDEX($E$99:$E$202,INT((ROW()-ROW($E$205))/5)+1)</f>
        <v>Spare 4</v>
      </c>
      <c r="F444" s="196"/>
      <c r="G444" s="196" t="s">
        <v>109</v>
      </c>
      <c r="H444" s="196" t="s">
        <v>172</v>
      </c>
      <c r="I444" s="196"/>
      <c r="J444" s="196"/>
      <c r="K444" s="196"/>
      <c r="L444" s="196"/>
      <c r="M444" s="196"/>
      <c r="N444" s="196"/>
      <c r="O444" s="196"/>
      <c r="P444" s="196"/>
      <c r="Q444" s="196"/>
      <c r="R444" s="196"/>
      <c r="S444" s="196"/>
      <c r="T444" s="196"/>
      <c r="U444" s="196"/>
      <c r="V444" s="196"/>
      <c r="W444" s="196"/>
      <c r="X444" s="196"/>
      <c r="Y444" s="196"/>
      <c r="Z444" s="196"/>
      <c r="AA444" s="196"/>
      <c r="AB444" s="196"/>
      <c r="AC444" s="196"/>
      <c r="AD444" s="196"/>
      <c r="AE444" s="196"/>
      <c r="AF444" s="196"/>
      <c r="AG444" s="196"/>
      <c r="AH444" s="196"/>
      <c r="AI444" s="196"/>
      <c r="AJ444" s="196"/>
      <c r="AK444" s="196"/>
      <c r="AL444" s="196"/>
      <c r="AM444" s="196"/>
      <c r="AN444" s="196"/>
      <c r="AO444" s="196"/>
      <c r="AP444" s="196"/>
      <c r="AQ444" s="196"/>
      <c r="AR444" s="196"/>
      <c r="AS444" s="196"/>
      <c r="AT444" s="197"/>
      <c r="AU444" s="198">
        <f>CHOOSE(UserInterface!$C$22,#REF!,#REF!,#REF!,#REF!,#REF!,Scotland!AU444,Southern!AU444,#REF!)</f>
        <v>0</v>
      </c>
      <c r="AV444" s="199">
        <f>CHOOSE(UserInterface!$C$22,#REF!,#REF!,#REF!,#REF!,#REF!,Scotland!AV444,Southern!AV444,#REF!)</f>
        <v>0</v>
      </c>
      <c r="AW444" s="199">
        <f>CHOOSE(UserInterface!$C$22,#REF!,#REF!,#REF!,#REF!,#REF!,Scotland!AW444,Southern!AW444,#REF!)</f>
        <v>0</v>
      </c>
      <c r="AX444" s="199">
        <f>CHOOSE(UserInterface!$C$22,#REF!,#REF!,#REF!,#REF!,#REF!,Scotland!AX444,Southern!AX444,#REF!)</f>
        <v>0</v>
      </c>
      <c r="AY444" s="200">
        <f>CHOOSE(UserInterface!$C$22,#REF!,#REF!,#REF!,#REF!,#REF!,Scotland!AY444,Southern!AY444,#REF!)</f>
        <v>0</v>
      </c>
      <c r="BA444" s="34" t="str">
        <f t="shared" ca="1" si="149"/>
        <v>LicenseeSelect</v>
      </c>
      <c r="BB444" s="34" t="str">
        <f t="shared" si="150"/>
        <v>Fixed Inputs</v>
      </c>
      <c r="BC444" s="34" t="str">
        <f t="shared" si="158"/>
        <v>Variant allowances</v>
      </c>
      <c r="BD444" s="34" t="str">
        <f t="shared" si="152"/>
        <v>Totex variant allowances allocation percentages</v>
      </c>
    </row>
    <row r="445" spans="5:56" x14ac:dyDescent="0.35">
      <c r="E445" s="187" t="str" cm="1">
        <f t="array" ref="E445">INDEX($E$99:$E$202,INT((ROW()-ROW($E$205))/5)+1)</f>
        <v>Spare 5</v>
      </c>
      <c r="F445" s="188"/>
      <c r="G445" s="188" t="s">
        <v>109</v>
      </c>
      <c r="H445" s="188" t="s">
        <v>168</v>
      </c>
      <c r="I445" s="188"/>
      <c r="J445" s="188"/>
      <c r="K445" s="188"/>
      <c r="L445" s="188"/>
      <c r="M445" s="188"/>
      <c r="N445" s="188"/>
      <c r="O445" s="188"/>
      <c r="P445" s="188"/>
      <c r="Q445" s="188"/>
      <c r="R445" s="188"/>
      <c r="S445" s="188"/>
      <c r="T445" s="188"/>
      <c r="U445" s="188"/>
      <c r="V445" s="188"/>
      <c r="W445" s="188"/>
      <c r="X445" s="188"/>
      <c r="Y445" s="188"/>
      <c r="Z445" s="188"/>
      <c r="AA445" s="188"/>
      <c r="AB445" s="188"/>
      <c r="AC445" s="188"/>
      <c r="AD445" s="188"/>
      <c r="AE445" s="188"/>
      <c r="AF445" s="188"/>
      <c r="AG445" s="188"/>
      <c r="AH445" s="188"/>
      <c r="AI445" s="188"/>
      <c r="AJ445" s="188"/>
      <c r="AK445" s="188"/>
      <c r="AL445" s="188"/>
      <c r="AM445" s="188"/>
      <c r="AN445" s="188"/>
      <c r="AO445" s="188"/>
      <c r="AP445" s="188"/>
      <c r="AQ445" s="188"/>
      <c r="AR445" s="188"/>
      <c r="AS445" s="188"/>
      <c r="AT445" s="189"/>
      <c r="AU445" s="190">
        <f>CHOOSE(UserInterface!$C$22,#REF!,#REF!,#REF!,#REF!,#REF!,Scotland!AU445,Southern!AU445,#REF!)</f>
        <v>0</v>
      </c>
      <c r="AV445" s="191">
        <f>CHOOSE(UserInterface!$C$22,#REF!,#REF!,#REF!,#REF!,#REF!,Scotland!AV445,Southern!AV445,#REF!)</f>
        <v>0</v>
      </c>
      <c r="AW445" s="191">
        <f>CHOOSE(UserInterface!$C$22,#REF!,#REF!,#REF!,#REF!,#REF!,Scotland!AW445,Southern!AW445,#REF!)</f>
        <v>0</v>
      </c>
      <c r="AX445" s="191">
        <f>CHOOSE(UserInterface!$C$22,#REF!,#REF!,#REF!,#REF!,#REF!,Scotland!AX445,Southern!AX445,#REF!)</f>
        <v>0</v>
      </c>
      <c r="AY445" s="192">
        <f>CHOOSE(UserInterface!$C$22,#REF!,#REF!,#REF!,#REF!,#REF!,Scotland!AY445,Southern!AY445,#REF!)</f>
        <v>0</v>
      </c>
      <c r="BA445" s="34" t="str">
        <f t="shared" ca="1" si="149"/>
        <v>LicenseeSelect</v>
      </c>
      <c r="BB445" s="34" t="str">
        <f t="shared" si="150"/>
        <v>Fixed Inputs</v>
      </c>
      <c r="BC445" s="34" t="str">
        <f t="shared" si="158"/>
        <v>Variant allowances</v>
      </c>
      <c r="BD445" s="34" t="str">
        <f t="shared" si="152"/>
        <v>Totex variant allowances allocation percentages</v>
      </c>
    </row>
    <row r="446" spans="5:56" x14ac:dyDescent="0.35">
      <c r="E446" s="193" t="str" cm="1">
        <f t="array" ref="E446">INDEX($E$99:$E$202,INT((ROW()-ROW($E$205))/5)+1)</f>
        <v>Spare 5</v>
      </c>
      <c r="G446" s="33" t="s">
        <v>109</v>
      </c>
      <c r="H446" s="33" t="s">
        <v>169</v>
      </c>
      <c r="AT446" s="108"/>
      <c r="AU446" s="140">
        <f>CHOOSE(UserInterface!$C$22,#REF!,#REF!,#REF!,#REF!,#REF!,Scotland!AU446,Southern!AU446,#REF!)</f>
        <v>0</v>
      </c>
      <c r="AV446" s="23">
        <f>CHOOSE(UserInterface!$C$22,#REF!,#REF!,#REF!,#REF!,#REF!,Scotland!AV446,Southern!AV446,#REF!)</f>
        <v>0</v>
      </c>
      <c r="AW446" s="23">
        <f>CHOOSE(UserInterface!$C$22,#REF!,#REF!,#REF!,#REF!,#REF!,Scotland!AW446,Southern!AW446,#REF!)</f>
        <v>0</v>
      </c>
      <c r="AX446" s="23">
        <f>CHOOSE(UserInterface!$C$22,#REF!,#REF!,#REF!,#REF!,#REF!,Scotland!AX446,Southern!AX446,#REF!)</f>
        <v>0</v>
      </c>
      <c r="AY446" s="194">
        <f>CHOOSE(UserInterface!$C$22,#REF!,#REF!,#REF!,#REF!,#REF!,Scotland!AY446,Southern!AY446,#REF!)</f>
        <v>0</v>
      </c>
      <c r="BA446" s="34" t="str">
        <f t="shared" ca="1" si="149"/>
        <v>LicenseeSelect</v>
      </c>
      <c r="BB446" s="34" t="str">
        <f t="shared" si="150"/>
        <v>Fixed Inputs</v>
      </c>
      <c r="BC446" s="34" t="str">
        <f t="shared" si="158"/>
        <v>Variant allowances</v>
      </c>
      <c r="BD446" s="34" t="str">
        <f t="shared" si="152"/>
        <v>Totex variant allowances allocation percentages</v>
      </c>
    </row>
    <row r="447" spans="5:56" x14ac:dyDescent="0.35">
      <c r="E447" s="193" t="str" cm="1">
        <f t="array" ref="E447">INDEX($E$99:$E$202,INT((ROW()-ROW($E$205))/5)+1)</f>
        <v>Spare 5</v>
      </c>
      <c r="G447" s="33" t="s">
        <v>109</v>
      </c>
      <c r="H447" s="33" t="s">
        <v>170</v>
      </c>
      <c r="AT447" s="108"/>
      <c r="AU447" s="140">
        <f>CHOOSE(UserInterface!$C$22,#REF!,#REF!,#REF!,#REF!,#REF!,Scotland!AU447,Southern!AU447,#REF!)</f>
        <v>0</v>
      </c>
      <c r="AV447" s="23">
        <f>CHOOSE(UserInterface!$C$22,#REF!,#REF!,#REF!,#REF!,#REF!,Scotland!AV447,Southern!AV447,#REF!)</f>
        <v>0</v>
      </c>
      <c r="AW447" s="23">
        <f>CHOOSE(UserInterface!$C$22,#REF!,#REF!,#REF!,#REF!,#REF!,Scotland!AW447,Southern!AW447,#REF!)</f>
        <v>0</v>
      </c>
      <c r="AX447" s="23">
        <f>CHOOSE(UserInterface!$C$22,#REF!,#REF!,#REF!,#REF!,#REF!,Scotland!AX447,Southern!AX447,#REF!)</f>
        <v>0</v>
      </c>
      <c r="AY447" s="194">
        <f>CHOOSE(UserInterface!$C$22,#REF!,#REF!,#REF!,#REF!,#REF!,Scotland!AY447,Southern!AY447,#REF!)</f>
        <v>0</v>
      </c>
      <c r="BA447" s="34" t="str">
        <f t="shared" ca="1" si="149"/>
        <v>LicenseeSelect</v>
      </c>
      <c r="BB447" s="34" t="str">
        <f t="shared" si="150"/>
        <v>Fixed Inputs</v>
      </c>
      <c r="BC447" s="34" t="str">
        <f t="shared" si="158"/>
        <v>Variant allowances</v>
      </c>
      <c r="BD447" s="34" t="str">
        <f t="shared" si="152"/>
        <v>Totex variant allowances allocation percentages</v>
      </c>
    </row>
    <row r="448" spans="5:56" x14ac:dyDescent="0.35">
      <c r="E448" s="193" t="str" cm="1">
        <f t="array" ref="E448">INDEX($E$99:$E$202,INT((ROW()-ROW($E$205))/5)+1)</f>
        <v>Spare 5</v>
      </c>
      <c r="G448" s="33" t="s">
        <v>109</v>
      </c>
      <c r="H448" s="33" t="s">
        <v>171</v>
      </c>
      <c r="AT448" s="108"/>
      <c r="AU448" s="140">
        <f>CHOOSE(UserInterface!$C$22,#REF!,#REF!,#REF!,#REF!,#REF!,Scotland!AU448,Southern!AU448,#REF!)</f>
        <v>0</v>
      </c>
      <c r="AV448" s="23">
        <f>CHOOSE(UserInterface!$C$22,#REF!,#REF!,#REF!,#REF!,#REF!,Scotland!AV448,Southern!AV448,#REF!)</f>
        <v>0</v>
      </c>
      <c r="AW448" s="23">
        <f>CHOOSE(UserInterface!$C$22,#REF!,#REF!,#REF!,#REF!,#REF!,Scotland!AW448,Southern!AW448,#REF!)</f>
        <v>0</v>
      </c>
      <c r="AX448" s="23">
        <f>CHOOSE(UserInterface!$C$22,#REF!,#REF!,#REF!,#REF!,#REF!,Scotland!AX448,Southern!AX448,#REF!)</f>
        <v>0</v>
      </c>
      <c r="AY448" s="194">
        <f>CHOOSE(UserInterface!$C$22,#REF!,#REF!,#REF!,#REF!,#REF!,Scotland!AY448,Southern!AY448,#REF!)</f>
        <v>0</v>
      </c>
      <c r="BA448" s="34" t="str">
        <f t="shared" ca="1" si="149"/>
        <v>LicenseeSelect</v>
      </c>
      <c r="BB448" s="34" t="str">
        <f t="shared" si="150"/>
        <v>Fixed Inputs</v>
      </c>
      <c r="BC448" s="34" t="str">
        <f t="shared" si="158"/>
        <v>Variant allowances</v>
      </c>
      <c r="BD448" s="34" t="str">
        <f t="shared" si="152"/>
        <v>Totex variant allowances allocation percentages</v>
      </c>
    </row>
    <row r="449" spans="2:56" x14ac:dyDescent="0.35">
      <c r="E449" s="195" t="str" cm="1">
        <f t="array" ref="E449">INDEX($E$99:$E$202,INT((ROW()-ROW($E$205))/5)+1)</f>
        <v>Spare 5</v>
      </c>
      <c r="F449" s="196"/>
      <c r="G449" s="196" t="s">
        <v>109</v>
      </c>
      <c r="H449" s="196" t="s">
        <v>172</v>
      </c>
      <c r="I449" s="196"/>
      <c r="J449" s="196"/>
      <c r="K449" s="196"/>
      <c r="L449" s="196"/>
      <c r="M449" s="196"/>
      <c r="N449" s="196"/>
      <c r="O449" s="196"/>
      <c r="P449" s="196"/>
      <c r="Q449" s="196"/>
      <c r="R449" s="196"/>
      <c r="S449" s="196"/>
      <c r="T449" s="196"/>
      <c r="U449" s="196"/>
      <c r="V449" s="196"/>
      <c r="W449" s="196"/>
      <c r="X449" s="196"/>
      <c r="Y449" s="196"/>
      <c r="Z449" s="196"/>
      <c r="AA449" s="196"/>
      <c r="AB449" s="196"/>
      <c r="AC449" s="196"/>
      <c r="AD449" s="196"/>
      <c r="AE449" s="196"/>
      <c r="AF449" s="196"/>
      <c r="AG449" s="196"/>
      <c r="AH449" s="196"/>
      <c r="AI449" s="196"/>
      <c r="AJ449" s="196"/>
      <c r="AK449" s="196"/>
      <c r="AL449" s="196"/>
      <c r="AM449" s="196"/>
      <c r="AN449" s="196"/>
      <c r="AO449" s="196"/>
      <c r="AP449" s="196"/>
      <c r="AQ449" s="196"/>
      <c r="AR449" s="196"/>
      <c r="AS449" s="196"/>
      <c r="AT449" s="197"/>
      <c r="AU449" s="198">
        <f>CHOOSE(UserInterface!$C$22,#REF!,#REF!,#REF!,#REF!,#REF!,Scotland!AU449,Southern!AU449,#REF!)</f>
        <v>0</v>
      </c>
      <c r="AV449" s="199">
        <f>CHOOSE(UserInterface!$C$22,#REF!,#REF!,#REF!,#REF!,#REF!,Scotland!AV449,Southern!AV449,#REF!)</f>
        <v>0</v>
      </c>
      <c r="AW449" s="199">
        <f>CHOOSE(UserInterface!$C$22,#REF!,#REF!,#REF!,#REF!,#REF!,Scotland!AW449,Southern!AW449,#REF!)</f>
        <v>0</v>
      </c>
      <c r="AX449" s="199">
        <f>CHOOSE(UserInterface!$C$22,#REF!,#REF!,#REF!,#REF!,#REF!,Scotland!AX449,Southern!AX449,#REF!)</f>
        <v>0</v>
      </c>
      <c r="AY449" s="200">
        <f>CHOOSE(UserInterface!$C$22,#REF!,#REF!,#REF!,#REF!,#REF!,Scotland!AY449,Southern!AY449,#REF!)</f>
        <v>0</v>
      </c>
      <c r="BA449" s="34" t="str">
        <f t="shared" ca="1" si="149"/>
        <v>LicenseeSelect</v>
      </c>
      <c r="BB449" s="34" t="str">
        <f t="shared" si="150"/>
        <v>Fixed Inputs</v>
      </c>
      <c r="BC449" s="34" t="str">
        <f t="shared" si="158"/>
        <v>Variant allowances</v>
      </c>
      <c r="BD449" s="34" t="str">
        <f t="shared" si="152"/>
        <v>Totex variant allowances allocation percentages</v>
      </c>
    </row>
    <row r="450" spans="2:56" x14ac:dyDescent="0.35">
      <c r="E450" s="187" t="str" cm="1">
        <f t="array" ref="E450">INDEX($E$99:$E$202,INT((ROW()-ROW($E$205))/5)+1)</f>
        <v>Spare 6</v>
      </c>
      <c r="F450" s="188"/>
      <c r="G450" s="188" t="s">
        <v>109</v>
      </c>
      <c r="H450" s="188" t="s">
        <v>168</v>
      </c>
      <c r="I450" s="188"/>
      <c r="J450" s="188"/>
      <c r="K450" s="188"/>
      <c r="L450" s="188"/>
      <c r="M450" s="188"/>
      <c r="N450" s="188"/>
      <c r="O450" s="188"/>
      <c r="P450" s="188"/>
      <c r="Q450" s="188"/>
      <c r="R450" s="188"/>
      <c r="S450" s="188"/>
      <c r="T450" s="188"/>
      <c r="U450" s="188"/>
      <c r="V450" s="188"/>
      <c r="W450" s="188"/>
      <c r="X450" s="188"/>
      <c r="Y450" s="188"/>
      <c r="Z450" s="188"/>
      <c r="AA450" s="188"/>
      <c r="AB450" s="188"/>
      <c r="AC450" s="188"/>
      <c r="AD450" s="188"/>
      <c r="AE450" s="188"/>
      <c r="AF450" s="188"/>
      <c r="AG450" s="188"/>
      <c r="AH450" s="188"/>
      <c r="AI450" s="188"/>
      <c r="AJ450" s="188"/>
      <c r="AK450" s="188"/>
      <c r="AL450" s="188"/>
      <c r="AM450" s="188"/>
      <c r="AN450" s="188"/>
      <c r="AO450" s="188"/>
      <c r="AP450" s="188"/>
      <c r="AQ450" s="188"/>
      <c r="AR450" s="188"/>
      <c r="AS450" s="188"/>
      <c r="AT450" s="189"/>
      <c r="AU450" s="190">
        <f>CHOOSE(UserInterface!$C$22,#REF!,#REF!,#REF!,#REF!,#REF!,Scotland!AU450,Southern!AU450,#REF!)</f>
        <v>0</v>
      </c>
      <c r="AV450" s="191">
        <f>CHOOSE(UserInterface!$C$22,#REF!,#REF!,#REF!,#REF!,#REF!,Scotland!AV450,Southern!AV450,#REF!)</f>
        <v>0</v>
      </c>
      <c r="AW450" s="191">
        <f>CHOOSE(UserInterface!$C$22,#REF!,#REF!,#REF!,#REF!,#REF!,Scotland!AW450,Southern!AW450,#REF!)</f>
        <v>0</v>
      </c>
      <c r="AX450" s="191">
        <f>CHOOSE(UserInterface!$C$22,#REF!,#REF!,#REF!,#REF!,#REF!,Scotland!AX450,Southern!AX450,#REF!)</f>
        <v>0</v>
      </c>
      <c r="AY450" s="192">
        <f>CHOOSE(UserInterface!$C$22,#REF!,#REF!,#REF!,#REF!,#REF!,Scotland!AY450,Southern!AY450,#REF!)</f>
        <v>0</v>
      </c>
      <c r="BA450" s="34" t="str">
        <f t="shared" ca="1" si="149"/>
        <v>LicenseeSelect</v>
      </c>
      <c r="BB450" s="34" t="str">
        <f t="shared" si="150"/>
        <v>Fixed Inputs</v>
      </c>
      <c r="BC450" s="34" t="str">
        <f t="shared" si="158"/>
        <v>Variant allowances</v>
      </c>
      <c r="BD450" s="34" t="str">
        <f t="shared" si="152"/>
        <v>Totex variant allowances allocation percentages</v>
      </c>
    </row>
    <row r="451" spans="2:56" x14ac:dyDescent="0.35">
      <c r="E451" s="193" t="str" cm="1">
        <f t="array" ref="E451">INDEX($E$99:$E$202,INT((ROW()-ROW($E$205))/5)+1)</f>
        <v>Spare 6</v>
      </c>
      <c r="G451" s="33" t="s">
        <v>109</v>
      </c>
      <c r="H451" s="33" t="s">
        <v>169</v>
      </c>
      <c r="AT451" s="108"/>
      <c r="AU451" s="140">
        <f>CHOOSE(UserInterface!$C$22,#REF!,#REF!,#REF!,#REF!,#REF!,Scotland!AU451,Southern!AU451,#REF!)</f>
        <v>0</v>
      </c>
      <c r="AV451" s="23">
        <f>CHOOSE(UserInterface!$C$22,#REF!,#REF!,#REF!,#REF!,#REF!,Scotland!AV451,Southern!AV451,#REF!)</f>
        <v>0</v>
      </c>
      <c r="AW451" s="23">
        <f>CHOOSE(UserInterface!$C$22,#REF!,#REF!,#REF!,#REF!,#REF!,Scotland!AW451,Southern!AW451,#REF!)</f>
        <v>0</v>
      </c>
      <c r="AX451" s="23">
        <f>CHOOSE(UserInterface!$C$22,#REF!,#REF!,#REF!,#REF!,#REF!,Scotland!AX451,Southern!AX451,#REF!)</f>
        <v>0</v>
      </c>
      <c r="AY451" s="194">
        <f>CHOOSE(UserInterface!$C$22,#REF!,#REF!,#REF!,#REF!,#REF!,Scotland!AY451,Southern!AY451,#REF!)</f>
        <v>0</v>
      </c>
      <c r="BA451" s="34" t="str">
        <f t="shared" ca="1" si="149"/>
        <v>LicenseeSelect</v>
      </c>
      <c r="BB451" s="34" t="str">
        <f t="shared" si="150"/>
        <v>Fixed Inputs</v>
      </c>
      <c r="BC451" s="34" t="str">
        <f t="shared" si="158"/>
        <v>Variant allowances</v>
      </c>
      <c r="BD451" s="34" t="str">
        <f t="shared" si="152"/>
        <v>Totex variant allowances allocation percentages</v>
      </c>
    </row>
    <row r="452" spans="2:56" x14ac:dyDescent="0.35">
      <c r="E452" s="193" t="str" cm="1">
        <f t="array" ref="E452">INDEX($E$99:$E$202,INT((ROW()-ROW($E$205))/5)+1)</f>
        <v>Spare 6</v>
      </c>
      <c r="G452" s="33" t="s">
        <v>109</v>
      </c>
      <c r="H452" s="33" t="s">
        <v>170</v>
      </c>
      <c r="AT452" s="108"/>
      <c r="AU452" s="140">
        <f>CHOOSE(UserInterface!$C$22,#REF!,#REF!,#REF!,#REF!,#REF!,Scotland!AU452,Southern!AU452,#REF!)</f>
        <v>0</v>
      </c>
      <c r="AV452" s="23">
        <f>CHOOSE(UserInterface!$C$22,#REF!,#REF!,#REF!,#REF!,#REF!,Scotland!AV452,Southern!AV452,#REF!)</f>
        <v>0</v>
      </c>
      <c r="AW452" s="23">
        <f>CHOOSE(UserInterface!$C$22,#REF!,#REF!,#REF!,#REF!,#REF!,Scotland!AW452,Southern!AW452,#REF!)</f>
        <v>0</v>
      </c>
      <c r="AX452" s="23">
        <f>CHOOSE(UserInterface!$C$22,#REF!,#REF!,#REF!,#REF!,#REF!,Scotland!AX452,Southern!AX452,#REF!)</f>
        <v>0</v>
      </c>
      <c r="AY452" s="194">
        <f>CHOOSE(UserInterface!$C$22,#REF!,#REF!,#REF!,#REF!,#REF!,Scotland!AY452,Southern!AY452,#REF!)</f>
        <v>0</v>
      </c>
      <c r="BA452" s="34" t="str">
        <f t="shared" ca="1" si="149"/>
        <v>LicenseeSelect</v>
      </c>
      <c r="BB452" s="34" t="str">
        <f t="shared" si="150"/>
        <v>Fixed Inputs</v>
      </c>
      <c r="BC452" s="34" t="str">
        <f t="shared" si="158"/>
        <v>Variant allowances</v>
      </c>
      <c r="BD452" s="34" t="str">
        <f t="shared" si="152"/>
        <v>Totex variant allowances allocation percentages</v>
      </c>
    </row>
    <row r="453" spans="2:56" x14ac:dyDescent="0.35">
      <c r="E453" s="193" t="str" cm="1">
        <f t="array" ref="E453">INDEX($E$99:$E$202,INT((ROW()-ROW($E$205))/5)+1)</f>
        <v>Spare 6</v>
      </c>
      <c r="G453" s="33" t="s">
        <v>109</v>
      </c>
      <c r="H453" s="33" t="s">
        <v>171</v>
      </c>
      <c r="AT453" s="108"/>
      <c r="AU453" s="140">
        <f>CHOOSE(UserInterface!$C$22,#REF!,#REF!,#REF!,#REF!,#REF!,Scotland!AU453,Southern!AU453,#REF!)</f>
        <v>0</v>
      </c>
      <c r="AV453" s="23">
        <f>CHOOSE(UserInterface!$C$22,#REF!,#REF!,#REF!,#REF!,#REF!,Scotland!AV453,Southern!AV453,#REF!)</f>
        <v>0</v>
      </c>
      <c r="AW453" s="23">
        <f>CHOOSE(UserInterface!$C$22,#REF!,#REF!,#REF!,#REF!,#REF!,Scotland!AW453,Southern!AW453,#REF!)</f>
        <v>0</v>
      </c>
      <c r="AX453" s="23">
        <f>CHOOSE(UserInterface!$C$22,#REF!,#REF!,#REF!,#REF!,#REF!,Scotland!AX453,Southern!AX453,#REF!)</f>
        <v>0</v>
      </c>
      <c r="AY453" s="194">
        <f>CHOOSE(UserInterface!$C$22,#REF!,#REF!,#REF!,#REF!,#REF!,Scotland!AY453,Southern!AY453,#REF!)</f>
        <v>0</v>
      </c>
      <c r="BA453" s="34" t="str">
        <f t="shared" ca="1" si="149"/>
        <v>LicenseeSelect</v>
      </c>
      <c r="BB453" s="34" t="str">
        <f t="shared" si="150"/>
        <v>Fixed Inputs</v>
      </c>
      <c r="BC453" s="34" t="str">
        <f t="shared" si="158"/>
        <v>Variant allowances</v>
      </c>
      <c r="BD453" s="34" t="str">
        <f t="shared" si="152"/>
        <v>Totex variant allowances allocation percentages</v>
      </c>
    </row>
    <row r="454" spans="2:56" x14ac:dyDescent="0.35">
      <c r="E454" s="195" t="str" cm="1">
        <f t="array" ref="E454">INDEX($E$99:$E$202,INT((ROW()-ROW($E$205))/5)+1)</f>
        <v>Spare 6</v>
      </c>
      <c r="F454" s="196"/>
      <c r="G454" s="196" t="s">
        <v>109</v>
      </c>
      <c r="H454" s="196" t="s">
        <v>172</v>
      </c>
      <c r="I454" s="196"/>
      <c r="J454" s="196"/>
      <c r="K454" s="196"/>
      <c r="L454" s="196"/>
      <c r="M454" s="196"/>
      <c r="N454" s="196"/>
      <c r="O454" s="196"/>
      <c r="P454" s="196"/>
      <c r="Q454" s="196"/>
      <c r="R454" s="196"/>
      <c r="S454" s="196"/>
      <c r="T454" s="196"/>
      <c r="U454" s="196"/>
      <c r="V454" s="196"/>
      <c r="W454" s="196"/>
      <c r="X454" s="196"/>
      <c r="Y454" s="196"/>
      <c r="Z454" s="196"/>
      <c r="AA454" s="196"/>
      <c r="AB454" s="196"/>
      <c r="AC454" s="196"/>
      <c r="AD454" s="196"/>
      <c r="AE454" s="196"/>
      <c r="AF454" s="196"/>
      <c r="AG454" s="196"/>
      <c r="AH454" s="196"/>
      <c r="AI454" s="196"/>
      <c r="AJ454" s="196"/>
      <c r="AK454" s="196"/>
      <c r="AL454" s="196"/>
      <c r="AM454" s="196"/>
      <c r="AN454" s="196"/>
      <c r="AO454" s="196"/>
      <c r="AP454" s="196"/>
      <c r="AQ454" s="196"/>
      <c r="AR454" s="196"/>
      <c r="AS454" s="196"/>
      <c r="AT454" s="197"/>
      <c r="AU454" s="198">
        <f>CHOOSE(UserInterface!$C$22,#REF!,#REF!,#REF!,#REF!,#REF!,Scotland!AU454,Southern!AU454,#REF!)</f>
        <v>0</v>
      </c>
      <c r="AV454" s="199">
        <f>CHOOSE(UserInterface!$C$22,#REF!,#REF!,#REF!,#REF!,#REF!,Scotland!AV454,Southern!AV454,#REF!)</f>
        <v>0</v>
      </c>
      <c r="AW454" s="199">
        <f>CHOOSE(UserInterface!$C$22,#REF!,#REF!,#REF!,#REF!,#REF!,Scotland!AW454,Southern!AW454,#REF!)</f>
        <v>0</v>
      </c>
      <c r="AX454" s="199">
        <f>CHOOSE(UserInterface!$C$22,#REF!,#REF!,#REF!,#REF!,#REF!,Scotland!AX454,Southern!AX454,#REF!)</f>
        <v>0</v>
      </c>
      <c r="AY454" s="200">
        <f>CHOOSE(UserInterface!$C$22,#REF!,#REF!,#REF!,#REF!,#REF!,Scotland!AY454,Southern!AY454,#REF!)</f>
        <v>0</v>
      </c>
      <c r="BA454" s="34" t="str">
        <f t="shared" ca="1" si="149"/>
        <v>LicenseeSelect</v>
      </c>
      <c r="BB454" s="34" t="str">
        <f t="shared" si="150"/>
        <v>Fixed Inputs</v>
      </c>
      <c r="BC454" s="34" t="str">
        <f t="shared" si="158"/>
        <v>Variant allowances</v>
      </c>
      <c r="BD454" s="34" t="str">
        <f t="shared" si="152"/>
        <v>Totex variant allowances allocation percentages</v>
      </c>
    </row>
    <row r="455" spans="2:56" x14ac:dyDescent="0.35">
      <c r="AU455"/>
      <c r="AV455"/>
      <c r="AW455"/>
      <c r="AX455"/>
      <c r="AY455"/>
    </row>
    <row r="456" spans="2:56" ht="17.5" thickBot="1" x14ac:dyDescent="0.4">
      <c r="B456" s="8" t="s">
        <v>174</v>
      </c>
    </row>
    <row r="457" spans="2:56" ht="17" thickTop="1" thickBot="1" x14ac:dyDescent="0.4">
      <c r="C457" s="9" t="s">
        <v>175</v>
      </c>
    </row>
    <row r="458" spans="2:56" x14ac:dyDescent="0.35">
      <c r="E458" s="33" t="s">
        <v>176</v>
      </c>
      <c r="G458" s="33" t="str">
        <f>price_label</f>
        <v>£m 23/24 prices</v>
      </c>
      <c r="AU458" s="139">
        <f>CHOOSE(UserInterface!$C$22,#REF!,#REF!,#REF!,#REF!,#REF!,Scotland!AU458,Southern!AU458,#REF!)</f>
        <v>3.5402390683891056</v>
      </c>
      <c r="AV458" s="22">
        <f>CHOOSE(UserInterface!$C$22,#REF!,#REF!,#REF!,#REF!,#REF!,Scotland!AV458,Southern!AV458,#REF!)</f>
        <v>3.0501931150341823</v>
      </c>
      <c r="AW458" s="22">
        <f>CHOOSE(UserInterface!$C$22,#REF!,#REF!,#REF!,#REF!,#REF!,Scotland!AW458,Southern!AW458,#REF!)</f>
        <v>2.5895698466230046</v>
      </c>
      <c r="AX458" s="22">
        <f>CHOOSE(UserInterface!$C$22,#REF!,#REF!,#REF!,#REF!,#REF!,Scotland!AX458,Southern!AX458,#REF!)</f>
        <v>2.5871066352145871</v>
      </c>
      <c r="AY458" s="22">
        <f>CHOOSE(UserInterface!$C$22,#REF!,#REF!,#REF!,#REF!,#REF!,Scotland!AY458,Southern!AY458,#REF!)</f>
        <v>2.6839984496996454</v>
      </c>
      <c r="BA458" s="34" t="str">
        <f t="shared" ref="BA458:BA462" ca="1" si="159">$A$1</f>
        <v>LicenseeSelect</v>
      </c>
      <c r="BB458" s="34" t="str">
        <f t="shared" ref="BB458:BB462" si="160">$A$150</f>
        <v>Fixed Inputs</v>
      </c>
      <c r="BC458" s="34" t="str">
        <f>$B$456</f>
        <v>Totex allowance</v>
      </c>
      <c r="BD458" s="34" t="str">
        <f>$C$457</f>
        <v>Non-variant allowances</v>
      </c>
    </row>
    <row r="459" spans="2:56" x14ac:dyDescent="0.35">
      <c r="E459" s="33" t="s">
        <v>177</v>
      </c>
      <c r="G459" s="33" t="str">
        <f>price_label</f>
        <v>£m 23/24 prices</v>
      </c>
      <c r="AU459" s="139">
        <f>CHOOSE(UserInterface!$C$22,#REF!,#REF!,#REF!,#REF!,#REF!,Scotland!AU459,Southern!AU459,#REF!)</f>
        <v>36.722051194398162</v>
      </c>
      <c r="AV459" s="22">
        <f>CHOOSE(UserInterface!$C$22,#REF!,#REF!,#REF!,#REF!,#REF!,Scotland!AV459,Southern!AV459,#REF!)</f>
        <v>39.871822655688462</v>
      </c>
      <c r="AW459" s="22">
        <f>CHOOSE(UserInterface!$C$22,#REF!,#REF!,#REF!,#REF!,#REF!,Scotland!AW459,Southern!AW459,#REF!)</f>
        <v>39.267847096578222</v>
      </c>
      <c r="AX459" s="22">
        <f>CHOOSE(UserInterface!$C$22,#REF!,#REF!,#REF!,#REF!,#REF!,Scotland!AX459,Southern!AX459,#REF!)</f>
        <v>30.038708454622835</v>
      </c>
      <c r="AY459" s="22">
        <f>CHOOSE(UserInterface!$C$22,#REF!,#REF!,#REF!,#REF!,#REF!,Scotland!AY459,Southern!AY459,#REF!)</f>
        <v>25.188320891193055</v>
      </c>
      <c r="BA459" s="34" t="str">
        <f t="shared" ca="1" si="159"/>
        <v>LicenseeSelect</v>
      </c>
      <c r="BB459" s="34" t="str">
        <f t="shared" si="160"/>
        <v>Fixed Inputs</v>
      </c>
      <c r="BC459" s="34" t="str">
        <f t="shared" ref="BC459:BC462" si="161">$B$456</f>
        <v>Totex allowance</v>
      </c>
      <c r="BD459" s="34" t="str">
        <f t="shared" ref="BD459:BD462" si="162">$C$457</f>
        <v>Non-variant allowances</v>
      </c>
    </row>
    <row r="460" spans="2:56" x14ac:dyDescent="0.35">
      <c r="E460" s="33" t="s">
        <v>178</v>
      </c>
      <c r="G460" s="33" t="str">
        <f>price_label</f>
        <v>£m 23/24 prices</v>
      </c>
      <c r="AU460" s="139">
        <f>CHOOSE(UserInterface!$C$22,#REF!,#REF!,#REF!,#REF!,#REF!,Scotland!AU460,Southern!AU460,#REF!)</f>
        <v>13.777629902832262</v>
      </c>
      <c r="AV460" s="22">
        <f>CHOOSE(UserInterface!$C$22,#REF!,#REF!,#REF!,#REF!,#REF!,Scotland!AV460,Southern!AV460,#REF!)</f>
        <v>13.61145589245713</v>
      </c>
      <c r="AW460" s="22">
        <f>CHOOSE(UserInterface!$C$22,#REF!,#REF!,#REF!,#REF!,#REF!,Scotland!AW460,Southern!AW460,#REF!)</f>
        <v>14.142057363017287</v>
      </c>
      <c r="AX460" s="22">
        <f>CHOOSE(UserInterface!$C$22,#REF!,#REF!,#REF!,#REF!,#REF!,Scotland!AX460,Southern!AX460,#REF!)</f>
        <v>15.20684071411436</v>
      </c>
      <c r="AY460" s="22">
        <f>CHOOSE(UserInterface!$C$22,#REF!,#REF!,#REF!,#REF!,#REF!,Scotland!AY460,Southern!AY460,#REF!)</f>
        <v>13.011966642298292</v>
      </c>
      <c r="BA460" s="34" t="str">
        <f t="shared" ca="1" si="159"/>
        <v>LicenseeSelect</v>
      </c>
      <c r="BB460" s="34" t="str">
        <f t="shared" si="160"/>
        <v>Fixed Inputs</v>
      </c>
      <c r="BC460" s="34" t="str">
        <f t="shared" si="161"/>
        <v>Totex allowance</v>
      </c>
      <c r="BD460" s="34" t="str">
        <f t="shared" si="162"/>
        <v>Non-variant allowances</v>
      </c>
    </row>
    <row r="461" spans="2:56" x14ac:dyDescent="0.35">
      <c r="E461" s="33" t="s">
        <v>179</v>
      </c>
      <c r="G461" s="33" t="str">
        <f>price_label</f>
        <v>£m 23/24 prices</v>
      </c>
      <c r="AU461" s="139">
        <f>CHOOSE(UserInterface!$C$22,#REF!,#REF!,#REF!,#REF!,#REF!,Scotland!AU461,Southern!AU461,#REF!)</f>
        <v>86.277023320972546</v>
      </c>
      <c r="AV461" s="22">
        <f>CHOOSE(UserInterface!$C$22,#REF!,#REF!,#REF!,#REF!,#REF!,Scotland!AV461,Southern!AV461,#REF!)</f>
        <v>86.758188369471014</v>
      </c>
      <c r="AW461" s="22">
        <f>CHOOSE(UserInterface!$C$22,#REF!,#REF!,#REF!,#REF!,#REF!,Scotland!AW461,Southern!AW461,#REF!)</f>
        <v>86.427928116231257</v>
      </c>
      <c r="AX461" s="22">
        <f>CHOOSE(UserInterface!$C$22,#REF!,#REF!,#REF!,#REF!,#REF!,Scotland!AX461,Southern!AX461,#REF!)</f>
        <v>85.410347364856705</v>
      </c>
      <c r="AY461" s="22">
        <f>CHOOSE(UserInterface!$C$22,#REF!,#REF!,#REF!,#REF!,#REF!,Scotland!AY461,Southern!AY461,#REF!)</f>
        <v>84.505706887154588</v>
      </c>
      <c r="BA461" s="34" t="str">
        <f t="shared" ca="1" si="159"/>
        <v>LicenseeSelect</v>
      </c>
      <c r="BB461" s="34" t="str">
        <f t="shared" si="160"/>
        <v>Fixed Inputs</v>
      </c>
      <c r="BC461" s="34" t="str">
        <f t="shared" si="161"/>
        <v>Totex allowance</v>
      </c>
      <c r="BD461" s="34" t="str">
        <f t="shared" si="162"/>
        <v>Non-variant allowances</v>
      </c>
    </row>
    <row r="462" spans="2:56" x14ac:dyDescent="0.35">
      <c r="E462" s="33" t="s">
        <v>180</v>
      </c>
      <c r="G462" s="33" t="str">
        <f>price_label</f>
        <v>£m 23/24 prices</v>
      </c>
      <c r="AU462" s="139">
        <f>CHOOSE(UserInterface!$C$22,#REF!,#REF!,#REF!,#REF!,#REF!,Scotland!AU462,Southern!AU462,#REF!)</f>
        <v>1.6905313381244582</v>
      </c>
      <c r="AV462" s="22">
        <f>CHOOSE(UserInterface!$C$22,#REF!,#REF!,#REF!,#REF!,#REF!,Scotland!AV462,Southern!AV462,#REF!)</f>
        <v>2.1547820980217836</v>
      </c>
      <c r="AW462" s="22">
        <f>CHOOSE(UserInterface!$C$22,#REF!,#REF!,#REF!,#REF!,#REF!,Scotland!AW462,Southern!AW462,#REF!)</f>
        <v>2.0752876571834236</v>
      </c>
      <c r="AX462" s="22">
        <f>CHOOSE(UserInterface!$C$22,#REF!,#REF!,#REF!,#REF!,#REF!,Scotland!AX462,Southern!AX462,#REF!)</f>
        <v>2.0346926700608918</v>
      </c>
      <c r="AY462" s="22">
        <f>CHOOSE(UserInterface!$C$22,#REF!,#REF!,#REF!,#REF!,#REF!,Scotland!AY462,Southern!AY462,#REF!)</f>
        <v>2.0142145553303692</v>
      </c>
      <c r="BA462" s="34" t="str">
        <f t="shared" ca="1" si="159"/>
        <v>LicenseeSelect</v>
      </c>
      <c r="BB462" s="34" t="str">
        <f t="shared" si="160"/>
        <v>Fixed Inputs</v>
      </c>
      <c r="BC462" s="34" t="str">
        <f t="shared" si="161"/>
        <v>Totex allowance</v>
      </c>
      <c r="BD462" s="34" t="str">
        <f t="shared" si="162"/>
        <v>Non-variant allowances</v>
      </c>
    </row>
    <row r="463" spans="2:56" x14ac:dyDescent="0.35"/>
    <row r="464" spans="2:56" ht="17.5" thickBot="1" x14ac:dyDescent="0.4">
      <c r="B464" s="8" t="s">
        <v>49</v>
      </c>
    </row>
    <row r="465" spans="2:56" ht="16.5" thickTop="1" x14ac:dyDescent="0.35">
      <c r="E465" s="33" t="s">
        <v>409</v>
      </c>
      <c r="G465" s="33" t="str">
        <f>price_label</f>
        <v>£m 23/24 prices</v>
      </c>
      <c r="H465" s="33" t="s">
        <v>181</v>
      </c>
      <c r="AU465" s="139">
        <f>CHOOSE(UserInterface!$C$22,#REF!,#REF!,#REF!,#REF!,#REF!,Scotland!AU465,Southern!AU465,#REF!)</f>
        <v>-0.8</v>
      </c>
      <c r="AV465" s="22">
        <f>CHOOSE(UserInterface!$C$22,#REF!,#REF!,#REF!,#REF!,#REF!,Scotland!AV465,Southern!AV465,#REF!)</f>
        <v>-0.80500000000000005</v>
      </c>
      <c r="AW465" s="22">
        <f>CHOOSE(UserInterface!$C$22,#REF!,#REF!,#REF!,#REF!,#REF!,Scotland!AW465,Southern!AW465,#REF!)</f>
        <v>-0.80700000000000005</v>
      </c>
      <c r="AX465" s="22">
        <f>CHOOSE(UserInterface!$C$22,#REF!,#REF!,#REF!,#REF!,#REF!,Scotland!AX465,Southern!AX465,#REF!)</f>
        <v>-0.80400000000000005</v>
      </c>
      <c r="AY465" s="22">
        <f>CHOOSE(UserInterface!$C$22,#REF!,#REF!,#REF!,#REF!,#REF!,Scotland!AY465,Southern!AY465,#REF!)</f>
        <v>-0.79700000000000004</v>
      </c>
      <c r="BA465" s="34" t="str">
        <f t="shared" ref="BA465" ca="1" si="163">$A$1</f>
        <v>LicenseeSelect</v>
      </c>
      <c r="BB465" s="34" t="str">
        <f>$A$150</f>
        <v>Fixed Inputs</v>
      </c>
      <c r="BC465" s="34" t="str">
        <f>$B$464</f>
        <v>Incentive revenue</v>
      </c>
    </row>
    <row r="466" spans="2:56" x14ac:dyDescent="0.35"/>
    <row r="467" spans="2:56" ht="17.5" thickBot="1" x14ac:dyDescent="0.4">
      <c r="B467" s="8" t="s">
        <v>843</v>
      </c>
    </row>
    <row r="468" spans="2:56" ht="16.5" thickTop="1" x14ac:dyDescent="0.35">
      <c r="E468" s="33" t="s">
        <v>183</v>
      </c>
      <c r="G468" s="33" t="str">
        <f>price_label</f>
        <v>£m 23/24 prices</v>
      </c>
      <c r="AU468" s="139">
        <f>CHOOSE(UserInterface!$C$22,#REF!,#REF!,#REF!,#REF!,#REF!,Scotland!AU468,Southern!AU468,#REF!)</f>
        <v>1.5073476235385441</v>
      </c>
      <c r="AV468" s="22">
        <f>CHOOSE(UserInterface!$C$22,#REF!,#REF!,#REF!,#REF!,#REF!,Scotland!AV468,Southern!AV468,#REF!)</f>
        <v>1.5777854665626652</v>
      </c>
      <c r="AW468" s="22">
        <f>CHOOSE(UserInterface!$C$22,#REF!,#REF!,#REF!,#REF!,#REF!,Scotland!AW468,Southern!AW468,#REF!)</f>
        <v>1.6130806242112121</v>
      </c>
      <c r="AX468" s="22">
        <f>CHOOSE(UserInterface!$C$22,#REF!,#REF!,#REF!,#REF!,#REF!,Scotland!AX468,Southern!AX468,#REF!)</f>
        <v>1.6124484596230519</v>
      </c>
      <c r="AY468" s="22">
        <f>CHOOSE(UserInterface!$C$22,#REF!,#REF!,#REF!,#REF!,#REF!,Scotland!AY468,Southern!AY468,#REF!)</f>
        <v>1.6130229169488854</v>
      </c>
      <c r="BA468" s="34" t="str">
        <f t="shared" ref="BA468:BA553" ca="1" si="164">$A$1</f>
        <v>LicenseeSelect</v>
      </c>
      <c r="BB468" s="34" t="str">
        <f>$A$150</f>
        <v>Fixed Inputs</v>
      </c>
      <c r="BC468" s="34" t="str">
        <f>$B$467</f>
        <v>Tax trigger</v>
      </c>
    </row>
    <row r="469" spans="2:56" customFormat="1" ht="14.5" x14ac:dyDescent="0.35">
      <c r="AT469" s="61"/>
    </row>
    <row r="470" spans="2:56" ht="17.5" thickBot="1" x14ac:dyDescent="0.4">
      <c r="B470" s="8" t="s">
        <v>187</v>
      </c>
    </row>
    <row r="471" spans="2:56" ht="17" thickTop="1" thickBot="1" x14ac:dyDescent="0.4">
      <c r="C471" s="9" t="s">
        <v>188</v>
      </c>
    </row>
    <row r="472" spans="2:56" x14ac:dyDescent="0.35">
      <c r="E472" s="33" t="s">
        <v>412</v>
      </c>
      <c r="G472" s="33" t="str">
        <f>price_label</f>
        <v>£m 23/24 prices</v>
      </c>
      <c r="J472" s="33" t="s">
        <v>13</v>
      </c>
      <c r="AH472" s="22">
        <f>CHOOSE(UserInterface!$C$22,#REF!,#REF!,#REF!,#REF!,#REF!,Scotland!AH472,Southern!AH472,#REF!)</f>
        <v>1398.6437346002203</v>
      </c>
      <c r="BA472" s="34" t="str">
        <f t="shared" ref="BA472:BA478" ca="1" si="165">$A$1</f>
        <v>LicenseeSelect</v>
      </c>
      <c r="BB472" s="34" t="str">
        <f t="shared" ref="BB472:BB478" si="166">$A$150</f>
        <v>Fixed Inputs</v>
      </c>
      <c r="BC472" s="34" t="str">
        <f>$B$470</f>
        <v>RAV and assets</v>
      </c>
      <c r="BD472" s="34" t="str">
        <f>$C$471</f>
        <v>Pre-vesting assets</v>
      </c>
    </row>
    <row r="473" spans="2:56" x14ac:dyDescent="0.35">
      <c r="E473" s="33" t="s">
        <v>189</v>
      </c>
      <c r="G473" s="33" t="s">
        <v>190</v>
      </c>
      <c r="I473" s="24">
        <f>CHOOSE(UserInterface!$C$22,#REF!,#REF!,#REF!,#REF!,#REF!,Scotland!I473,Southern!I473,#REF!)</f>
        <v>56</v>
      </c>
      <c r="BA473" s="34" t="str">
        <f t="shared" ca="1" si="165"/>
        <v>LicenseeSelect</v>
      </c>
      <c r="BB473" s="34" t="str">
        <f t="shared" si="166"/>
        <v>Fixed Inputs</v>
      </c>
      <c r="BC473" s="34" t="str">
        <f t="shared" ref="BC473:BC478" si="167">$B$470</f>
        <v>RAV and assets</v>
      </c>
      <c r="BD473" s="34" t="str">
        <f t="shared" ref="BD473:BD478" si="168">$C$471</f>
        <v>Pre-vesting assets</v>
      </c>
    </row>
    <row r="474" spans="2:56" x14ac:dyDescent="0.35">
      <c r="E474" s="33" t="s">
        <v>191</v>
      </c>
      <c r="G474" s="33" t="str">
        <f>price_label</f>
        <v>£m 23/24 prices</v>
      </c>
      <c r="J474" s="33" t="s">
        <v>13</v>
      </c>
      <c r="AH474" s="22">
        <f>CHOOSE(UserInterface!$C$22,#REF!,#REF!,#REF!,#REF!,#REF!,Scotland!AH474,Southern!AH474,#REF!)</f>
        <v>0.32595209977257916</v>
      </c>
      <c r="AI474" s="22">
        <f>CHOOSE(UserInterface!$C$22,#REF!,#REF!,#REF!,#REF!,#REF!,Scotland!AI474,Southern!AI474,#REF!)</f>
        <v>-0.32704485562675989</v>
      </c>
      <c r="AJ474" s="22">
        <f>CHOOSE(UserInterface!$C$22,#REF!,#REF!,#REF!,#REF!,#REF!,Scotland!AJ474,Southern!AJ474,#REF!)</f>
        <v>0</v>
      </c>
      <c r="AK474" s="22">
        <f>CHOOSE(UserInterface!$C$22,#REF!,#REF!,#REF!,#REF!,#REF!,Scotland!AK474,Southern!AK474,#REF!)</f>
        <v>0</v>
      </c>
      <c r="AL474" s="22">
        <f>CHOOSE(UserInterface!$C$22,#REF!,#REF!,#REF!,#REF!,#REF!,Scotland!AL474,Southern!AL474,#REF!)</f>
        <v>0</v>
      </c>
      <c r="AM474" s="22">
        <f>CHOOSE(UserInterface!$C$22,#REF!,#REF!,#REF!,#REF!,#REF!,Scotland!AM474,Southern!AM474,#REF!)</f>
        <v>0</v>
      </c>
      <c r="AN474" s="22">
        <f>CHOOSE(UserInterface!$C$22,#REF!,#REF!,#REF!,#REF!,#REF!,Scotland!AN474,Southern!AN474,#REF!)</f>
        <v>0</v>
      </c>
      <c r="AO474" s="22">
        <f>CHOOSE(UserInterface!$C$22,#REF!,#REF!,#REF!,#REF!,#REF!,Scotland!AO474,Southern!AO474,#REF!)</f>
        <v>0</v>
      </c>
      <c r="AP474"/>
      <c r="AQ474"/>
      <c r="AR474"/>
      <c r="AS474"/>
      <c r="AT474" s="61"/>
      <c r="AU474"/>
      <c r="AV474"/>
      <c r="AW474"/>
      <c r="AX474"/>
      <c r="AY474"/>
      <c r="BA474" s="34" t="str">
        <f t="shared" ca="1" si="165"/>
        <v>LicenseeSelect</v>
      </c>
      <c r="BB474" s="34" t="str">
        <f t="shared" si="166"/>
        <v>Fixed Inputs</v>
      </c>
      <c r="BC474" s="34" t="str">
        <f t="shared" si="167"/>
        <v>RAV and assets</v>
      </c>
      <c r="BD474" s="34" t="str">
        <f t="shared" si="168"/>
        <v>Pre-vesting assets</v>
      </c>
    </row>
    <row r="475" spans="2:56" x14ac:dyDescent="0.35">
      <c r="E475" s="33" t="s">
        <v>272</v>
      </c>
      <c r="G475" s="33" t="s">
        <v>190</v>
      </c>
      <c r="J475" s="33" t="s">
        <v>13</v>
      </c>
      <c r="AH475" s="24">
        <f>CHOOSE(UserInterface!$C$22,#REF!,#REF!,#REF!,#REF!,#REF!,Scotland!AH475,Southern!AH475,#REF!)</f>
        <v>45</v>
      </c>
      <c r="AI475" s="24">
        <f>CHOOSE(UserInterface!$C$22,#REF!,#REF!,#REF!,#REF!,#REF!,Scotland!AI475,Southern!AI475,#REF!)</f>
        <v>44</v>
      </c>
      <c r="AJ475" s="24">
        <f>CHOOSE(UserInterface!$C$22,#REF!,#REF!,#REF!,#REF!,#REF!,Scotland!AJ475,Southern!AJ475,#REF!)</f>
        <v>43</v>
      </c>
      <c r="AK475" s="24">
        <f>CHOOSE(UserInterface!$C$22,#REF!,#REF!,#REF!,#REF!,#REF!,Scotland!AK475,Southern!AK475,#REF!)</f>
        <v>42</v>
      </c>
      <c r="AL475" s="24">
        <f>CHOOSE(UserInterface!$C$22,#REF!,#REF!,#REF!,#REF!,#REF!,Scotland!AL475,Southern!AL475,#REF!)</f>
        <v>41</v>
      </c>
      <c r="AM475" s="24">
        <f>CHOOSE(UserInterface!$C$22,#REF!,#REF!,#REF!,#REF!,#REF!,Scotland!AM475,Southern!AM475,#REF!)</f>
        <v>40</v>
      </c>
      <c r="AN475" s="24">
        <f>CHOOSE(UserInterface!$C$22,#REF!,#REF!,#REF!,#REF!,#REF!,Scotland!AN475,Southern!AN475,#REF!)</f>
        <v>39</v>
      </c>
      <c r="AO475" s="24">
        <f>CHOOSE(UserInterface!$C$22,#REF!,#REF!,#REF!,#REF!,#REF!,Scotland!AO475,Southern!AO475,#REF!)</f>
        <v>38</v>
      </c>
      <c r="AP475" s="24">
        <f>CHOOSE(UserInterface!$C$22,#REF!,#REF!,#REF!,#REF!,#REF!,Scotland!AP475,Southern!AP475,#REF!)</f>
        <v>37</v>
      </c>
      <c r="AQ475" s="24">
        <f>CHOOSE(UserInterface!$C$22,#REF!,#REF!,#REF!,#REF!,#REF!,Scotland!AQ475,Southern!AQ475,#REF!)</f>
        <v>36</v>
      </c>
      <c r="AR475" s="24">
        <f>CHOOSE(UserInterface!$C$22,#REF!,#REF!,#REF!,#REF!,#REF!,Scotland!AR475,Southern!AR475,#REF!)</f>
        <v>35</v>
      </c>
      <c r="AS475" s="24">
        <f>CHOOSE(UserInterface!$C$22,#REF!,#REF!,#REF!,#REF!,#REF!,Scotland!AS475,Southern!AS475,#REF!)</f>
        <v>34</v>
      </c>
      <c r="AT475" s="64">
        <f>CHOOSE(UserInterface!$C$22,#REF!,#REF!,#REF!,#REF!,#REF!,Scotland!AT475,Southern!AT475,#REF!)</f>
        <v>33</v>
      </c>
      <c r="AU475" s="142">
        <f>CHOOSE(UserInterface!$C$22,#REF!,#REF!,#REF!,#REF!,#REF!,Scotland!AU475,Southern!AU475,#REF!)</f>
        <v>32</v>
      </c>
      <c r="AV475" s="24">
        <f>CHOOSE(UserInterface!$C$22,#REF!,#REF!,#REF!,#REF!,#REF!,Scotland!AV475,Southern!AV475,#REF!)</f>
        <v>31</v>
      </c>
      <c r="AW475" s="24">
        <f>CHOOSE(UserInterface!$C$22,#REF!,#REF!,#REF!,#REF!,#REF!,Scotland!AW475,Southern!AW475,#REF!)</f>
        <v>30</v>
      </c>
      <c r="AX475" s="24">
        <f>CHOOSE(UserInterface!$C$22,#REF!,#REF!,#REF!,#REF!,#REF!,Scotland!AX475,Southern!AX475,#REF!)</f>
        <v>29</v>
      </c>
      <c r="AY475" s="24">
        <f>CHOOSE(UserInterface!$C$22,#REF!,#REF!,#REF!,#REF!,#REF!,Scotland!AY475,Southern!AY475,#REF!)</f>
        <v>28</v>
      </c>
      <c r="BA475" s="34" t="str">
        <f t="shared" ca="1" si="165"/>
        <v>LicenseeSelect</v>
      </c>
      <c r="BB475" s="34" t="str">
        <f t="shared" si="166"/>
        <v>Fixed Inputs</v>
      </c>
      <c r="BC475" s="34" t="str">
        <f t="shared" si="167"/>
        <v>RAV and assets</v>
      </c>
      <c r="BD475" s="34" t="str">
        <f t="shared" si="168"/>
        <v>Pre-vesting assets</v>
      </c>
    </row>
    <row r="476" spans="2:56" x14ac:dyDescent="0.35"/>
    <row r="477" spans="2:56" ht="16.5" thickBot="1" x14ac:dyDescent="0.4">
      <c r="C477" s="9" t="s">
        <v>192</v>
      </c>
    </row>
    <row r="478" spans="2:56" x14ac:dyDescent="0.35">
      <c r="E478" s="33" t="s">
        <v>558</v>
      </c>
      <c r="G478" s="33" t="str">
        <f>price_label</f>
        <v>£m 23/24 prices</v>
      </c>
      <c r="J478" s="33" t="s">
        <v>13</v>
      </c>
      <c r="AH478" s="22">
        <f>CHOOSE(UserInterface!$C$22,#REF!,#REF!,#REF!,#REF!,#REF!,Scotland!AH478,Southern!AH478,#REF!)</f>
        <v>2095.5788454953899</v>
      </c>
      <c r="AI478" s="22">
        <f>CHOOSE(UserInterface!$C$22,#REF!,#REF!,#REF!,#REF!,#REF!,Scotland!AI478,Southern!AI478,#REF!)</f>
        <v>2096.4366763908479</v>
      </c>
      <c r="AJ478" s="22">
        <f>CHOOSE(UserInterface!$C$22,#REF!,#REF!,#REF!,#REF!,#REF!,Scotland!AJ478,Southern!AJ478,#REF!)</f>
        <v>2111.1742200829735</v>
      </c>
      <c r="AK478" s="22">
        <f>CHOOSE(UserInterface!$C$22,#REF!,#REF!,#REF!,#REF!,#REF!,Scotland!AK478,Southern!AK478,#REF!)</f>
        <v>2139.0912178938702</v>
      </c>
      <c r="AL478" s="22">
        <f>CHOOSE(UserInterface!$C$22,#REF!,#REF!,#REF!,#REF!,#REF!,Scotland!AL478,Southern!AL478,#REF!)</f>
        <v>2159.871609026854</v>
      </c>
      <c r="AM478" s="22">
        <f>CHOOSE(UserInterface!$C$22,#REF!,#REF!,#REF!,#REF!,#REF!,Scotland!AM478,Southern!AM478,#REF!)</f>
        <v>2183.5361945520353</v>
      </c>
      <c r="AN478" s="22">
        <f>CHOOSE(UserInterface!$C$22,#REF!,#REF!,#REF!,#REF!,#REF!,Scotland!AN478,Southern!AN478,#REF!)</f>
        <v>2190.3424327322405</v>
      </c>
      <c r="AO478" s="22">
        <f>CHOOSE(UserInterface!$C$22,#REF!,#REF!,#REF!,#REF!,#REF!,Scotland!AO478,Southern!AO478,#REF!)</f>
        <v>2179.7871028770651</v>
      </c>
      <c r="AP478" s="22">
        <f>CHOOSE(UserInterface!$C$22,#REF!,#REF!,#REF!,#REF!,#REF!,Scotland!AP478,Southern!AP478,#REF!)</f>
        <v>2192.7447700106682</v>
      </c>
      <c r="AQ478" s="22">
        <f>CHOOSE(UserInterface!$C$22,#REF!,#REF!,#REF!,#REF!,#REF!,Scotland!AQ478,Southern!AQ478,#REF!)</f>
        <v>2214.711822994399</v>
      </c>
      <c r="AR478" s="22">
        <f>CHOOSE(UserInterface!$C$22,#REF!,#REF!,#REF!,#REF!,#REF!,Scotland!AR478,Southern!AR478,#REF!)</f>
        <v>2251.2395822747467</v>
      </c>
      <c r="AS478" s="22">
        <f>CHOOSE(UserInterface!$C$22,#REF!,#REF!,#REF!,#REF!,#REF!,Scotland!AS478,Southern!AS478,#REF!)</f>
        <v>2283.1835886408285</v>
      </c>
      <c r="AT478" s="63">
        <f>CHOOSE(UserInterface!$C$22,#REF!,#REF!,#REF!,#REF!,#REF!,Scotland!AT478,Southern!AT478,#REF!)</f>
        <v>2321.5363073040198</v>
      </c>
      <c r="BA478" s="34" t="str">
        <f t="shared" ca="1" si="165"/>
        <v>LicenseeSelect</v>
      </c>
      <c r="BB478" s="34" t="str">
        <f t="shared" si="166"/>
        <v>Fixed Inputs</v>
      </c>
      <c r="BC478" s="34" t="str">
        <f t="shared" si="167"/>
        <v>RAV and assets</v>
      </c>
      <c r="BD478" s="34" t="str">
        <f t="shared" si="168"/>
        <v>Pre-vesting assets</v>
      </c>
    </row>
    <row r="479" spans="2:56" x14ac:dyDescent="0.35"/>
    <row r="480" spans="2:56" x14ac:dyDescent="0.35">
      <c r="E480" s="33" t="s">
        <v>197</v>
      </c>
      <c r="G480" s="33" t="s">
        <v>190</v>
      </c>
      <c r="I480" s="24">
        <f>CHOOSE(UserInterface!$C$22,#REF!,#REF!,#REF!,#REF!,#REF!,Scotland!I480,Southern!I480,#REF!)</f>
        <v>45</v>
      </c>
      <c r="BA480" s="34" t="str">
        <f t="shared" ca="1" si="8"/>
        <v>LicenseeSelect</v>
      </c>
      <c r="BB480" s="34" t="str">
        <f t="shared" ref="BB480:BB488" si="169">$A$150</f>
        <v>Fixed Inputs</v>
      </c>
      <c r="BC480" s="34" t="str">
        <f t="shared" ref="BC480:BC488" si="170">$B$470</f>
        <v>RAV and assets</v>
      </c>
      <c r="BD480" s="34" t="str">
        <f t="shared" ref="BD480:BD484" si="171">$C$477</f>
        <v>Post-vesting assets</v>
      </c>
    </row>
    <row r="481" spans="3:56" x14ac:dyDescent="0.35">
      <c r="E481" s="33" t="s">
        <v>300</v>
      </c>
      <c r="G481" s="33" t="s">
        <v>109</v>
      </c>
      <c r="J481" s="33" t="s">
        <v>13</v>
      </c>
      <c r="AH481" s="23">
        <f>CHOOSE(UserInterface!$C$22,#REF!,#REF!,#REF!,#REF!,#REF!,Scotland!AH481,Southern!AH481,#REF!)</f>
        <v>0.15</v>
      </c>
      <c r="AI481" s="23">
        <f>CHOOSE(UserInterface!$C$22,#REF!,#REF!,#REF!,#REF!,#REF!,Scotland!AI481,Southern!AI481,#REF!)</f>
        <v>0.15</v>
      </c>
      <c r="AJ481" s="23">
        <f>CHOOSE(UserInterface!$C$22,#REF!,#REF!,#REF!,#REF!,#REF!,Scotland!AJ481,Southern!AJ481,#REF!)</f>
        <v>2.5000000000000001E-2</v>
      </c>
      <c r="AK481" s="23">
        <f>CHOOSE(UserInterface!$C$22,#REF!,#REF!,#REF!,#REF!,#REF!,Scotland!AK481,Southern!AK481,#REF!)</f>
        <v>0</v>
      </c>
      <c r="AL481" s="23">
        <f>CHOOSE(UserInterface!$C$22,#REF!,#REF!,#REF!,#REF!,#REF!,Scotland!AL481,Southern!AL481,#REF!)</f>
        <v>0.05</v>
      </c>
      <c r="AM481" s="23">
        <f>CHOOSE(UserInterface!$C$22,#REF!,#REF!,#REF!,#REF!,#REF!,Scotland!AM481,Southern!AM481,#REF!)</f>
        <v>0.125</v>
      </c>
      <c r="AN481" s="23">
        <f>CHOOSE(UserInterface!$C$22,#REF!,#REF!,#REF!,#REF!,#REF!,Scotland!AN481,Southern!AN481,#REF!)</f>
        <v>0.2</v>
      </c>
      <c r="AO481" s="23">
        <f>CHOOSE(UserInterface!$C$22,#REF!,#REF!,#REF!,#REF!,#REF!,Scotland!AO481,Southern!AO481,#REF!)</f>
        <v>0.3</v>
      </c>
      <c r="AP481"/>
      <c r="AQ481"/>
      <c r="AR481"/>
      <c r="AS481"/>
      <c r="AT481" s="61"/>
      <c r="AU481"/>
      <c r="AV481"/>
      <c r="AW481"/>
      <c r="AX481"/>
      <c r="AY481"/>
      <c r="BA481" s="34" t="str">
        <f t="shared" ca="1" si="8"/>
        <v>LicenseeSelect</v>
      </c>
      <c r="BB481" s="34" t="str">
        <f t="shared" si="169"/>
        <v>Fixed Inputs</v>
      </c>
      <c r="BC481" s="34" t="str">
        <f t="shared" si="170"/>
        <v>RAV and assets</v>
      </c>
      <c r="BD481" s="34" t="str">
        <f t="shared" si="171"/>
        <v>Post-vesting assets</v>
      </c>
    </row>
    <row r="482" spans="3:56" x14ac:dyDescent="0.35">
      <c r="E482" s="33" t="s">
        <v>413</v>
      </c>
      <c r="G482" s="33" t="s">
        <v>193</v>
      </c>
      <c r="I482" s="25">
        <f>CHOOSE(UserInterface!$C$22,#REF!,#REF!,#REF!,#REF!,#REF!,Scotland!I482,Southern!I482,#REF!)</f>
        <v>41729</v>
      </c>
      <c r="BA482" s="34" t="str">
        <f t="shared" ca="1" si="8"/>
        <v>LicenseeSelect</v>
      </c>
      <c r="BB482" s="34" t="str">
        <f t="shared" si="169"/>
        <v>Fixed Inputs</v>
      </c>
      <c r="BC482" s="34" t="str">
        <f t="shared" si="170"/>
        <v>RAV and assets</v>
      </c>
      <c r="BD482" s="34" t="str">
        <f t="shared" si="171"/>
        <v>Post-vesting assets</v>
      </c>
    </row>
    <row r="483" spans="3:56" x14ac:dyDescent="0.35">
      <c r="E483" s="33" t="s">
        <v>194</v>
      </c>
      <c r="G483" s="33" t="str">
        <f>price_label</f>
        <v>£m 23/24 prices</v>
      </c>
      <c r="J483" s="33" t="s">
        <v>13</v>
      </c>
      <c r="W483" s="22">
        <f>CHOOSE(UserInterface!$C$22,#REF!,#REF!,#REF!,#REF!,#REF!,Scotland!W483,Southern!W483,#REF!)</f>
        <v>91.905465427581476</v>
      </c>
      <c r="X483" s="22">
        <f>CHOOSE(UserInterface!$C$22,#REF!,#REF!,#REF!,#REF!,#REF!,Scotland!X483,Southern!X483,#REF!)</f>
        <v>79.115440417778871</v>
      </c>
      <c r="Y483" s="22">
        <f>CHOOSE(UserInterface!$C$22,#REF!,#REF!,#REF!,#REF!,#REF!,Scotland!Y483,Southern!Y483,#REF!)</f>
        <v>57.28104057961589</v>
      </c>
      <c r="Z483" s="22">
        <f>CHOOSE(UserInterface!$C$22,#REF!,#REF!,#REF!,#REF!,#REF!,Scotland!Z483,Southern!Z483,#REF!)</f>
        <v>66.994243886430311</v>
      </c>
      <c r="AA483" s="22">
        <f>CHOOSE(UserInterface!$C$22,#REF!,#REF!,#REF!,#REF!,#REF!,Scotland!AA483,Southern!AA483,#REF!)</f>
        <v>49.644047772208971</v>
      </c>
      <c r="AB483" s="22">
        <f>CHOOSE(UserInterface!$C$22,#REF!,#REF!,#REF!,#REF!,#REF!,Scotland!AB483,Southern!AB483,#REF!)</f>
        <v>133.37914749620904</v>
      </c>
      <c r="AC483" s="22">
        <f>CHOOSE(UserInterface!$C$22,#REF!,#REF!,#REF!,#REF!,#REF!,Scotland!AC483,Southern!AC483,#REF!)</f>
        <v>144.02328495601324</v>
      </c>
      <c r="AD483" s="22">
        <f>CHOOSE(UserInterface!$C$22,#REF!,#REF!,#REF!,#REF!,#REF!,Scotland!AD483,Southern!AD483,#REF!)</f>
        <v>189.59720839926936</v>
      </c>
      <c r="AE483" s="22">
        <f>CHOOSE(UserInterface!$C$22,#REF!,#REF!,#REF!,#REF!,#REF!,Scotland!AE483,Southern!AE483,#REF!)</f>
        <v>197.52068254319832</v>
      </c>
      <c r="AF483" s="22">
        <f>CHOOSE(UserInterface!$C$22,#REF!,#REF!,#REF!,#REF!,#REF!,Scotland!AF483,Southern!AF483,#REF!)</f>
        <v>177.25045037918576</v>
      </c>
      <c r="AG483" s="22">
        <f>CHOOSE(UserInterface!$C$22,#REF!,#REF!,#REF!,#REF!,#REF!,Scotland!AG483,Southern!AG483,#REF!)</f>
        <v>110.81029182430835</v>
      </c>
      <c r="BA483" s="34" t="str">
        <f t="shared" ca="1" si="8"/>
        <v>LicenseeSelect</v>
      </c>
      <c r="BB483" s="34" t="str">
        <f t="shared" si="169"/>
        <v>Fixed Inputs</v>
      </c>
      <c r="BC483" s="34" t="str">
        <f t="shared" si="170"/>
        <v>RAV and assets</v>
      </c>
      <c r="BD483" s="34" t="str">
        <f t="shared" si="171"/>
        <v>Post-vesting assets</v>
      </c>
    </row>
    <row r="484" spans="3:56" x14ac:dyDescent="0.35">
      <c r="E484" s="33" t="s">
        <v>610</v>
      </c>
      <c r="G484" s="33" t="str">
        <f>price_label</f>
        <v>£m 23/24 prices</v>
      </c>
      <c r="J484" s="33" t="s">
        <v>13</v>
      </c>
      <c r="AH484" s="22">
        <f>CHOOSE(UserInterface!$C$22,#REF!,#REF!,#REF!,#REF!,#REF!,Scotland!AH484,Southern!AH484,#REF!)</f>
        <v>113.32221010949328</v>
      </c>
      <c r="AI484" s="22">
        <f>CHOOSE(UserInterface!$C$22,#REF!,#REF!,#REF!,#REF!,#REF!,Scotland!AI484,Southern!AI484,#REF!)</f>
        <v>109.76500366917041</v>
      </c>
      <c r="AJ484" s="22">
        <f>CHOOSE(UserInterface!$C$22,#REF!,#REF!,#REF!,#REF!,#REF!,Scotland!AJ484,Southern!AJ484,#REF!)</f>
        <v>114.22336322517508</v>
      </c>
      <c r="AK484" s="22">
        <f>CHOOSE(UserInterface!$C$22,#REF!,#REF!,#REF!,#REF!,#REF!,Scotland!AK484,Southern!AK484,#REF!)</f>
        <v>127.54784733053384</v>
      </c>
      <c r="AL484" s="22">
        <f>CHOOSE(UserInterface!$C$22,#REF!,#REF!,#REF!,#REF!,#REF!,Scotland!AL484,Southern!AL484,#REF!)</f>
        <v>128.38622713335945</v>
      </c>
      <c r="AM484" s="22">
        <f>CHOOSE(UserInterface!$C$22,#REF!,#REF!,#REF!,#REF!,#REF!,Scotland!AM484,Southern!AM484,#REF!)</f>
        <v>141.61228861219638</v>
      </c>
      <c r="AN484" s="22">
        <f>CHOOSE(UserInterface!$C$22,#REF!,#REF!,#REF!,#REF!,#REF!,Scotland!AN484,Southern!AN484,#REF!)</f>
        <v>135.54680984121518</v>
      </c>
      <c r="AO484" s="22">
        <f>CHOOSE(UserInterface!$C$22,#REF!,#REF!,#REF!,#REF!,#REF!,Scotland!AO484,Southern!AO484,#REF!)</f>
        <v>131.03123438949584</v>
      </c>
      <c r="AP484" s="22">
        <f>CHOOSE(UserInterface!$C$22,#REF!,#REF!,#REF!,#REF!,#REF!,Scotland!AP484,Southern!AP484,#REF!)</f>
        <v>127.80430836953926</v>
      </c>
      <c r="AQ484" s="22">
        <f>CHOOSE(UserInterface!$C$22,#REF!,#REF!,#REF!,#REF!,#REF!,Scotland!AQ484,Southern!AQ484,#REF!)</f>
        <v>139.25083719589287</v>
      </c>
      <c r="AR484" s="22">
        <f>CHOOSE(UserInterface!$C$22,#REF!,#REF!,#REF!,#REF!,#REF!,Scotland!AR484,Southern!AR484,#REF!)</f>
        <v>156.62287921155232</v>
      </c>
      <c r="AS484" s="22">
        <f>CHOOSE(UserInterface!$C$22,#REF!,#REF!,#REF!,#REF!,#REF!,Scotland!AS484,Southern!AS484,#REF!)</f>
        <v>155.47122631923617</v>
      </c>
      <c r="AT484" s="63">
        <f>CHOOSE(UserInterface!$C$22,#REF!,#REF!,#REF!,#REF!,#REF!,Scotland!AT484,Southern!AT484,#REF!)</f>
        <v>165.11064032006806</v>
      </c>
      <c r="AU484"/>
      <c r="AV484"/>
      <c r="AW484"/>
      <c r="AX484"/>
      <c r="AY484"/>
      <c r="BA484" s="34" t="str">
        <f t="shared" ca="1" si="8"/>
        <v>LicenseeSelect</v>
      </c>
      <c r="BB484" s="34" t="str">
        <f t="shared" si="169"/>
        <v>Fixed Inputs</v>
      </c>
      <c r="BC484" s="34" t="str">
        <f t="shared" si="170"/>
        <v>RAV and assets</v>
      </c>
      <c r="BD484" s="34" t="str">
        <f t="shared" si="171"/>
        <v>Post-vesting assets</v>
      </c>
    </row>
    <row r="485" spans="3:56" customFormat="1" ht="14.5" x14ac:dyDescent="0.35">
      <c r="AT485" s="61"/>
    </row>
    <row r="486" spans="3:56" customFormat="1" ht="14.5" x14ac:dyDescent="0.35">
      <c r="E486" s="33" t="s">
        <v>550</v>
      </c>
      <c r="G486" t="s">
        <v>193</v>
      </c>
      <c r="I486" s="30">
        <f>CHOOSE(UserInterface!$C$22,#REF!,#REF!,#REF!,#REF!,#REF!,Scotland!I486,Southern!I486,#REF!)</f>
        <v>54878</v>
      </c>
      <c r="AT486" s="61"/>
      <c r="BA486" s="34" t="str">
        <f t="shared" ca="1" si="8"/>
        <v>LicenseeSelect</v>
      </c>
      <c r="BB486" s="34" t="str">
        <f t="shared" si="169"/>
        <v>Fixed Inputs</v>
      </c>
      <c r="BC486" s="34" t="str">
        <f t="shared" si="170"/>
        <v>RAV and assets</v>
      </c>
      <c r="BD486" s="34" t="str">
        <f>$C$477</f>
        <v>Post-vesting assets</v>
      </c>
    </row>
    <row r="487" spans="3:56" customFormat="1" ht="14.5" x14ac:dyDescent="0.35">
      <c r="E487" s="33" t="s">
        <v>551</v>
      </c>
      <c r="G487" t="s">
        <v>236</v>
      </c>
      <c r="J487" s="33" t="s">
        <v>13</v>
      </c>
      <c r="X487" s="31">
        <f>CHOOSE(UserInterface!$C$22,#REF!,#REF!,#REF!,#REF!,#REF!,Scotland!X487,Southern!X487,#REF!)</f>
        <v>0</v>
      </c>
      <c r="Y487" s="31">
        <f>CHOOSE(UserInterface!$C$22,#REF!,#REF!,#REF!,#REF!,#REF!,Scotland!Y487,Southern!Y487,#REF!)</f>
        <v>0</v>
      </c>
      <c r="Z487" s="31">
        <f>CHOOSE(UserInterface!$C$22,#REF!,#REF!,#REF!,#REF!,#REF!,Scotland!Z487,Southern!Z487,#REF!)</f>
        <v>0</v>
      </c>
      <c r="AA487" s="31">
        <f>CHOOSE(UserInterface!$C$22,#REF!,#REF!,#REF!,#REF!,#REF!,Scotland!AA487,Southern!AA487,#REF!)</f>
        <v>0</v>
      </c>
      <c r="AB487" s="31">
        <f>CHOOSE(UserInterface!$C$22,#REF!,#REF!,#REF!,#REF!,#REF!,Scotland!AB487,Southern!AB487,#REF!)</f>
        <v>0</v>
      </c>
      <c r="AC487" s="31">
        <f>CHOOSE(UserInterface!$C$22,#REF!,#REF!,#REF!,#REF!,#REF!,Scotland!AC487,Southern!AC487,#REF!)</f>
        <v>0</v>
      </c>
      <c r="AD487" s="31">
        <f>CHOOSE(UserInterface!$C$22,#REF!,#REF!,#REF!,#REF!,#REF!,Scotland!AD487,Southern!AD487,#REF!)</f>
        <v>0</v>
      </c>
      <c r="AE487" s="31">
        <f>CHOOSE(UserInterface!$C$22,#REF!,#REF!,#REF!,#REF!,#REF!,Scotland!AE487,Southern!AE487,#REF!)</f>
        <v>0</v>
      </c>
      <c r="AF487" s="31">
        <f>CHOOSE(UserInterface!$C$22,#REF!,#REF!,#REF!,#REF!,#REF!,Scotland!AF487,Southern!AF487,#REF!)</f>
        <v>0</v>
      </c>
      <c r="AG487" s="31">
        <f>CHOOSE(UserInterface!$C$22,#REF!,#REF!,#REF!,#REF!,#REF!,Scotland!AG487,Southern!AG487,#REF!)</f>
        <v>0</v>
      </c>
      <c r="AH487" s="31">
        <f>CHOOSE(UserInterface!$C$22,#REF!,#REF!,#REF!,#REF!,#REF!,Scotland!AH487,Southern!AH487,#REF!)</f>
        <v>0</v>
      </c>
      <c r="AI487" s="31">
        <f>CHOOSE(UserInterface!$C$22,#REF!,#REF!,#REF!,#REF!,#REF!,Scotland!AI487,Southern!AI487,#REF!)</f>
        <v>0</v>
      </c>
      <c r="AJ487" s="31">
        <f>CHOOSE(UserInterface!$C$22,#REF!,#REF!,#REF!,#REF!,#REF!,Scotland!AJ487,Southern!AJ487,#REF!)</f>
        <v>0</v>
      </c>
      <c r="AK487" s="31">
        <f>CHOOSE(UserInterface!$C$22,#REF!,#REF!,#REF!,#REF!,#REF!,Scotland!AK487,Southern!AK487,#REF!)</f>
        <v>0</v>
      </c>
      <c r="AL487" s="31">
        <f>CHOOSE(UserInterface!$C$22,#REF!,#REF!,#REF!,#REF!,#REF!,Scotland!AL487,Southern!AL487,#REF!)</f>
        <v>0</v>
      </c>
      <c r="AM487" s="31">
        <f>CHOOSE(UserInterface!$C$22,#REF!,#REF!,#REF!,#REF!,#REF!,Scotland!AM487,Southern!AM487,#REF!)</f>
        <v>0</v>
      </c>
      <c r="AN487" s="31">
        <f>CHOOSE(UserInterface!$C$22,#REF!,#REF!,#REF!,#REF!,#REF!,Scotland!AN487,Southern!AN487,#REF!)</f>
        <v>0</v>
      </c>
      <c r="AO487" s="31">
        <f>CHOOSE(UserInterface!$C$22,#REF!,#REF!,#REF!,#REF!,#REF!,Scotland!AO487,Southern!AO487,#REF!)</f>
        <v>0</v>
      </c>
      <c r="AP487" s="31">
        <f>CHOOSE(UserInterface!$C$22,#REF!,#REF!,#REF!,#REF!,#REF!,Scotland!AP487,Southern!AP487,#REF!)</f>
        <v>0</v>
      </c>
      <c r="AQ487" s="31">
        <f>CHOOSE(UserInterface!$C$22,#REF!,#REF!,#REF!,#REF!,#REF!,Scotland!AQ487,Southern!AQ487,#REF!)</f>
        <v>0</v>
      </c>
      <c r="AR487" s="31">
        <f>CHOOSE(UserInterface!$C$22,#REF!,#REF!,#REF!,#REF!,#REF!,Scotland!AR487,Southern!AR487,#REF!)</f>
        <v>0</v>
      </c>
      <c r="AS487" s="31">
        <f>CHOOSE(UserInterface!$C$22,#REF!,#REF!,#REF!,#REF!,#REF!,Scotland!AS487,Southern!AS487,#REF!)</f>
        <v>0</v>
      </c>
      <c r="AT487" s="67">
        <f>CHOOSE(UserInterface!$C$22,#REF!,#REF!,#REF!,#REF!,#REF!,Scotland!AT487,Southern!AT487,#REF!)</f>
        <v>0</v>
      </c>
      <c r="AU487" s="143">
        <f>CHOOSE(UserInterface!$C$22,#REF!,#REF!,#REF!,#REF!,#REF!,Scotland!AU487,Southern!AU487,#REF!)</f>
        <v>0</v>
      </c>
      <c r="AV487" s="31">
        <f>CHOOSE(UserInterface!$C$22,#REF!,#REF!,#REF!,#REF!,#REF!,Scotland!AV487,Southern!AV487,#REF!)</f>
        <v>0</v>
      </c>
      <c r="AW487" s="31">
        <f>CHOOSE(UserInterface!$C$22,#REF!,#REF!,#REF!,#REF!,#REF!,Scotland!AW487,Southern!AW487,#REF!)</f>
        <v>0</v>
      </c>
      <c r="AX487" s="31">
        <f>CHOOSE(UserInterface!$C$22,#REF!,#REF!,#REF!,#REF!,#REF!,Scotland!AX487,Southern!AX487,#REF!)</f>
        <v>0</v>
      </c>
      <c r="AY487" s="31">
        <f>CHOOSE(UserInterface!$C$22,#REF!,#REF!,#REF!,#REF!,#REF!,Scotland!AY487,Southern!AY487,#REF!)</f>
        <v>0</v>
      </c>
      <c r="BA487" s="34" t="str">
        <f t="shared" ca="1" si="8"/>
        <v>LicenseeSelect</v>
      </c>
      <c r="BB487" s="34" t="str">
        <f t="shared" si="169"/>
        <v>Fixed Inputs</v>
      </c>
      <c r="BC487" s="34" t="str">
        <f t="shared" si="170"/>
        <v>RAV and assets</v>
      </c>
      <c r="BD487" s="34" t="str">
        <f>$C$477</f>
        <v>Post-vesting assets</v>
      </c>
    </row>
    <row r="488" spans="3:56" customFormat="1" ht="14.5" x14ac:dyDescent="0.35">
      <c r="E488" s="33" t="s">
        <v>490</v>
      </c>
      <c r="G488" t="s">
        <v>77</v>
      </c>
      <c r="J488" s="33" t="s">
        <v>13</v>
      </c>
      <c r="X488" s="31">
        <f>CHOOSE(UserInterface!$C$22,#REF!,#REF!,#REF!,#REF!,#REF!,Scotland!X488,Southern!X488,#REF!)</f>
        <v>0</v>
      </c>
      <c r="Y488" s="31">
        <f>CHOOSE(UserInterface!$C$22,#REF!,#REF!,#REF!,#REF!,#REF!,Scotland!Y488,Southern!Y488,#REF!)</f>
        <v>0</v>
      </c>
      <c r="Z488" s="31">
        <f>CHOOSE(UserInterface!$C$22,#REF!,#REF!,#REF!,#REF!,#REF!,Scotland!Z488,Southern!Z488,#REF!)</f>
        <v>0</v>
      </c>
      <c r="AA488" s="31">
        <f>CHOOSE(UserInterface!$C$22,#REF!,#REF!,#REF!,#REF!,#REF!,Scotland!AA488,Southern!AA488,#REF!)</f>
        <v>0</v>
      </c>
      <c r="AB488" s="31">
        <f>CHOOSE(UserInterface!$C$22,#REF!,#REF!,#REF!,#REF!,#REF!,Scotland!AB488,Southern!AB488,#REF!)</f>
        <v>0</v>
      </c>
      <c r="AC488" s="31">
        <f>CHOOSE(UserInterface!$C$22,#REF!,#REF!,#REF!,#REF!,#REF!,Scotland!AC488,Southern!AC488,#REF!)</f>
        <v>0</v>
      </c>
      <c r="AD488" s="31">
        <f>CHOOSE(UserInterface!$C$22,#REF!,#REF!,#REF!,#REF!,#REF!,Scotland!AD488,Southern!AD488,#REF!)</f>
        <v>0</v>
      </c>
      <c r="AE488" s="31">
        <f>CHOOSE(UserInterface!$C$22,#REF!,#REF!,#REF!,#REF!,#REF!,Scotland!AE488,Southern!AE488,#REF!)</f>
        <v>0</v>
      </c>
      <c r="AF488" s="31">
        <f>CHOOSE(UserInterface!$C$22,#REF!,#REF!,#REF!,#REF!,#REF!,Scotland!AF488,Southern!AF488,#REF!)</f>
        <v>0</v>
      </c>
      <c r="AG488" s="31">
        <f>CHOOSE(UserInterface!$C$22,#REF!,#REF!,#REF!,#REF!,#REF!,Scotland!AG488,Southern!AG488,#REF!)</f>
        <v>0</v>
      </c>
      <c r="AH488" s="31">
        <f>CHOOSE(UserInterface!$C$22,#REF!,#REF!,#REF!,#REF!,#REF!,Scotland!AH488,Southern!AH488,#REF!)</f>
        <v>0</v>
      </c>
      <c r="AI488" s="31">
        <f>CHOOSE(UserInterface!$C$22,#REF!,#REF!,#REF!,#REF!,#REF!,Scotland!AI488,Southern!AI488,#REF!)</f>
        <v>0</v>
      </c>
      <c r="AJ488" s="31">
        <f>CHOOSE(UserInterface!$C$22,#REF!,#REF!,#REF!,#REF!,#REF!,Scotland!AJ488,Southern!AJ488,#REF!)</f>
        <v>0</v>
      </c>
      <c r="AK488" s="31">
        <f>CHOOSE(UserInterface!$C$22,#REF!,#REF!,#REF!,#REF!,#REF!,Scotland!AK488,Southern!AK488,#REF!)</f>
        <v>0</v>
      </c>
      <c r="AL488" s="31">
        <f>CHOOSE(UserInterface!$C$22,#REF!,#REF!,#REF!,#REF!,#REF!,Scotland!AL488,Southern!AL488,#REF!)</f>
        <v>0</v>
      </c>
      <c r="AM488" s="31">
        <f>CHOOSE(UserInterface!$C$22,#REF!,#REF!,#REF!,#REF!,#REF!,Scotland!AM488,Southern!AM488,#REF!)</f>
        <v>0</v>
      </c>
      <c r="AN488" s="31">
        <f>CHOOSE(UserInterface!$C$22,#REF!,#REF!,#REF!,#REF!,#REF!,Scotland!AN488,Southern!AN488,#REF!)</f>
        <v>0</v>
      </c>
      <c r="AO488" s="31">
        <f>CHOOSE(UserInterface!$C$22,#REF!,#REF!,#REF!,#REF!,#REF!,Scotland!AO488,Southern!AO488,#REF!)</f>
        <v>0</v>
      </c>
      <c r="AP488" s="31">
        <f>CHOOSE(UserInterface!$C$22,#REF!,#REF!,#REF!,#REF!,#REF!,Scotland!AP488,Southern!AP488,#REF!)</f>
        <v>0</v>
      </c>
      <c r="AQ488" s="31">
        <f>CHOOSE(UserInterface!$C$22,#REF!,#REF!,#REF!,#REF!,#REF!,Scotland!AQ488,Southern!AQ488,#REF!)</f>
        <v>0</v>
      </c>
      <c r="AR488" s="31">
        <f>CHOOSE(UserInterface!$C$22,#REF!,#REF!,#REF!,#REF!,#REF!,Scotland!AR488,Southern!AR488,#REF!)</f>
        <v>0</v>
      </c>
      <c r="AS488" s="31">
        <f>CHOOSE(UserInterface!$C$22,#REF!,#REF!,#REF!,#REF!,#REF!,Scotland!AS488,Southern!AS488,#REF!)</f>
        <v>0</v>
      </c>
      <c r="AT488" s="67">
        <f>CHOOSE(UserInterface!$C$22,#REF!,#REF!,#REF!,#REF!,#REF!,Scotland!AT488,Southern!AT488,#REF!)</f>
        <v>0</v>
      </c>
      <c r="AU488" s="143">
        <f>CHOOSE(UserInterface!$C$22,#REF!,#REF!,#REF!,#REF!,#REF!,Scotland!AU488,Southern!AU488,#REF!)</f>
        <v>0</v>
      </c>
      <c r="AV488" s="31">
        <f>CHOOSE(UserInterface!$C$22,#REF!,#REF!,#REF!,#REF!,#REF!,Scotland!AV488,Southern!AV488,#REF!)</f>
        <v>0</v>
      </c>
      <c r="AW488" s="31">
        <f>CHOOSE(UserInterface!$C$22,#REF!,#REF!,#REF!,#REF!,#REF!,Scotland!AW488,Southern!AW488,#REF!)</f>
        <v>0</v>
      </c>
      <c r="AX488" s="31">
        <f>CHOOSE(UserInterface!$C$22,#REF!,#REF!,#REF!,#REF!,#REF!,Scotland!AX488,Southern!AX488,#REF!)</f>
        <v>0</v>
      </c>
      <c r="AY488" s="31">
        <f>CHOOSE(UserInterface!$C$22,#REF!,#REF!,#REF!,#REF!,#REF!,Scotland!AY488,Southern!AY488,#REF!)</f>
        <v>0</v>
      </c>
      <c r="BA488" s="34" t="str">
        <f t="shared" ca="1" si="8"/>
        <v>LicenseeSelect</v>
      </c>
      <c r="BB488" s="34" t="str">
        <f t="shared" si="169"/>
        <v>Fixed Inputs</v>
      </c>
      <c r="BC488" s="34" t="str">
        <f t="shared" si="170"/>
        <v>RAV and assets</v>
      </c>
      <c r="BD488" s="34" t="str">
        <f>$C$477</f>
        <v>Post-vesting assets</v>
      </c>
    </row>
    <row r="489" spans="3:56" x14ac:dyDescent="0.35"/>
    <row r="490" spans="3:56" ht="16.5" thickBot="1" x14ac:dyDescent="0.4">
      <c r="C490" s="9" t="s">
        <v>196</v>
      </c>
    </row>
    <row r="491" spans="3:56" x14ac:dyDescent="0.35">
      <c r="E491" s="33" t="s">
        <v>197</v>
      </c>
      <c r="G491" s="33" t="s">
        <v>190</v>
      </c>
      <c r="I491" s="24">
        <f>CHOOSE(UserInterface!$C$22,#REF!,#REF!,#REF!,#REF!,#REF!,Scotland!I491,Southern!I491,#REF!)</f>
        <v>45</v>
      </c>
      <c r="BA491" s="34" t="str">
        <f t="shared" ref="BA491:BA495" ca="1" si="172">$A$1</f>
        <v>LicenseeSelect</v>
      </c>
      <c r="BB491" s="34" t="str">
        <f t="shared" ref="BB491:BB495" si="173">$A$150</f>
        <v>Fixed Inputs</v>
      </c>
      <c r="BC491" s="34" t="str">
        <f t="shared" ref="BC491:BC495" si="174">$B$470</f>
        <v>RAV and assets</v>
      </c>
      <c r="BD491" s="34" t="str">
        <f>$C$490</f>
        <v>Fuel Poor</v>
      </c>
    </row>
    <row r="492" spans="3:56" x14ac:dyDescent="0.35">
      <c r="E492" s="33" t="s">
        <v>198</v>
      </c>
      <c r="G492" s="33" t="s">
        <v>190</v>
      </c>
      <c r="I492" s="24">
        <f>CHOOSE(UserInterface!$C$22,#REF!,#REF!,#REF!,#REF!,#REF!,Scotland!I492,Southern!I492,#REF!)</f>
        <v>5</v>
      </c>
      <c r="BA492" s="34" t="str">
        <f t="shared" ca="1" si="172"/>
        <v>LicenseeSelect</v>
      </c>
      <c r="BB492" s="34" t="str">
        <f t="shared" si="173"/>
        <v>Fixed Inputs</v>
      </c>
      <c r="BC492" s="34" t="str">
        <f t="shared" si="174"/>
        <v>RAV and assets</v>
      </c>
      <c r="BD492" s="34" t="str">
        <f t="shared" ref="BD492:BD495" si="175">$C$490</f>
        <v>Fuel Poor</v>
      </c>
    </row>
    <row r="493" spans="3:56" x14ac:dyDescent="0.35">
      <c r="E493" s="33" t="s">
        <v>199</v>
      </c>
      <c r="G493" s="33" t="str">
        <f>price_label</f>
        <v>£m 23/24 prices</v>
      </c>
      <c r="J493" s="33" t="s">
        <v>13</v>
      </c>
      <c r="AC493"/>
      <c r="AD493" s="22">
        <f>CHOOSE(UserInterface!$C$22,#REF!,#REF!,#REF!,#REF!,#REF!,Scotland!AD493,Southern!AD493,#REF!)</f>
        <v>0</v>
      </c>
      <c r="AE493" s="22">
        <f>CHOOSE(UserInterface!$C$22,#REF!,#REF!,#REF!,#REF!,#REF!,Scotland!AE493,Southern!AE493,#REF!)</f>
        <v>0</v>
      </c>
      <c r="AF493" s="22">
        <f>CHOOSE(UserInterface!$C$22,#REF!,#REF!,#REF!,#REF!,#REF!,Scotland!AF493,Southern!AF493,#REF!)</f>
        <v>0</v>
      </c>
      <c r="AG493" s="22">
        <f>CHOOSE(UserInterface!$C$22,#REF!,#REF!,#REF!,#REF!,#REF!,Scotland!AG493,Southern!AG493,#REF!)</f>
        <v>0</v>
      </c>
      <c r="AH493"/>
      <c r="AI493"/>
      <c r="AJ493"/>
      <c r="AK493"/>
      <c r="AL493"/>
      <c r="AM493"/>
      <c r="AN493"/>
      <c r="AO493"/>
      <c r="AP493"/>
      <c r="AQ493"/>
      <c r="AR493"/>
      <c r="AS493"/>
      <c r="AT493" s="61"/>
      <c r="AU493"/>
      <c r="AV493"/>
      <c r="AW493"/>
      <c r="AX493"/>
      <c r="AY493"/>
      <c r="BA493" s="34" t="str">
        <f t="shared" ca="1" si="172"/>
        <v>LicenseeSelect</v>
      </c>
      <c r="BB493" s="34" t="str">
        <f t="shared" si="173"/>
        <v>Fixed Inputs</v>
      </c>
      <c r="BC493" s="34" t="str">
        <f t="shared" si="174"/>
        <v>RAV and assets</v>
      </c>
      <c r="BD493" s="34" t="str">
        <f t="shared" si="175"/>
        <v>Fuel Poor</v>
      </c>
    </row>
    <row r="494" spans="3:56" x14ac:dyDescent="0.35">
      <c r="E494" s="33" t="s">
        <v>200</v>
      </c>
      <c r="G494" s="33" t="str">
        <f>price_label</f>
        <v>£m 23/24 prices</v>
      </c>
      <c r="J494" s="33" t="s">
        <v>13</v>
      </c>
      <c r="AC494"/>
      <c r="AD494" s="22">
        <f>CHOOSE(UserInterface!$C$22,#REF!,#REF!,#REF!,#REF!,#REF!,Scotland!AD494,Southern!AD494,#REF!)</f>
        <v>0</v>
      </c>
      <c r="AE494" s="22">
        <f>CHOOSE(UserInterface!$C$22,#REF!,#REF!,#REF!,#REF!,#REF!,Scotland!AE494,Southern!AE494,#REF!)</f>
        <v>0</v>
      </c>
      <c r="AF494" s="22">
        <f>CHOOSE(UserInterface!$C$22,#REF!,#REF!,#REF!,#REF!,#REF!,Scotland!AF494,Southern!AF494,#REF!)</f>
        <v>0</v>
      </c>
      <c r="AG494" s="22">
        <f>CHOOSE(UserInterface!$C$22,#REF!,#REF!,#REF!,#REF!,#REF!,Scotland!AG494,Southern!AG494,#REF!)</f>
        <v>0</v>
      </c>
      <c r="AH494"/>
      <c r="AI494"/>
      <c r="AJ494"/>
      <c r="AK494"/>
      <c r="AL494"/>
      <c r="AM494"/>
      <c r="AN494"/>
      <c r="AO494"/>
      <c r="AP494"/>
      <c r="AQ494"/>
      <c r="AR494"/>
      <c r="AS494"/>
      <c r="AT494" s="61"/>
      <c r="AU494"/>
      <c r="AV494"/>
      <c r="AW494"/>
      <c r="AX494"/>
      <c r="AY494"/>
      <c r="BA494" s="34" t="str">
        <f t="shared" ca="1" si="172"/>
        <v>LicenseeSelect</v>
      </c>
      <c r="BB494" s="34" t="str">
        <f t="shared" si="173"/>
        <v>Fixed Inputs</v>
      </c>
      <c r="BC494" s="34" t="str">
        <f t="shared" si="174"/>
        <v>RAV and assets</v>
      </c>
      <c r="BD494" s="34" t="str">
        <f t="shared" si="175"/>
        <v>Fuel Poor</v>
      </c>
    </row>
    <row r="495" spans="3:56" x14ac:dyDescent="0.35">
      <c r="E495" s="33" t="s">
        <v>201</v>
      </c>
      <c r="G495" s="33" t="str">
        <f>price_label</f>
        <v>£m 23/24 prices</v>
      </c>
      <c r="J495" s="33" t="s">
        <v>13</v>
      </c>
      <c r="AC495"/>
      <c r="AD495" s="22">
        <f>CHOOSE(UserInterface!$C$22,#REF!,#REF!,#REF!,#REF!,#REF!,Scotland!AD495,Southern!AD495,#REF!)</f>
        <v>3.8738486569847601</v>
      </c>
      <c r="AE495" s="22">
        <f>CHOOSE(UserInterface!$C$22,#REF!,#REF!,#REF!,#REF!,#REF!,Scotland!AE495,Southern!AE495,#REF!)</f>
        <v>6.4058681806719227</v>
      </c>
      <c r="AF495" s="22">
        <f>CHOOSE(UserInterface!$C$22,#REF!,#REF!,#REF!,#REF!,#REF!,Scotland!AF495,Southern!AF495,#REF!)</f>
        <v>7.2340525287469379</v>
      </c>
      <c r="AG495" s="22">
        <f>CHOOSE(UserInterface!$C$22,#REF!,#REF!,#REF!,#REF!,#REF!,Scotland!AG495,Southern!AG495,#REF!)</f>
        <v>5.2649264003666829</v>
      </c>
      <c r="AH495"/>
      <c r="AI495"/>
      <c r="AJ495"/>
      <c r="AK495"/>
      <c r="AL495"/>
      <c r="AM495"/>
      <c r="AN495"/>
      <c r="AO495"/>
      <c r="AP495"/>
      <c r="AQ495"/>
      <c r="AR495"/>
      <c r="AS495"/>
      <c r="AT495" s="61"/>
      <c r="AU495"/>
      <c r="AV495"/>
      <c r="AW495"/>
      <c r="AX495"/>
      <c r="AY495"/>
      <c r="BA495" s="34" t="str">
        <f t="shared" ca="1" si="172"/>
        <v>LicenseeSelect</v>
      </c>
      <c r="BB495" s="34" t="str">
        <f t="shared" si="173"/>
        <v>Fixed Inputs</v>
      </c>
      <c r="BC495" s="34" t="str">
        <f t="shared" si="174"/>
        <v>RAV and assets</v>
      </c>
      <c r="BD495" s="34" t="str">
        <f t="shared" si="175"/>
        <v>Fuel Poor</v>
      </c>
    </row>
    <row r="496" spans="3:56" x14ac:dyDescent="0.35"/>
    <row r="497" spans="1:56" ht="17.5" thickBot="1" x14ac:dyDescent="0.4">
      <c r="B497" s="8" t="s">
        <v>202</v>
      </c>
    </row>
    <row r="498" spans="1:56" ht="16.5" thickTop="1" x14ac:dyDescent="0.35">
      <c r="E498" s="33" t="s">
        <v>202</v>
      </c>
      <c r="G498" s="33" t="str">
        <f>price_label</f>
        <v>£m 23/24 prices</v>
      </c>
      <c r="AU498" s="139">
        <f>CHOOSE(UserInterface!$C$22,#REF!,#REF!,#REF!,#REF!,#REF!,Scotland!AU498,Southern!AU498,#REF!)</f>
        <v>-8.183739375</v>
      </c>
      <c r="AV498" s="22">
        <f>CHOOSE(UserInterface!$C$22,#REF!,#REF!,#REF!,#REF!,#REF!,Scotland!AV498,Southern!AV498,#REF!)</f>
        <v>-8.5845247937500009</v>
      </c>
      <c r="AW498" s="22">
        <f>CHOOSE(UserInterface!$C$22,#REF!,#REF!,#REF!,#REF!,#REF!,Scotland!AW498,Southern!AW498,#REF!)</f>
        <v>-9.0437251534374994</v>
      </c>
      <c r="AX498" s="22">
        <f>CHOOSE(UserInterface!$C$22,#REF!,#REF!,#REF!,#REF!,#REF!,Scotland!AX498,Southern!AX498,#REF!)</f>
        <v>-9.5108419273093805</v>
      </c>
      <c r="AY498" s="22">
        <f>CHOOSE(UserInterface!$C$22,#REF!,#REF!,#REF!,#REF!,#REF!,Scotland!AY498,Southern!AY498,#REF!)</f>
        <v>-10.0058532618868</v>
      </c>
      <c r="BA498" s="34" t="str">
        <f t="shared" ref="BA498" ca="1" si="176">$A$1</f>
        <v>LicenseeSelect</v>
      </c>
      <c r="BB498" s="34" t="str">
        <f>$A$150</f>
        <v>Fixed Inputs</v>
      </c>
      <c r="BC498" s="34" t="str">
        <f>$B$497</f>
        <v>Cross-subsidy adjustment</v>
      </c>
    </row>
    <row r="499" spans="1:56" x14ac:dyDescent="0.35"/>
    <row r="500" spans="1:56" ht="20" collapsed="1" thickBot="1" x14ac:dyDescent="0.4">
      <c r="A500" s="7" t="s">
        <v>844</v>
      </c>
    </row>
    <row r="501" spans="1:56" customFormat="1" ht="18" thickTop="1" thickBot="1" x14ac:dyDescent="0.45">
      <c r="B501" s="15" t="s">
        <v>382</v>
      </c>
      <c r="AT501" s="61"/>
    </row>
    <row r="502" spans="1:56" ht="16.5" thickTop="1" x14ac:dyDescent="0.35">
      <c r="E502" s="33" t="s">
        <v>207</v>
      </c>
      <c r="G502" s="33" t="s">
        <v>208</v>
      </c>
      <c r="H502" s="33" t="s">
        <v>209</v>
      </c>
      <c r="J502" s="33" t="s">
        <v>13</v>
      </c>
      <c r="AS502" s="21">
        <f>CHOOSE(UserInterface!$C$22,#REF!,#REF!,#REF!,#REF!,#REF!,Scotland!AS502,Southern!AS502,#REF!)</f>
        <v>1.1900000000000001E-2</v>
      </c>
      <c r="AT502" s="147">
        <f>CHOOSE(UserInterface!$C$22,#REF!,#REF!,#REF!,#REF!,#REF!,Scotland!AT502,Southern!AT502,#REF!)</f>
        <v>2.2000000000000001E-3</v>
      </c>
      <c r="AU502" s="141">
        <f>CHOOSE(UserInterface!$C$22,#REF!,#REF!,#REF!,#REF!,#REF!,Scotland!AU502,Southern!AU502,#REF!)</f>
        <v>6.7000000000000002E-3</v>
      </c>
      <c r="AV502" s="21">
        <f>CHOOSE(UserInterface!$C$22,#REF!,#REF!,#REF!,#REF!,#REF!,Scotland!AV502,Southern!AV502,#REF!)</f>
        <v>4.4999999999999997E-3</v>
      </c>
      <c r="AW502" s="21">
        <f>CHOOSE(UserInterface!$C$22,#REF!,#REF!,#REF!,#REF!,#REF!,Scotland!AW502,Southern!AW502,#REF!)</f>
        <v>5.5999999999999999E-3</v>
      </c>
      <c r="AX502" s="21">
        <f>CHOOSE(UserInterface!$C$22,#REF!,#REF!,#REF!,#REF!,#REF!,Scotland!AX502,Southern!AX502,#REF!)</f>
        <v>7.1000000000000004E-3</v>
      </c>
      <c r="AY502" s="21">
        <f>CHOOSE(UserInterface!$C$22,#REF!,#REF!,#REF!,#REF!,#REF!,Scotland!AY502,Southern!AY502,#REF!)</f>
        <v>0.01</v>
      </c>
      <c r="BA502" s="34" t="str">
        <f t="shared" ref="BA502:BA519" ca="1" si="177">$A$1</f>
        <v>LicenseeSelect</v>
      </c>
      <c r="BB502" s="34" t="str">
        <f t="shared" ref="BB502:BB527" si="178">$A$500</f>
        <v>Variable policy</v>
      </c>
      <c r="BC502" s="34" t="str">
        <f>$B$501</f>
        <v>Real Price Effects</v>
      </c>
    </row>
    <row r="503" spans="1:56" customFormat="1" ht="14.5" x14ac:dyDescent="0.35">
      <c r="AT503" s="61"/>
    </row>
    <row r="504" spans="1:56" ht="17.5" thickBot="1" x14ac:dyDescent="0.4">
      <c r="B504" s="8" t="s">
        <v>226</v>
      </c>
    </row>
    <row r="505" spans="1:56" customFormat="1" ht="15.5" thickTop="1" thickBot="1" x14ac:dyDescent="0.4">
      <c r="C505" s="11" t="s">
        <v>218</v>
      </c>
      <c r="AT505" s="61"/>
    </row>
    <row r="506" spans="1:56" x14ac:dyDescent="0.35">
      <c r="E506" s="33" t="s">
        <v>203</v>
      </c>
      <c r="G506" s="33" t="s">
        <v>186</v>
      </c>
      <c r="H506" s="33" t="s">
        <v>204</v>
      </c>
      <c r="AU506" s="141">
        <f>CHOOSE(UserInterface!$C$22,#REF!,#REF!,#REF!,#REF!,#REF!,Scotland!AU506,Southern!AU506,#REF!)</f>
        <v>3.0499999999999999E-2</v>
      </c>
      <c r="AV506" s="21">
        <f>CHOOSE(UserInterface!$C$22,#REF!,#REF!,#REF!,#REF!,#REF!,Scotland!AV506,Southern!AV506,#REF!)</f>
        <v>3.1399999999999997E-2</v>
      </c>
      <c r="AW506" s="21">
        <f>CHOOSE(UserInterface!$C$22,#REF!,#REF!,#REF!,#REF!,#REF!,Scotland!AW506,Southern!AW506,#REF!)</f>
        <v>3.2199999999999999E-2</v>
      </c>
      <c r="AX506" s="21">
        <f>CHOOSE(UserInterface!$C$22,#REF!,#REF!,#REF!,#REF!,#REF!,Scotland!AX506,Southern!AX506,#REF!)</f>
        <v>3.3300000000000003E-2</v>
      </c>
      <c r="AY506" s="21">
        <f>CHOOSE(UserInterface!$C$22,#REF!,#REF!,#REF!,#REF!,#REF!,Scotland!AY506,Southern!AY506,#REF!)</f>
        <v>3.4500000000000003E-2</v>
      </c>
      <c r="BA506" s="34" t="str">
        <f t="shared" ca="1" si="177"/>
        <v>LicenseeSelect</v>
      </c>
      <c r="BB506" s="34" t="str">
        <f>$A$500</f>
        <v>Variable policy</v>
      </c>
      <c r="BC506" s="34" t="str">
        <f>$B$504</f>
        <v>Finance</v>
      </c>
      <c r="BD506" s="34" t="str">
        <f>$C$505</f>
        <v>Allowed return on capital</v>
      </c>
    </row>
    <row r="507" spans="1:56" x14ac:dyDescent="0.35">
      <c r="E507" s="33" t="s">
        <v>205</v>
      </c>
      <c r="G507" s="33" t="s">
        <v>186</v>
      </c>
      <c r="H507" s="33" t="s">
        <v>206</v>
      </c>
      <c r="AU507" s="141">
        <f>CHOOSE(UserInterface!$C$22,#REF!,#REF!,#REF!,#REF!,#REF!,Scotland!AU507,Southern!AU507,#REF!)</f>
        <v>2.2800000000000001E-2</v>
      </c>
      <c r="AV507" s="21">
        <f>CHOOSE(UserInterface!$C$22,#REF!,#REF!,#REF!,#REF!,#REF!,Scotland!AV507,Southern!AV507,#REF!)</f>
        <v>2.2800000000000001E-2</v>
      </c>
      <c r="AW507" s="21">
        <f>CHOOSE(UserInterface!$C$22,#REF!,#REF!,#REF!,#REF!,#REF!,Scotland!AW507,Southern!AW507,#REF!)</f>
        <v>2.2800000000000001E-2</v>
      </c>
      <c r="AX507" s="21">
        <f>CHOOSE(UserInterface!$C$22,#REF!,#REF!,#REF!,#REF!,#REF!,Scotland!AX507,Southern!AX507,#REF!)</f>
        <v>2.2800000000000001E-2</v>
      </c>
      <c r="AY507" s="21">
        <f>CHOOSE(UserInterface!$C$22,#REF!,#REF!,#REF!,#REF!,#REF!,Scotland!AY507,Southern!AY507,#REF!)</f>
        <v>2.2800000000000001E-2</v>
      </c>
      <c r="BA507" s="34" t="str">
        <f t="shared" ca="1" si="177"/>
        <v>LicenseeSelect</v>
      </c>
      <c r="BB507" s="34" t="str">
        <f t="shared" si="178"/>
        <v>Variable policy</v>
      </c>
      <c r="BC507" s="34" t="str">
        <f t="shared" ref="BC507:BC512" si="179">$B$504</f>
        <v>Finance</v>
      </c>
      <c r="BD507" s="34" t="str">
        <f>$C$505</f>
        <v>Allowed return on capital</v>
      </c>
    </row>
    <row r="508" spans="1:56" customFormat="1" ht="14.5" x14ac:dyDescent="0.35">
      <c r="AT508" s="61"/>
    </row>
    <row r="509" spans="1:56" customFormat="1" ht="15" thickBot="1" x14ac:dyDescent="0.4">
      <c r="C509" s="11" t="s">
        <v>256</v>
      </c>
      <c r="AT509" s="61"/>
      <c r="BA509" s="34"/>
    </row>
    <row r="510" spans="1:56" customFormat="1" ht="14.5" x14ac:dyDescent="0.35">
      <c r="E510" t="s">
        <v>418</v>
      </c>
      <c r="G510" t="s">
        <v>231</v>
      </c>
      <c r="J510" s="33" t="s">
        <v>13</v>
      </c>
      <c r="AP510" s="59">
        <f>CHOOSE(UserInterface!$C$22,#REF!,#REF!,#REF!,#REF!,#REF!,Scotland!AP510,Southern!AP510,#REF!)</f>
        <v>2022</v>
      </c>
      <c r="AQ510" s="59">
        <f>CHOOSE(UserInterface!$C$22,#REF!,#REF!,#REF!,#REF!,#REF!,Scotland!AQ510,Southern!AQ510,#REF!)</f>
        <v>2023</v>
      </c>
      <c r="AR510" s="59">
        <f>CHOOSE(UserInterface!$C$22,#REF!,#REF!,#REF!,#REF!,#REF!,Scotland!AR510,Southern!AR510,#REF!)</f>
        <v>2024</v>
      </c>
      <c r="AS510" s="59">
        <f>CHOOSE(UserInterface!$C$22,#REF!,#REF!,#REF!,#REF!,#REF!,Scotland!AS510,Southern!AS510,#REF!)</f>
        <v>2025</v>
      </c>
      <c r="AT510" s="65">
        <f>CHOOSE(UserInterface!$C$22,#REF!,#REF!,#REF!,#REF!,#REF!,Scotland!AT510,Southern!AT510,#REF!)</f>
        <v>2026</v>
      </c>
      <c r="AU510" s="144">
        <f>CHOOSE(UserInterface!$C$22,#REF!,#REF!,#REF!,#REF!,#REF!,Scotland!AU510,Southern!AU510,#REF!)</f>
        <v>2027</v>
      </c>
      <c r="AV510" s="59">
        <f>CHOOSE(UserInterface!$C$22,#REF!,#REF!,#REF!,#REF!,#REF!,Scotland!AV510,Southern!AV510,#REF!)</f>
        <v>2028</v>
      </c>
      <c r="AW510" s="59">
        <f>CHOOSE(UserInterface!$C$22,#REF!,#REF!,#REF!,#REF!,#REF!,Scotland!AW510,Southern!AW510,#REF!)</f>
        <v>2029</v>
      </c>
      <c r="AX510" s="59">
        <f>CHOOSE(UserInterface!$C$22,#REF!,#REF!,#REF!,#REF!,#REF!,Scotland!AX510,Southern!AX510,#REF!)</f>
        <v>2030</v>
      </c>
      <c r="AY510" s="59">
        <f>CHOOSE(UserInterface!$C$22,#REF!,#REF!,#REF!,#REF!,#REF!,Scotland!AY510,Southern!AY510,#REF!)</f>
        <v>2031</v>
      </c>
      <c r="AZ510" s="59">
        <f>CHOOSE(UserInterface!$C$22,#REF!,#REF!,#REF!,#REF!,#REF!,Scotland!AZ510,Southern!AZ510,#REF!)</f>
        <v>2032</v>
      </c>
      <c r="BA510" s="34" t="str">
        <f t="shared" ref="BA510:BA511" ca="1" si="180">$A$1</f>
        <v>LicenseeSelect</v>
      </c>
      <c r="BB510" s="34" t="str">
        <f t="shared" ref="BB510:BB512" si="181">$A$500</f>
        <v>Variable policy</v>
      </c>
      <c r="BC510" s="34" t="str">
        <f t="shared" si="179"/>
        <v>Finance</v>
      </c>
      <c r="BD510" s="34" t="str">
        <f>$C$509</f>
        <v>Inflation</v>
      </c>
    </row>
    <row r="511" spans="1:56" customFormat="1" ht="14.5" x14ac:dyDescent="0.35">
      <c r="E511" t="s">
        <v>644</v>
      </c>
      <c r="G511" t="s">
        <v>77</v>
      </c>
      <c r="J511" s="33" t="s">
        <v>13</v>
      </c>
      <c r="AP511" s="26">
        <f>CHOOSE(UserInterface!$C$22,#REF!,#REF!,#REF!,#REF!,#REF!,Scotland!AP511,Southern!AP511,#REF!)</f>
        <v>3.6737186990396076</v>
      </c>
      <c r="AQ511" s="26">
        <f>CHOOSE(UserInterface!$C$22,#REF!,#REF!,#REF!,#REF!,#REF!,Scotland!AQ511,Southern!AQ511,#REF!)</f>
        <v>8.7741270010504469</v>
      </c>
      <c r="AR511" s="26">
        <f>CHOOSE(UserInterface!$C$22,#REF!,#REF!,#REF!,#REF!,#REF!,Scotland!AR511,Southern!AR511,#REF!)</f>
        <v>5.546901249206293</v>
      </c>
      <c r="AS511" s="26">
        <f>CHOOSE(UserInterface!$C$22,#REF!,#REF!,#REF!,#REF!,#REF!,Scotland!AS511,Southern!AS511,#REF!)</f>
        <v>3.2148359255837144</v>
      </c>
      <c r="AT511" s="66">
        <f>CHOOSE(UserInterface!$C$22,#REF!,#REF!,#REF!,#REF!,#REF!,Scotland!AT511,Southern!AT511,#REF!)</f>
        <v>3.8464084526910858</v>
      </c>
      <c r="AU511" s="138">
        <f>CHOOSE(UserInterface!$C$22,#REF!,#REF!,#REF!,#REF!,#REF!,Scotland!AU511,Southern!AU511,#REF!)</f>
        <v>2.3689382169692408</v>
      </c>
      <c r="AV511" s="26">
        <f>CHOOSE(UserInterface!$C$22,#REF!,#REF!,#REF!,#REF!,#REF!,Scotland!AV511,Southern!AV511,#REF!)</f>
        <v>2.1054516816467084</v>
      </c>
      <c r="AW511" s="26">
        <f>CHOOSE(UserInterface!$C$22,#REF!,#REF!,#REF!,#REF!,#REF!,Scotland!AW511,Southern!AW511,#REF!)</f>
        <v>2.1285796243298183</v>
      </c>
      <c r="AX511" s="26">
        <f>CHOOSE(UserInterface!$C$22,#REF!,#REF!,#REF!,#REF!,#REF!,Scotland!AX511,Southern!AX511,#REF!)</f>
        <v>2.0983342920036119</v>
      </c>
      <c r="AY511" s="26">
        <f>CHOOSE(UserInterface!$C$22,#REF!,#REF!,#REF!,#REF!,#REF!,Scotland!AY511,Southern!AY511,#REF!)</f>
        <v>2.1355060506057066</v>
      </c>
      <c r="AZ511" s="26">
        <f>CHOOSE(UserInterface!$C$22,#REF!,#REF!,#REF!,#REF!,#REF!,Scotland!AZ511,Southern!AZ511,#REF!)</f>
        <v>2.1355060506057066</v>
      </c>
      <c r="BA511" s="34" t="str">
        <f t="shared" ca="1" si="180"/>
        <v>LicenseeSelect</v>
      </c>
      <c r="BB511" s="34" t="str">
        <f t="shared" si="181"/>
        <v>Variable policy</v>
      </c>
      <c r="BC511" s="34" t="str">
        <f t="shared" si="179"/>
        <v>Finance</v>
      </c>
      <c r="BD511" s="34" t="str">
        <f>$C$509</f>
        <v>Inflation</v>
      </c>
    </row>
    <row r="512" spans="1:56" customFormat="1" ht="14.5" x14ac:dyDescent="0.35">
      <c r="E512" t="s">
        <v>378</v>
      </c>
      <c r="G512" t="s">
        <v>109</v>
      </c>
      <c r="AT512" s="61"/>
      <c r="AU512" s="145">
        <f>CHOOSE(UserInterface!$C$22,#REF!,#REF!,#REF!,#REF!,#REF!,Scotland!AU512,Southern!AU512,#REF!)</f>
        <v>2.1299999999999999E-2</v>
      </c>
      <c r="AV512" s="28">
        <f>CHOOSE(UserInterface!$C$22,#REF!,#REF!,#REF!,#REF!,#REF!,Scotland!AV512,Southern!AV512,#REF!)</f>
        <v>2.1299999999999999E-2</v>
      </c>
      <c r="AW512" s="28">
        <f>CHOOSE(UserInterface!$C$22,#REF!,#REF!,#REF!,#REF!,#REF!,Scotland!AW512,Southern!AW512,#REF!)</f>
        <v>2.1299999999999999E-2</v>
      </c>
      <c r="AX512" s="28">
        <f>CHOOSE(UserInterface!$C$22,#REF!,#REF!,#REF!,#REF!,#REF!,Scotland!AX512,Southern!AX512,#REF!)</f>
        <v>2.1299999999999999E-2</v>
      </c>
      <c r="AY512" s="28">
        <f>CHOOSE(UserInterface!$C$22,#REF!,#REF!,#REF!,#REF!,#REF!,Scotland!AY512,Southern!AY512,#REF!)</f>
        <v>2.1299999999999999E-2</v>
      </c>
      <c r="BA512" s="34" t="str">
        <f t="shared" ref="BA512" ca="1" si="182">$A$1</f>
        <v>LicenseeSelect</v>
      </c>
      <c r="BB512" s="34" t="str">
        <f t="shared" si="181"/>
        <v>Variable policy</v>
      </c>
      <c r="BC512" s="34" t="str">
        <f t="shared" si="179"/>
        <v>Finance</v>
      </c>
      <c r="BD512" s="34" t="str">
        <f>$C$509</f>
        <v>Inflation</v>
      </c>
    </row>
    <row r="513" spans="2:55" customFormat="1" ht="14.5" x14ac:dyDescent="0.35">
      <c r="AT513" s="61"/>
      <c r="BA513" s="34"/>
      <c r="BB513" s="34"/>
      <c r="BC513" s="34"/>
    </row>
    <row r="514" spans="2:55" ht="17.5" thickBot="1" x14ac:dyDescent="0.45">
      <c r="B514" s="15" t="s">
        <v>475</v>
      </c>
      <c r="C514" s="6"/>
    </row>
    <row r="515" spans="2:55" ht="16.5" thickTop="1" x14ac:dyDescent="0.35">
      <c r="E515" s="33" t="s">
        <v>210</v>
      </c>
      <c r="G515" s="33" t="s">
        <v>109</v>
      </c>
      <c r="H515" s="33" t="s">
        <v>211</v>
      </c>
      <c r="AU515" s="141">
        <f>CHOOSE(UserInterface!$C$22,#REF!,#REF!,#REF!,#REF!,#REF!,Scotland!AU515,Southern!AU515,#REF!)</f>
        <v>0.25</v>
      </c>
      <c r="AV515" s="21">
        <f>CHOOSE(UserInterface!$C$22,#REF!,#REF!,#REF!,#REF!,#REF!,Scotland!AV515,Southern!AV515,#REF!)</f>
        <v>0.25</v>
      </c>
      <c r="AW515" s="21">
        <f>CHOOSE(UserInterface!$C$22,#REF!,#REF!,#REF!,#REF!,#REF!,Scotland!AW515,Southern!AW515,#REF!)</f>
        <v>0.25</v>
      </c>
      <c r="AX515" s="21">
        <f>CHOOSE(UserInterface!$C$22,#REF!,#REF!,#REF!,#REF!,#REF!,Scotland!AX515,Southern!AX515,#REF!)</f>
        <v>0.25</v>
      </c>
      <c r="AY515" s="21">
        <f>CHOOSE(UserInterface!$C$22,#REF!,#REF!,#REF!,#REF!,#REF!,Scotland!AY515,Southern!AY515,#REF!)</f>
        <v>0.25</v>
      </c>
      <c r="BA515" s="34" t="str">
        <f t="shared" ca="1" si="177"/>
        <v>LicenseeSelect</v>
      </c>
      <c r="BB515" s="34" t="str">
        <f t="shared" si="178"/>
        <v>Variable policy</v>
      </c>
      <c r="BC515" s="34" t="str">
        <f>$B$514</f>
        <v>Tax</v>
      </c>
    </row>
    <row r="516" spans="2:55" x14ac:dyDescent="0.35">
      <c r="E516" s="33" t="s">
        <v>212</v>
      </c>
      <c r="G516" s="33" t="s">
        <v>109</v>
      </c>
      <c r="H516" s="33" t="s">
        <v>213</v>
      </c>
      <c r="AU516" s="141">
        <f>CHOOSE(UserInterface!$C$22,#REF!,#REF!,#REF!,#REF!,#REF!,Scotland!AU516,Southern!AU516,#REF!)</f>
        <v>0.14000000000000001</v>
      </c>
      <c r="AV516" s="21">
        <f>CHOOSE(UserInterface!$C$22,#REF!,#REF!,#REF!,#REF!,#REF!,Scotland!AV516,Southern!AV516,#REF!)</f>
        <v>0.14000000000000001</v>
      </c>
      <c r="AW516" s="21">
        <f>CHOOSE(UserInterface!$C$22,#REF!,#REF!,#REF!,#REF!,#REF!,Scotland!AW516,Southern!AW516,#REF!)</f>
        <v>0.14000000000000001</v>
      </c>
      <c r="AX516" s="21">
        <f>CHOOSE(UserInterface!$C$22,#REF!,#REF!,#REF!,#REF!,#REF!,Scotland!AX516,Southern!AX516,#REF!)</f>
        <v>0.14000000000000001</v>
      </c>
      <c r="AY516" s="21">
        <f>CHOOSE(UserInterface!$C$22,#REF!,#REF!,#REF!,#REF!,#REF!,Scotland!AY516,Southern!AY516,#REF!)</f>
        <v>0.14000000000000001</v>
      </c>
      <c r="BA516" s="34" t="str">
        <f t="shared" ca="1" si="177"/>
        <v>LicenseeSelect</v>
      </c>
      <c r="BB516" s="34" t="str">
        <f t="shared" si="178"/>
        <v>Variable policy</v>
      </c>
      <c r="BC516" s="34" t="str">
        <f t="shared" ref="BC516:BC527" si="183">$B$514</f>
        <v>Tax</v>
      </c>
    </row>
    <row r="517" spans="2:55" x14ac:dyDescent="0.35">
      <c r="E517" s="33" t="s">
        <v>813</v>
      </c>
      <c r="G517" s="33" t="s">
        <v>109</v>
      </c>
      <c r="H517" s="33" t="s">
        <v>215</v>
      </c>
      <c r="AU517" s="141">
        <f>CHOOSE(UserInterface!$C$22,#REF!,#REF!,#REF!,#REF!,#REF!,Scotland!AU517,Southern!AU517,#REF!)</f>
        <v>0.06</v>
      </c>
      <c r="AV517" s="21">
        <f>CHOOSE(UserInterface!$C$22,#REF!,#REF!,#REF!,#REF!,#REF!,Scotland!AV517,Southern!AV517,#REF!)</f>
        <v>0.06</v>
      </c>
      <c r="AW517" s="21">
        <f>CHOOSE(UserInterface!$C$22,#REF!,#REF!,#REF!,#REF!,#REF!,Scotland!AW517,Southern!AW517,#REF!)</f>
        <v>0.06</v>
      </c>
      <c r="AX517" s="21">
        <f>CHOOSE(UserInterface!$C$22,#REF!,#REF!,#REF!,#REF!,#REF!,Scotland!AX517,Southern!AX517,#REF!)</f>
        <v>0.06</v>
      </c>
      <c r="AY517" s="21">
        <f>CHOOSE(UserInterface!$C$22,#REF!,#REF!,#REF!,#REF!,#REF!,Scotland!AY517,Southern!AY517,#REF!)</f>
        <v>0.06</v>
      </c>
      <c r="BA517" s="34" t="str">
        <f t="shared" ca="1" si="177"/>
        <v>LicenseeSelect</v>
      </c>
      <c r="BB517" s="34" t="str">
        <f t="shared" si="178"/>
        <v>Variable policy</v>
      </c>
      <c r="BC517" s="34" t="str">
        <f t="shared" si="183"/>
        <v>Tax</v>
      </c>
    </row>
    <row r="518" spans="2:55" x14ac:dyDescent="0.35">
      <c r="E518" s="33" t="s">
        <v>814</v>
      </c>
      <c r="G518" s="33" t="s">
        <v>109</v>
      </c>
      <c r="H518" s="33" t="s">
        <v>216</v>
      </c>
      <c r="AU518" s="141">
        <f>CHOOSE(UserInterface!$C$22,#REF!,#REF!,#REF!,#REF!,#REF!,Scotland!AU518,Southern!AU518,#REF!)</f>
        <v>0.03</v>
      </c>
      <c r="AV518" s="21">
        <f>CHOOSE(UserInterface!$C$22,#REF!,#REF!,#REF!,#REF!,#REF!,Scotland!AV518,Southern!AV518,#REF!)</f>
        <v>0.03</v>
      </c>
      <c r="AW518" s="21">
        <f>CHOOSE(UserInterface!$C$22,#REF!,#REF!,#REF!,#REF!,#REF!,Scotland!AW518,Southern!AW518,#REF!)</f>
        <v>0.03</v>
      </c>
      <c r="AX518" s="21">
        <f>CHOOSE(UserInterface!$C$22,#REF!,#REF!,#REF!,#REF!,#REF!,Scotland!AX518,Southern!AX518,#REF!)</f>
        <v>0.03</v>
      </c>
      <c r="AY518" s="21">
        <f>CHOOSE(UserInterface!$C$22,#REF!,#REF!,#REF!,#REF!,#REF!,Scotland!AY518,Southern!AY518,#REF!)</f>
        <v>0.03</v>
      </c>
      <c r="BA518" s="34" t="str">
        <f t="shared" ca="1" si="177"/>
        <v>LicenseeSelect</v>
      </c>
      <c r="BB518" s="34" t="str">
        <f t="shared" si="178"/>
        <v>Variable policy</v>
      </c>
      <c r="BC518" s="34" t="str">
        <f t="shared" si="183"/>
        <v>Tax</v>
      </c>
    </row>
    <row r="519" spans="2:55" x14ac:dyDescent="0.35">
      <c r="E519" s="33" t="s">
        <v>815</v>
      </c>
      <c r="G519" s="33" t="s">
        <v>109</v>
      </c>
      <c r="H519" s="33" t="s">
        <v>217</v>
      </c>
      <c r="AU519" s="141">
        <f>CHOOSE(UserInterface!$C$22,#REF!,#REF!,#REF!,#REF!,#REF!,Scotland!AU519,Southern!AU519,#REF!)</f>
        <v>2.2200000000000001E-2</v>
      </c>
      <c r="AV519" s="21">
        <f>CHOOSE(UserInterface!$C$22,#REF!,#REF!,#REF!,#REF!,#REF!,Scotland!AV519,Southern!AV519,#REF!)</f>
        <v>2.2200000000000001E-2</v>
      </c>
      <c r="AW519" s="21">
        <f>CHOOSE(UserInterface!$C$22,#REF!,#REF!,#REF!,#REF!,#REF!,Scotland!AW519,Southern!AW519,#REF!)</f>
        <v>2.2200000000000001E-2</v>
      </c>
      <c r="AX519" s="21">
        <f>CHOOSE(UserInterface!$C$22,#REF!,#REF!,#REF!,#REF!,#REF!,Scotland!AX519,Southern!AX519,#REF!)</f>
        <v>2.2200000000000001E-2</v>
      </c>
      <c r="AY519" s="21">
        <f>CHOOSE(UserInterface!$C$22,#REF!,#REF!,#REF!,#REF!,#REF!,Scotland!AY519,Southern!AY519,#REF!)</f>
        <v>2.2200000000000001E-2</v>
      </c>
      <c r="BA519" s="34" t="str">
        <f t="shared" ca="1" si="177"/>
        <v>LicenseeSelect</v>
      </c>
      <c r="BB519" s="34" t="str">
        <f t="shared" si="178"/>
        <v>Variable policy</v>
      </c>
      <c r="BC519" s="34" t="str">
        <f t="shared" si="183"/>
        <v>Tax</v>
      </c>
    </row>
    <row r="520" spans="2:55" x14ac:dyDescent="0.35">
      <c r="E520" s="33" t="s">
        <v>410</v>
      </c>
      <c r="G520" s="33" t="s">
        <v>109</v>
      </c>
      <c r="I520"/>
      <c r="AU520" s="141">
        <f>CHOOSE(UserInterface!$C$22,#REF!,#REF!,#REF!,#REF!,#REF!,Scotland!AU520,Southern!AU520,#REF!)</f>
        <v>1</v>
      </c>
      <c r="AV520" s="21">
        <f>CHOOSE(UserInterface!$C$22,#REF!,#REF!,#REF!,#REF!,#REF!,Scotland!AV520,Southern!AV520,#REF!)</f>
        <v>1</v>
      </c>
      <c r="AW520" s="21">
        <f>CHOOSE(UserInterface!$C$22,#REF!,#REF!,#REF!,#REF!,#REF!,Scotland!AW520,Southern!AW520,#REF!)</f>
        <v>1</v>
      </c>
      <c r="AX520" s="21">
        <f>CHOOSE(UserInterface!$C$22,#REF!,#REF!,#REF!,#REF!,#REF!,Scotland!AX520,Southern!AX520,#REF!)</f>
        <v>1</v>
      </c>
      <c r="AY520" s="21">
        <f>CHOOSE(UserInterface!$C$22,#REF!,#REF!,#REF!,#REF!,#REF!,Scotland!AY520,Southern!AY520,#REF!)</f>
        <v>1</v>
      </c>
      <c r="BA520" s="34" t="str">
        <f t="shared" ca="1" si="164"/>
        <v>LicenseeSelect</v>
      </c>
      <c r="BB520" s="34" t="str">
        <f t="shared" si="178"/>
        <v>Variable policy</v>
      </c>
      <c r="BC520" s="34" t="str">
        <f t="shared" si="183"/>
        <v>Tax</v>
      </c>
    </row>
    <row r="521" spans="2:55" x14ac:dyDescent="0.35">
      <c r="E521" s="33" t="s">
        <v>807</v>
      </c>
      <c r="G521" s="33" t="s">
        <v>109</v>
      </c>
      <c r="I521"/>
      <c r="AU521" s="141">
        <f>CHOOSE(UserInterface!$C$22,#REF!,#REF!,#REF!,#REF!,#REF!,Scotland!AU521,Southern!AU521,#REF!)</f>
        <v>1</v>
      </c>
      <c r="AV521" s="21">
        <f>CHOOSE(UserInterface!$C$22,#REF!,#REF!,#REF!,#REF!,#REF!,Scotland!AV521,Southern!AV521,#REF!)</f>
        <v>1</v>
      </c>
      <c r="AW521" s="21">
        <f>CHOOSE(UserInterface!$C$22,#REF!,#REF!,#REF!,#REF!,#REF!,Scotland!AW521,Southern!AW521,#REF!)</f>
        <v>1</v>
      </c>
      <c r="AX521" s="21">
        <f>CHOOSE(UserInterface!$C$22,#REF!,#REF!,#REF!,#REF!,#REF!,Scotland!AX521,Southern!AX521,#REF!)</f>
        <v>1</v>
      </c>
      <c r="AY521" s="21">
        <f>CHOOSE(UserInterface!$C$22,#REF!,#REF!,#REF!,#REF!,#REF!,Scotland!AY521,Southern!AY521,#REF!)</f>
        <v>1</v>
      </c>
      <c r="BA521" s="34" t="str">
        <f t="shared" ca="1" si="164"/>
        <v>LicenseeSelect</v>
      </c>
      <c r="BB521" s="34" t="str">
        <f t="shared" si="178"/>
        <v>Variable policy</v>
      </c>
      <c r="BC521" s="34" t="str">
        <f t="shared" si="183"/>
        <v>Tax</v>
      </c>
    </row>
    <row r="522" spans="2:55" x14ac:dyDescent="0.35">
      <c r="E522" s="33" t="s">
        <v>108</v>
      </c>
      <c r="G522" s="33" t="s">
        <v>109</v>
      </c>
      <c r="H522" s="33" t="s">
        <v>110</v>
      </c>
      <c r="AU522" s="141">
        <f>CHOOSE(UserInterface!$C$22,#REF!,#REF!,#REF!,#REF!,#REF!,Scotland!AU522,Southern!AU522,#REF!)</f>
        <v>8.1561323845346964E-2</v>
      </c>
      <c r="AV522" s="21">
        <f>CHOOSE(UserInterface!$C$22,#REF!,#REF!,#REF!,#REF!,#REF!,Scotland!AV522,Southern!AV522,#REF!)</f>
        <v>8.7089942158051284E-2</v>
      </c>
      <c r="AW522" s="21">
        <f>CHOOSE(UserInterface!$C$22,#REF!,#REF!,#REF!,#REF!,#REF!,Scotland!AW522,Southern!AW522,#REF!)</f>
        <v>7.5902892928816718E-2</v>
      </c>
      <c r="AX522" s="21">
        <f>CHOOSE(UserInterface!$C$22,#REF!,#REF!,#REF!,#REF!,#REF!,Scotland!AX522,Southern!AX522,#REF!)</f>
        <v>6.1819489363919441E-2</v>
      </c>
      <c r="AY522" s="21">
        <f>CHOOSE(UserInterface!$C$22,#REF!,#REF!,#REF!,#REF!,#REF!,Scotland!AY522,Southern!AY522,#REF!)</f>
        <v>6.2364469171817052E-2</v>
      </c>
      <c r="BA522" s="34" t="str">
        <f t="shared" ca="1" si="38"/>
        <v>LicenseeSelect</v>
      </c>
      <c r="BB522" s="34" t="str">
        <f t="shared" si="178"/>
        <v>Variable policy</v>
      </c>
      <c r="BC522" s="34" t="str">
        <f t="shared" si="183"/>
        <v>Tax</v>
      </c>
    </row>
    <row r="523" spans="2:55" x14ac:dyDescent="0.35">
      <c r="E523" s="33" t="s">
        <v>111</v>
      </c>
      <c r="G523" s="33" t="s">
        <v>109</v>
      </c>
      <c r="H523" s="33" t="s">
        <v>112</v>
      </c>
      <c r="AU523" s="141">
        <f>CHOOSE(UserInterface!$C$22,#REF!,#REF!,#REF!,#REF!,#REF!,Scotland!AU523,Southern!AU523,#REF!)</f>
        <v>0.13333945479379639</v>
      </c>
      <c r="AV523" s="21">
        <f>CHOOSE(UserInterface!$C$22,#REF!,#REF!,#REF!,#REF!,#REF!,Scotland!AV523,Southern!AV523,#REF!)</f>
        <v>0.1451889645796422</v>
      </c>
      <c r="AW523" s="21">
        <f>CHOOSE(UserInterface!$C$22,#REF!,#REF!,#REF!,#REF!,#REF!,Scotland!AW523,Southern!AW523,#REF!)</f>
        <v>0.16448943406379332</v>
      </c>
      <c r="AX523" s="21">
        <f>CHOOSE(UserInterface!$C$22,#REF!,#REF!,#REF!,#REF!,#REF!,Scotland!AX523,Southern!AX523,#REF!)</f>
        <v>0.14070885065760691</v>
      </c>
      <c r="AY523" s="21">
        <f>CHOOSE(UserInterface!$C$22,#REF!,#REF!,#REF!,#REF!,#REF!,Scotland!AY523,Southern!AY523,#REF!)</f>
        <v>0.12033246756929508</v>
      </c>
      <c r="BA523" s="34" t="str">
        <f t="shared" ca="1" si="38"/>
        <v>LicenseeSelect</v>
      </c>
      <c r="BB523" s="34" t="str">
        <f t="shared" si="178"/>
        <v>Variable policy</v>
      </c>
      <c r="BC523" s="34" t="str">
        <f t="shared" si="183"/>
        <v>Tax</v>
      </c>
    </row>
    <row r="524" spans="2:55" x14ac:dyDescent="0.35">
      <c r="E524" s="33" t="s">
        <v>113</v>
      </c>
      <c r="G524" s="33" t="s">
        <v>109</v>
      </c>
      <c r="H524" s="33" t="s">
        <v>114</v>
      </c>
      <c r="AU524" s="141">
        <f>CHOOSE(UserInterface!$C$22,#REF!,#REF!,#REF!,#REF!,#REF!,Scotland!AU524,Southern!AU524,#REF!)</f>
        <v>1.9566713603510213E-3</v>
      </c>
      <c r="AV524" s="21">
        <f>CHOOSE(UserInterface!$C$22,#REF!,#REF!,#REF!,#REF!,#REF!,Scotland!AV524,Southern!AV524,#REF!)</f>
        <v>1.7995172739703102E-3</v>
      </c>
      <c r="AW524" s="21">
        <f>CHOOSE(UserInterface!$C$22,#REF!,#REF!,#REF!,#REF!,#REF!,Scotland!AW524,Southern!AW524,#REF!)</f>
        <v>1.8407843966143527E-3</v>
      </c>
      <c r="AX524" s="21">
        <f>CHOOSE(UserInterface!$C$22,#REF!,#REF!,#REF!,#REF!,#REF!,Scotland!AX524,Southern!AX524,#REF!)</f>
        <v>2.0750456018522705E-3</v>
      </c>
      <c r="AY524" s="21">
        <f>CHOOSE(UserInterface!$C$22,#REF!,#REF!,#REF!,#REF!,#REF!,Scotland!AY524,Southern!AY524,#REF!)</f>
        <v>2.0576989492834424E-3</v>
      </c>
      <c r="BA524" s="34" t="str">
        <f t="shared" ca="1" si="38"/>
        <v>LicenseeSelect</v>
      </c>
      <c r="BB524" s="34" t="str">
        <f t="shared" si="178"/>
        <v>Variable policy</v>
      </c>
      <c r="BC524" s="34" t="str">
        <f t="shared" si="183"/>
        <v>Tax</v>
      </c>
    </row>
    <row r="525" spans="2:55" x14ac:dyDescent="0.35">
      <c r="E525" s="33" t="s">
        <v>115</v>
      </c>
      <c r="G525" s="33" t="s">
        <v>109</v>
      </c>
      <c r="H525" s="33" t="s">
        <v>116</v>
      </c>
      <c r="AU525" s="141">
        <f>CHOOSE(UserInterface!$C$22,#REF!,#REF!,#REF!,#REF!,#REF!,Scotland!AU525,Southern!AU525,#REF!)</f>
        <v>0.34534530932312468</v>
      </c>
      <c r="AV525" s="21">
        <f>CHOOSE(UserInterface!$C$22,#REF!,#REF!,#REF!,#REF!,#REF!,Scotland!AV525,Southern!AV525,#REF!)</f>
        <v>0.35172599517235781</v>
      </c>
      <c r="AW525" s="21">
        <f>CHOOSE(UserInterface!$C$22,#REF!,#REF!,#REF!,#REF!,#REF!,Scotland!AW525,Southern!AW525,#REF!)</f>
        <v>0.34065046551220723</v>
      </c>
      <c r="AX525" s="21">
        <f>CHOOSE(UserInterface!$C$22,#REF!,#REF!,#REF!,#REF!,#REF!,Scotland!AX525,Southern!AX525,#REF!)</f>
        <v>0.34337430315509987</v>
      </c>
      <c r="AY525" s="21">
        <f>CHOOSE(UserInterface!$C$22,#REF!,#REF!,#REF!,#REF!,#REF!,Scotland!AY525,Southern!AY525,#REF!)</f>
        <v>0.34916832967707528</v>
      </c>
      <c r="BA525" s="34" t="str">
        <f t="shared" ca="1" si="38"/>
        <v>LicenseeSelect</v>
      </c>
      <c r="BB525" s="34" t="str">
        <f t="shared" si="178"/>
        <v>Variable policy</v>
      </c>
      <c r="BC525" s="34" t="str">
        <f t="shared" si="183"/>
        <v>Tax</v>
      </c>
    </row>
    <row r="526" spans="2:55" x14ac:dyDescent="0.35">
      <c r="E526" s="33" t="s">
        <v>119</v>
      </c>
      <c r="G526" s="33" t="s">
        <v>109</v>
      </c>
      <c r="H526" s="33" t="s">
        <v>120</v>
      </c>
      <c r="AU526" s="141">
        <f>CHOOSE(UserInterface!$C$22,#REF!,#REF!,#REF!,#REF!,#REF!,Scotland!AU526,Southern!AU526,#REF!)</f>
        <v>5.6027900865573861E-3</v>
      </c>
      <c r="AV526" s="21">
        <f>CHOOSE(UserInterface!$C$22,#REF!,#REF!,#REF!,#REF!,#REF!,Scotland!AV526,Southern!AV526,#REF!)</f>
        <v>5.0010266472562291E-3</v>
      </c>
      <c r="AW526" s="21">
        <f>CHOOSE(UserInterface!$C$22,#REF!,#REF!,#REF!,#REF!,#REF!,Scotland!AW526,Southern!AW526,#REF!)</f>
        <v>6.9576753718335067E-3</v>
      </c>
      <c r="AX526" s="21">
        <f>CHOOSE(UserInterface!$C$22,#REF!,#REF!,#REF!,#REF!,#REF!,Scotland!AX526,Southern!AX526,#REF!)</f>
        <v>5.3157505082448734E-3</v>
      </c>
      <c r="AY526" s="21">
        <f>CHOOSE(UserInterface!$C$22,#REF!,#REF!,#REF!,#REF!,#REF!,Scotland!AY526,Southern!AY526,#REF!)</f>
        <v>4.972693850937333E-3</v>
      </c>
      <c r="BA526" s="34" t="str">
        <f t="shared" ca="1" si="38"/>
        <v>LicenseeSelect</v>
      </c>
      <c r="BB526" s="34" t="str">
        <f t="shared" si="178"/>
        <v>Variable policy</v>
      </c>
      <c r="BC526" s="34" t="str">
        <f t="shared" si="183"/>
        <v>Tax</v>
      </c>
    </row>
    <row r="527" spans="2:55" x14ac:dyDescent="0.35">
      <c r="E527" s="33" t="s">
        <v>117</v>
      </c>
      <c r="G527" s="33" t="s">
        <v>109</v>
      </c>
      <c r="H527" s="33" t="s">
        <v>118</v>
      </c>
      <c r="AU527" s="141">
        <f>CHOOSE(UserInterface!$C$22,#REF!,#REF!,#REF!,#REF!,#REF!,Scotland!AU527,Southern!AU527,#REF!)</f>
        <v>0.43219445059082356</v>
      </c>
      <c r="AV527" s="21">
        <f>CHOOSE(UserInterface!$C$22,#REF!,#REF!,#REF!,#REF!,#REF!,Scotland!AV527,Southern!AV527,#REF!)</f>
        <v>0.4091945541687223</v>
      </c>
      <c r="AW527" s="21">
        <f>CHOOSE(UserInterface!$C$22,#REF!,#REF!,#REF!,#REF!,#REF!,Scotland!AW527,Southern!AW527,#REF!)</f>
        <v>0.41015874772673477</v>
      </c>
      <c r="AX527" s="21">
        <f>CHOOSE(UserInterface!$C$22,#REF!,#REF!,#REF!,#REF!,#REF!,Scotland!AX527,Southern!AX527,#REF!)</f>
        <v>0.44670656071327663</v>
      </c>
      <c r="AY527" s="21">
        <f>CHOOSE(UserInterface!$C$22,#REF!,#REF!,#REF!,#REF!,#REF!,Scotland!AY527,Southern!AY527,#REF!)</f>
        <v>0.4611043407815919</v>
      </c>
      <c r="BA527" s="34" t="str">
        <f t="shared" ca="1" si="38"/>
        <v>LicenseeSelect</v>
      </c>
      <c r="BB527" s="34" t="str">
        <f t="shared" si="178"/>
        <v>Variable policy</v>
      </c>
      <c r="BC527" s="34" t="str">
        <f t="shared" si="183"/>
        <v>Tax</v>
      </c>
    </row>
    <row r="528" spans="2:55" x14ac:dyDescent="0.35"/>
    <row r="529" spans="1:56" ht="17.5" thickBot="1" x14ac:dyDescent="0.45">
      <c r="A529"/>
      <c r="B529" s="15" t="s">
        <v>609</v>
      </c>
      <c r="E529"/>
      <c r="AT529" s="61"/>
      <c r="AU529"/>
      <c r="AV529"/>
      <c r="AW529"/>
      <c r="AX529"/>
      <c r="AY529"/>
    </row>
    <row r="530" spans="1:56" ht="16.5" thickTop="1" x14ac:dyDescent="0.35">
      <c r="A530"/>
      <c r="B530"/>
      <c r="E530" t="s">
        <v>515</v>
      </c>
      <c r="G530" s="33" t="s">
        <v>77</v>
      </c>
      <c r="AT530" s="61"/>
      <c r="AU530"/>
      <c r="AV530" s="26">
        <f>CHOOSE(UserInterface!$C$22,#REF!,#REF!,#REF!,#REF!,#REF!,Scotland!AV530,Southern!AV530,#REF!)</f>
        <v>0</v>
      </c>
      <c r="AW530" s="26">
        <f>CHOOSE(UserInterface!$C$22,#REF!,#REF!,#REF!,#REF!,#REF!,Scotland!AW530,Southern!AW530,#REF!)</f>
        <v>0</v>
      </c>
      <c r="AX530" s="26">
        <f>CHOOSE(UserInterface!$C$22,#REF!,#REF!,#REF!,#REF!,#REF!,Scotland!AX530,Southern!AX530,#REF!)</f>
        <v>0</v>
      </c>
      <c r="AY530" s="26">
        <f>CHOOSE(UserInterface!$C$22,#REF!,#REF!,#REF!,#REF!,#REF!,Scotland!AY530,Southern!AY530,#REF!)</f>
        <v>0</v>
      </c>
      <c r="BA530" s="34" t="str">
        <f t="shared" ca="1" si="24"/>
        <v>LicenseeSelect</v>
      </c>
      <c r="BB530" s="34" t="str">
        <f t="shared" ref="BB530:BB531" si="184">$A$500</f>
        <v>Variable policy</v>
      </c>
      <c r="BC530" s="34" t="str">
        <f>$B$529</f>
        <v>Forecasting penalties</v>
      </c>
    </row>
    <row r="531" spans="1:56" x14ac:dyDescent="0.35">
      <c r="A531"/>
      <c r="B531"/>
      <c r="E531" t="s">
        <v>516</v>
      </c>
      <c r="G531" s="33" t="s">
        <v>77</v>
      </c>
      <c r="AT531" s="61"/>
      <c r="AU531"/>
      <c r="AV531" s="26">
        <f>CHOOSE(UserInterface!$C$22,#REF!,#REF!,#REF!,#REF!,#REF!,Scotland!AV531,Southern!AV531,#REF!)</f>
        <v>0</v>
      </c>
      <c r="AW531" s="26">
        <f>CHOOSE(UserInterface!$C$22,#REF!,#REF!,#REF!,#REF!,#REF!,Scotland!AW531,Southern!AW531,#REF!)</f>
        <v>0</v>
      </c>
      <c r="AX531" s="26">
        <f>CHOOSE(UserInterface!$C$22,#REF!,#REF!,#REF!,#REF!,#REF!,Scotland!AX531,Southern!AX531,#REF!)</f>
        <v>0</v>
      </c>
      <c r="AY531" s="26">
        <f>CHOOSE(UserInterface!$C$22,#REF!,#REF!,#REF!,#REF!,#REF!,Scotland!AY531,Southern!AY531,#REF!)</f>
        <v>0</v>
      </c>
      <c r="BA531" s="34" t="str">
        <f t="shared" ca="1" si="24"/>
        <v>LicenseeSelect</v>
      </c>
      <c r="BB531" s="34" t="str">
        <f t="shared" si="184"/>
        <v>Variable policy</v>
      </c>
      <c r="BC531" s="34" t="str">
        <f>$B$529</f>
        <v>Forecasting penalties</v>
      </c>
    </row>
    <row r="532" spans="1:56" customFormat="1" ht="14.5" x14ac:dyDescent="0.35">
      <c r="AT532" s="61"/>
      <c r="BA532" s="34"/>
    </row>
    <row r="533" spans="1:56" customFormat="1" ht="20" collapsed="1" thickBot="1" x14ac:dyDescent="0.5">
      <c r="A533" s="13" t="s">
        <v>845</v>
      </c>
      <c r="AT533" s="61"/>
      <c r="BA533" s="34"/>
      <c r="BB533" s="34"/>
      <c r="BC533" s="34"/>
    </row>
    <row r="534" spans="1:56" ht="18" thickTop="1" thickBot="1" x14ac:dyDescent="0.4">
      <c r="B534" s="8" t="s">
        <v>226</v>
      </c>
    </row>
    <row r="535" spans="1:56" ht="17" thickTop="1" thickBot="1" x14ac:dyDescent="0.4">
      <c r="C535" s="9" t="s">
        <v>226</v>
      </c>
    </row>
    <row r="536" spans="1:56" x14ac:dyDescent="0.35">
      <c r="E536" s="33" t="s">
        <v>223</v>
      </c>
      <c r="F536" s="33" t="s">
        <v>185</v>
      </c>
      <c r="G536" s="33" t="s">
        <v>109</v>
      </c>
      <c r="H536" s="33" t="s">
        <v>224</v>
      </c>
      <c r="I536" s="23">
        <f>CHOOSE(UserInterface!$C$22,#REF!,#REF!,#REF!,#REF!,#REF!,Scotland!I536,Southern!I536,#REF!)</f>
        <v>0.6</v>
      </c>
      <c r="BA536" s="34" t="str">
        <f t="shared" ref="BA536:BA548" ca="1" si="185">$A$1</f>
        <v>LicenseeSelect</v>
      </c>
      <c r="BB536" s="34" t="str">
        <f t="shared" ref="BB536:BB548" si="186">$A$533</f>
        <v>Fixed policy</v>
      </c>
      <c r="BC536" s="34" t="str">
        <f t="shared" ref="BC536:BC548" si="187">$B$534</f>
        <v>Finance</v>
      </c>
      <c r="BD536" s="34" t="str">
        <f t="shared" ref="BD536:BD542" si="188">$C$535</f>
        <v>Finance</v>
      </c>
    </row>
    <row r="537" spans="1:56" x14ac:dyDescent="0.35">
      <c r="E537" s="33" t="s">
        <v>227</v>
      </c>
      <c r="G537" s="33" t="s">
        <v>109</v>
      </c>
      <c r="AU537" s="140">
        <f>CHOOSE(UserInterface!$C$22,#REF!,#REF!,#REF!,#REF!,#REF!,Scotland!AU537,Southern!AU537,#REF!)</f>
        <v>0</v>
      </c>
      <c r="AV537" s="23">
        <f>CHOOSE(UserInterface!$C$22,#REF!,#REF!,#REF!,#REF!,#REF!,Scotland!AV537,Southern!AV537,#REF!)</f>
        <v>0</v>
      </c>
      <c r="AW537" s="23">
        <f>CHOOSE(UserInterface!$C$22,#REF!,#REF!,#REF!,#REF!,#REF!,Scotland!AW537,Southern!AW537,#REF!)</f>
        <v>0</v>
      </c>
      <c r="AX537" s="23">
        <f>CHOOSE(UserInterface!$C$22,#REF!,#REF!,#REF!,#REF!,#REF!,Scotland!AX537,Southern!AX537,#REF!)</f>
        <v>0</v>
      </c>
      <c r="AY537" s="23">
        <f>CHOOSE(UserInterface!$C$22,#REF!,#REF!,#REF!,#REF!,#REF!,Scotland!AY537,Southern!AY537,#REF!)</f>
        <v>0</v>
      </c>
      <c r="BA537" s="34" t="str">
        <f t="shared" ref="BA537:BA540" ca="1" si="189">$A$1</f>
        <v>LicenseeSelect</v>
      </c>
      <c r="BB537" s="34" t="str">
        <f t="shared" ref="BB537:BB542" si="190">$A$533</f>
        <v>Fixed policy</v>
      </c>
      <c r="BC537" s="34" t="str">
        <f t="shared" ref="BC537:BC542" si="191">$B$534</f>
        <v>Finance</v>
      </c>
      <c r="BD537" s="34" t="str">
        <f t="shared" si="188"/>
        <v>Finance</v>
      </c>
    </row>
    <row r="538" spans="1:56" x14ac:dyDescent="0.35">
      <c r="E538" s="33" t="s">
        <v>228</v>
      </c>
      <c r="G538" s="33" t="s">
        <v>109</v>
      </c>
      <c r="AU538" s="140">
        <f>CHOOSE(UserInterface!$C$22,#REF!,#REF!,#REF!,#REF!,#REF!,Scotland!AU538,Southern!AU538,#REF!)</f>
        <v>0.05</v>
      </c>
      <c r="AV538" s="23">
        <f>CHOOSE(UserInterface!$C$22,#REF!,#REF!,#REF!,#REF!,#REF!,Scotland!AV538,Southern!AV538,#REF!)</f>
        <v>0.05</v>
      </c>
      <c r="AW538" s="23">
        <f>CHOOSE(UserInterface!$C$22,#REF!,#REF!,#REF!,#REF!,#REF!,Scotland!AW538,Southern!AW538,#REF!)</f>
        <v>0.05</v>
      </c>
      <c r="AX538" s="23">
        <f>CHOOSE(UserInterface!$C$22,#REF!,#REF!,#REF!,#REF!,#REF!,Scotland!AX538,Southern!AX538,#REF!)</f>
        <v>0.05</v>
      </c>
      <c r="AY538" s="23">
        <f>CHOOSE(UserInterface!$C$22,#REF!,#REF!,#REF!,#REF!,#REF!,Scotland!AY538,Southern!AY538,#REF!)</f>
        <v>0.05</v>
      </c>
      <c r="BA538" s="34" t="str">
        <f t="shared" ca="1" si="189"/>
        <v>LicenseeSelect</v>
      </c>
      <c r="BB538" s="34" t="str">
        <f t="shared" si="190"/>
        <v>Fixed policy</v>
      </c>
      <c r="BC538" s="34" t="str">
        <f t="shared" si="191"/>
        <v>Finance</v>
      </c>
      <c r="BD538" s="34" t="str">
        <f t="shared" si="188"/>
        <v>Finance</v>
      </c>
    </row>
    <row r="539" spans="1:56" x14ac:dyDescent="0.35">
      <c r="E539" s="33" t="s">
        <v>816</v>
      </c>
      <c r="G539" s="33" t="s">
        <v>109</v>
      </c>
      <c r="AU539" s="140">
        <f>CHOOSE(UserInterface!$C$22,#REF!,#REF!,#REF!,#REF!,#REF!,Scotland!AU539,Southern!AU539,#REF!)</f>
        <v>0.03</v>
      </c>
      <c r="AV539" s="23">
        <f>CHOOSE(UserInterface!$C$22,#REF!,#REF!,#REF!,#REF!,#REF!,Scotland!AV539,Southern!AV539,#REF!)</f>
        <v>0.03</v>
      </c>
      <c r="AW539" s="23">
        <f>CHOOSE(UserInterface!$C$22,#REF!,#REF!,#REF!,#REF!,#REF!,Scotland!AW539,Southern!AW539,#REF!)</f>
        <v>0.03</v>
      </c>
      <c r="AX539" s="23">
        <f>CHOOSE(UserInterface!$C$22,#REF!,#REF!,#REF!,#REF!,#REF!,Scotland!AX539,Southern!AX539,#REF!)</f>
        <v>0.03</v>
      </c>
      <c r="AY539" s="23">
        <f>CHOOSE(UserInterface!$C$22,#REF!,#REF!,#REF!,#REF!,#REF!,Scotland!AY539,Southern!AY539,#REF!)</f>
        <v>0.03</v>
      </c>
      <c r="BA539" s="34" t="str">
        <f t="shared" ca="1" si="189"/>
        <v>LicenseeSelect</v>
      </c>
      <c r="BB539" s="34" t="str">
        <f t="shared" si="190"/>
        <v>Fixed policy</v>
      </c>
      <c r="BC539" s="34" t="str">
        <f t="shared" si="191"/>
        <v>Finance</v>
      </c>
      <c r="BD539" s="34" t="str">
        <f t="shared" si="188"/>
        <v>Finance</v>
      </c>
    </row>
    <row r="540" spans="1:56" x14ac:dyDescent="0.35">
      <c r="E540" s="33" t="s">
        <v>229</v>
      </c>
      <c r="G540" s="33" t="s">
        <v>109</v>
      </c>
      <c r="AU540" s="140">
        <f>CHOOSE(UserInterface!$C$22,#REF!,#REF!,#REF!,#REF!,#REF!,Scotland!AU540,Southern!AU540,#REF!)</f>
        <v>0.3</v>
      </c>
      <c r="AV540" s="23">
        <f>CHOOSE(UserInterface!$C$22,#REF!,#REF!,#REF!,#REF!,#REF!,Scotland!AV540,Southern!AV540,#REF!)</f>
        <v>0.3</v>
      </c>
      <c r="AW540" s="23">
        <f>CHOOSE(UserInterface!$C$22,#REF!,#REF!,#REF!,#REF!,#REF!,Scotland!AW540,Southern!AW540,#REF!)</f>
        <v>0.3</v>
      </c>
      <c r="AX540" s="23">
        <f>CHOOSE(UserInterface!$C$22,#REF!,#REF!,#REF!,#REF!,#REF!,Scotland!AX540,Southern!AX540,#REF!)</f>
        <v>0.3</v>
      </c>
      <c r="AY540" s="23">
        <f>CHOOSE(UserInterface!$C$22,#REF!,#REF!,#REF!,#REF!,#REF!,Scotland!AY540,Southern!AY540,#REF!)</f>
        <v>0.3</v>
      </c>
      <c r="BA540" s="34" t="str">
        <f t="shared" ca="1" si="189"/>
        <v>LicenseeSelect</v>
      </c>
      <c r="BB540" s="34" t="str">
        <f t="shared" si="190"/>
        <v>Fixed policy</v>
      </c>
      <c r="BC540" s="34" t="str">
        <f t="shared" si="191"/>
        <v>Finance</v>
      </c>
      <c r="BD540" s="34" t="str">
        <f t="shared" si="188"/>
        <v>Finance</v>
      </c>
    </row>
    <row r="541" spans="1:56" x14ac:dyDescent="0.35">
      <c r="E541" s="33" t="s">
        <v>394</v>
      </c>
      <c r="G541" s="33" t="str">
        <f>nominal</f>
        <v>£m nominal</v>
      </c>
      <c r="I541" s="22">
        <f>CHOOSE(UserInterface!$C$22,#REF!,#REF!,#REF!,#REF!,#REF!,Scotland!I541,Southern!I541,#REF!)</f>
        <v>5</v>
      </c>
      <c r="AU541"/>
      <c r="AV541"/>
      <c r="AW541"/>
      <c r="AX541"/>
      <c r="AY541"/>
      <c r="BA541" s="34" t="str">
        <f t="shared" ref="BA541:BA542" ca="1" si="192">$A$1</f>
        <v>LicenseeSelect</v>
      </c>
      <c r="BB541" s="34" t="str">
        <f t="shared" si="190"/>
        <v>Fixed policy</v>
      </c>
      <c r="BC541" s="34" t="str">
        <f t="shared" si="191"/>
        <v>Finance</v>
      </c>
      <c r="BD541" s="34" t="str">
        <f t="shared" si="188"/>
        <v>Finance</v>
      </c>
    </row>
    <row r="542" spans="1:56" x14ac:dyDescent="0.35">
      <c r="E542" s="33" t="s">
        <v>393</v>
      </c>
      <c r="G542" s="33" t="s">
        <v>109</v>
      </c>
      <c r="I542" s="23">
        <f>CHOOSE(UserInterface!$C$22,#REF!,#REF!,#REF!,#REF!,#REF!,Scotland!I542,Southern!I542,#REF!)</f>
        <v>0.5</v>
      </c>
      <c r="AU542"/>
      <c r="AV542"/>
      <c r="AW542"/>
      <c r="AX542"/>
      <c r="AY542"/>
      <c r="BA542" s="34" t="str">
        <f t="shared" ca="1" si="192"/>
        <v>LicenseeSelect</v>
      </c>
      <c r="BB542" s="34" t="str">
        <f t="shared" si="190"/>
        <v>Fixed policy</v>
      </c>
      <c r="BC542" s="34" t="str">
        <f t="shared" si="191"/>
        <v>Finance</v>
      </c>
      <c r="BD542" s="34" t="str">
        <f t="shared" si="188"/>
        <v>Finance</v>
      </c>
    </row>
    <row r="543" spans="1:56" x14ac:dyDescent="0.35"/>
    <row r="544" spans="1:56" ht="16.5" thickBot="1" x14ac:dyDescent="0.4">
      <c r="C544" s="9" t="s">
        <v>218</v>
      </c>
    </row>
    <row r="545" spans="2:56" x14ac:dyDescent="0.35">
      <c r="E545" s="33" t="s">
        <v>219</v>
      </c>
      <c r="G545" s="33" t="s">
        <v>186</v>
      </c>
      <c r="H545" s="33" t="s">
        <v>220</v>
      </c>
      <c r="AU545" s="140">
        <f>CHOOSE(UserInterface!$C$22,#REF!,#REF!,#REF!,#REF!,#REF!,Scotland!AU545,Southern!AU545,#REF!)</f>
        <v>0</v>
      </c>
      <c r="AV545" s="23">
        <f>CHOOSE(UserInterface!$C$22,#REF!,#REF!,#REF!,#REF!,#REF!,Scotland!AV545,Southern!AV545,#REF!)</f>
        <v>0</v>
      </c>
      <c r="AW545" s="23">
        <f>CHOOSE(UserInterface!$C$22,#REF!,#REF!,#REF!,#REF!,#REF!,Scotland!AW545,Southern!AW545,#REF!)</f>
        <v>0</v>
      </c>
      <c r="AX545" s="23">
        <f>CHOOSE(UserInterface!$C$22,#REF!,#REF!,#REF!,#REF!,#REF!,Scotland!AX545,Southern!AX545,#REF!)</f>
        <v>0</v>
      </c>
      <c r="AY545" s="23">
        <f>CHOOSE(UserInterface!$C$22,#REF!,#REF!,#REF!,#REF!,#REF!,Scotland!AY545,Southern!AY545,#REF!)</f>
        <v>0</v>
      </c>
      <c r="BA545" s="34" t="str">
        <f t="shared" ca="1" si="185"/>
        <v>LicenseeSelect</v>
      </c>
      <c r="BB545" s="34" t="str">
        <f>$A$533</f>
        <v>Fixed policy</v>
      </c>
      <c r="BC545" s="34" t="str">
        <f>$B$534</f>
        <v>Finance</v>
      </c>
      <c r="BD545" s="34" t="str">
        <f>$C$544</f>
        <v>Allowed return on capital</v>
      </c>
    </row>
    <row r="546" spans="2:56" x14ac:dyDescent="0.35">
      <c r="E546" s="33" t="s">
        <v>221</v>
      </c>
      <c r="G546" s="33" t="s">
        <v>77</v>
      </c>
      <c r="AU546" s="146">
        <f>CHOOSE(UserInterface!$C$22,#REF!,#REF!,#REF!,#REF!,#REF!,Scotland!AU546,Southern!AU546,#REF!)</f>
        <v>0.83</v>
      </c>
      <c r="AV546" s="29">
        <f>CHOOSE(UserInterface!$C$22,#REF!,#REF!,#REF!,#REF!,#REF!,Scotland!AV546,Southern!AV546,#REF!)</f>
        <v>0.83</v>
      </c>
      <c r="AW546" s="29">
        <f>CHOOSE(UserInterface!$C$22,#REF!,#REF!,#REF!,#REF!,#REF!,Scotland!AW546,Southern!AW546,#REF!)</f>
        <v>0.83</v>
      </c>
      <c r="AX546" s="29">
        <f>CHOOSE(UserInterface!$C$22,#REF!,#REF!,#REF!,#REF!,#REF!,Scotland!AX546,Southern!AX546,#REF!)</f>
        <v>0.83</v>
      </c>
      <c r="AY546" s="29">
        <f>CHOOSE(UserInterface!$C$22,#REF!,#REF!,#REF!,#REF!,#REF!,Scotland!AY546,Southern!AY546,#REF!)</f>
        <v>0.83</v>
      </c>
      <c r="BA546" s="34" t="str">
        <f t="shared" ca="1" si="185"/>
        <v>LicenseeSelect</v>
      </c>
      <c r="BB546" s="34" t="str">
        <f t="shared" si="186"/>
        <v>Fixed policy</v>
      </c>
      <c r="BC546" s="34" t="str">
        <f t="shared" si="187"/>
        <v>Finance</v>
      </c>
      <c r="BD546" s="34" t="str">
        <f t="shared" ref="BD546:BD548" si="193">$C$544</f>
        <v>Allowed return on capital</v>
      </c>
    </row>
    <row r="547" spans="2:56" x14ac:dyDescent="0.35">
      <c r="E547" s="33" t="s">
        <v>222</v>
      </c>
      <c r="G547" s="33" t="s">
        <v>109</v>
      </c>
      <c r="AU547" s="140">
        <f>CHOOSE(UserInterface!$C$22,#REF!,#REF!,#REF!,#REF!,#REF!,Scotland!AU547,Southern!AU547,#REF!)</f>
        <v>6.9000000000000006E-2</v>
      </c>
      <c r="AV547" s="23">
        <f>CHOOSE(UserInterface!$C$22,#REF!,#REF!,#REF!,#REF!,#REF!,Scotland!AV547,Southern!AV547,#REF!)</f>
        <v>6.9000000000000006E-2</v>
      </c>
      <c r="AW547" s="23">
        <f>CHOOSE(UserInterface!$C$22,#REF!,#REF!,#REF!,#REF!,#REF!,Scotland!AW547,Southern!AW547,#REF!)</f>
        <v>6.9000000000000006E-2</v>
      </c>
      <c r="AX547" s="23">
        <f>CHOOSE(UserInterface!$C$22,#REF!,#REF!,#REF!,#REF!,#REF!,Scotland!AX547,Southern!AX547,#REF!)</f>
        <v>6.9000000000000006E-2</v>
      </c>
      <c r="AY547" s="23">
        <f>CHOOSE(UserInterface!$C$22,#REF!,#REF!,#REF!,#REF!,#REF!,Scotland!AY547,Southern!AY547,#REF!)</f>
        <v>6.9000000000000006E-2</v>
      </c>
      <c r="BA547" s="34" t="str">
        <f t="shared" ca="1" si="185"/>
        <v>LicenseeSelect</v>
      </c>
      <c r="BB547" s="34" t="str">
        <f t="shared" si="186"/>
        <v>Fixed policy</v>
      </c>
      <c r="BC547" s="34" t="str">
        <f t="shared" si="187"/>
        <v>Finance</v>
      </c>
      <c r="BD547" s="34" t="str">
        <f t="shared" si="193"/>
        <v>Allowed return on capital</v>
      </c>
    </row>
    <row r="548" spans="2:56" x14ac:dyDescent="0.35">
      <c r="E548" s="33" t="s">
        <v>225</v>
      </c>
      <c r="G548" s="33" t="s">
        <v>109</v>
      </c>
      <c r="AU548" s="140">
        <f>CHOOSE(UserInterface!$C$22,#REF!,#REF!,#REF!,#REF!,#REF!,Scotland!AU548,Southern!AU548,#REF!)</f>
        <v>0.6</v>
      </c>
      <c r="AV548" s="23">
        <f>CHOOSE(UserInterface!$C$22,#REF!,#REF!,#REF!,#REF!,#REF!,Scotland!AV548,Southern!AV548,#REF!)</f>
        <v>0.6</v>
      </c>
      <c r="AW548" s="23">
        <f>CHOOSE(UserInterface!$C$22,#REF!,#REF!,#REF!,#REF!,#REF!,Scotland!AW548,Southern!AW548,#REF!)</f>
        <v>0.6</v>
      </c>
      <c r="AX548" s="23">
        <f>CHOOSE(UserInterface!$C$22,#REF!,#REF!,#REF!,#REF!,#REF!,Scotland!AX548,Southern!AX548,#REF!)</f>
        <v>0.6</v>
      </c>
      <c r="AY548" s="23">
        <f>CHOOSE(UserInterface!$C$22,#REF!,#REF!,#REF!,#REF!,#REF!,Scotland!AY548,Southern!AY548,#REF!)</f>
        <v>0.6</v>
      </c>
      <c r="BA548" s="34" t="str">
        <f t="shared" ca="1" si="185"/>
        <v>LicenseeSelect</v>
      </c>
      <c r="BB548" s="34" t="str">
        <f t="shared" si="186"/>
        <v>Fixed policy</v>
      </c>
      <c r="BC548" s="34" t="str">
        <f t="shared" si="187"/>
        <v>Finance</v>
      </c>
      <c r="BD548" s="34" t="str">
        <f t="shared" si="193"/>
        <v>Allowed return on capital</v>
      </c>
    </row>
    <row r="549" spans="2:56" x14ac:dyDescent="0.35"/>
    <row r="550" spans="2:56" ht="17.5" thickBot="1" x14ac:dyDescent="0.4">
      <c r="B550" s="8" t="s">
        <v>475</v>
      </c>
    </row>
    <row r="551" spans="2:56" ht="16.5" thickTop="1" x14ac:dyDescent="0.35">
      <c r="E551" s="33" t="s">
        <v>182</v>
      </c>
      <c r="G551" s="33" t="s">
        <v>109</v>
      </c>
      <c r="AU551" s="140">
        <f>CHOOSE(UserInterface!$C$22,#REF!,#REF!,#REF!,#REF!,#REF!,Scotland!AU551,Southern!AU551,#REF!)</f>
        <v>0.6</v>
      </c>
      <c r="AV551" s="23">
        <f>CHOOSE(UserInterface!$C$22,#REF!,#REF!,#REF!,#REF!,#REF!,Scotland!AV551,Southern!AV551,#REF!)</f>
        <v>0.6</v>
      </c>
      <c r="AW551" s="23">
        <f>CHOOSE(UserInterface!$C$22,#REF!,#REF!,#REF!,#REF!,#REF!,Scotland!AW551,Southern!AW551,#REF!)</f>
        <v>0.6</v>
      </c>
      <c r="AX551" s="23">
        <f>CHOOSE(UserInterface!$C$22,#REF!,#REF!,#REF!,#REF!,#REF!,Scotland!AX551,Southern!AX551,#REF!)</f>
        <v>0.6</v>
      </c>
      <c r="AY551" s="23">
        <f>CHOOSE(UserInterface!$C$22,#REF!,#REF!,#REF!,#REF!,#REF!,Scotland!AY551,Southern!AY551,#REF!)</f>
        <v>0.6</v>
      </c>
      <c r="BA551" s="34" t="str">
        <f t="shared" ca="1" si="164"/>
        <v>LicenseeSelect</v>
      </c>
      <c r="BB551" s="34" t="str">
        <f t="shared" ref="BB551:BB553" si="194">$A$533</f>
        <v>Fixed policy</v>
      </c>
      <c r="BC551" s="34" t="str">
        <f>$B$550</f>
        <v>Tax</v>
      </c>
    </row>
    <row r="552" spans="2:56" x14ac:dyDescent="0.35">
      <c r="E552" s="33" t="s">
        <v>411</v>
      </c>
      <c r="G552" s="33" t="s">
        <v>109</v>
      </c>
      <c r="I552"/>
      <c r="AU552" s="140">
        <f>CHOOSE(UserInterface!$C$22,#REF!,#REF!,#REF!,#REF!,#REF!,Scotland!AU552,Southern!AU552,#REF!)</f>
        <v>1</v>
      </c>
      <c r="AV552" s="23">
        <f>CHOOSE(UserInterface!$C$22,#REF!,#REF!,#REF!,#REF!,#REF!,Scotland!AV552,Southern!AV552,#REF!)</f>
        <v>1</v>
      </c>
      <c r="AW552" s="23">
        <f>CHOOSE(UserInterface!$C$22,#REF!,#REF!,#REF!,#REF!,#REF!,Scotland!AW552,Southern!AW552,#REF!)</f>
        <v>1</v>
      </c>
      <c r="AX552" s="23">
        <f>CHOOSE(UserInterface!$C$22,#REF!,#REF!,#REF!,#REF!,#REF!,Scotland!AX552,Southern!AX552,#REF!)</f>
        <v>1</v>
      </c>
      <c r="AY552" s="23">
        <f>CHOOSE(UserInterface!$C$22,#REF!,#REF!,#REF!,#REF!,#REF!,Scotland!AY552,Southern!AY552,#REF!)</f>
        <v>1</v>
      </c>
      <c r="BA552" s="34" t="str">
        <f t="shared" ca="1" si="164"/>
        <v>LicenseeSelect</v>
      </c>
      <c r="BB552" s="34" t="str">
        <f t="shared" si="194"/>
        <v>Fixed policy</v>
      </c>
      <c r="BC552" s="34" t="str">
        <f t="shared" ref="BC552:BC553" si="195">$B$550</f>
        <v>Tax</v>
      </c>
    </row>
    <row r="553" spans="2:56" x14ac:dyDescent="0.35">
      <c r="E553" s="33" t="s">
        <v>812</v>
      </c>
      <c r="G553" s="33" t="s">
        <v>109</v>
      </c>
      <c r="I553"/>
      <c r="AU553" s="140">
        <f>CHOOSE(UserInterface!$C$22,#REF!,#REF!,#REF!,#REF!,#REF!,Scotland!AU553,Southern!AU553,#REF!)</f>
        <v>0.5</v>
      </c>
      <c r="AV553" s="23">
        <f>CHOOSE(UserInterface!$C$22,#REF!,#REF!,#REF!,#REF!,#REF!,Scotland!AV553,Southern!AV553,#REF!)</f>
        <v>0.5</v>
      </c>
      <c r="AW553" s="23">
        <f>CHOOSE(UserInterface!$C$22,#REF!,#REF!,#REF!,#REF!,#REF!,Scotland!AW553,Southern!AW553,#REF!)</f>
        <v>0.5</v>
      </c>
      <c r="AX553" s="23">
        <f>CHOOSE(UserInterface!$C$22,#REF!,#REF!,#REF!,#REF!,#REF!,Scotland!AX553,Southern!AX553,#REF!)</f>
        <v>0.5</v>
      </c>
      <c r="AY553" s="23">
        <f>CHOOSE(UserInterface!$C$22,#REF!,#REF!,#REF!,#REF!,#REF!,Scotland!AY553,Southern!AY553,#REF!)</f>
        <v>0.5</v>
      </c>
      <c r="BA553" s="34" t="str">
        <f t="shared" ca="1" si="164"/>
        <v>LicenseeSelect</v>
      </c>
      <c r="BB553" s="34" t="str">
        <f t="shared" si="194"/>
        <v>Fixed policy</v>
      </c>
      <c r="BC553" s="34" t="str">
        <f t="shared" si="195"/>
        <v>Tax</v>
      </c>
    </row>
    <row r="554" spans="2:56" customFormat="1" ht="14.5" x14ac:dyDescent="0.35">
      <c r="AT554" s="61"/>
    </row>
    <row r="555" spans="2:56" customFormat="1" ht="17.5" thickBot="1" x14ac:dyDescent="0.45">
      <c r="B555" s="15" t="s">
        <v>230</v>
      </c>
      <c r="AT555" s="61"/>
    </row>
    <row r="556" spans="2:56" ht="16.5" thickTop="1" x14ac:dyDescent="0.35">
      <c r="E556" s="33" t="s">
        <v>417</v>
      </c>
      <c r="G556" s="33" t="s">
        <v>109</v>
      </c>
      <c r="I556" s="23">
        <f>CHOOSE(UserInterface!$C$22,#REF!,#REF!,#REF!,#REF!,#REF!,Scotland!I556,Southern!I556,#REF!)</f>
        <v>0.5</v>
      </c>
      <c r="BA556" s="34" t="str">
        <f t="shared" ref="BA556:BA565" ca="1" si="196">$A$1</f>
        <v>LicenseeSelect</v>
      </c>
      <c r="BB556" s="34" t="str">
        <f t="shared" ref="BB556:BB559" si="197">$A$533</f>
        <v>Fixed policy</v>
      </c>
      <c r="BC556" s="34" t="str">
        <f>$B$555</f>
        <v>TIM and capitalisation</v>
      </c>
      <c r="BD556"/>
    </row>
    <row r="557" spans="2:56" x14ac:dyDescent="0.35">
      <c r="E557" s="33" t="s">
        <v>10</v>
      </c>
      <c r="G557" s="33" t="s">
        <v>109</v>
      </c>
      <c r="AU557" s="140">
        <f>CHOOSE(UserInterface!$C$22,#REF!,#REF!,#REF!,#REF!,#REF!,Scotland!AU557,Southern!AU557,#REF!)</f>
        <v>0.31</v>
      </c>
      <c r="AV557" s="23">
        <f>CHOOSE(UserInterface!$C$22,#REF!,#REF!,#REF!,#REF!,#REF!,Scotland!AV557,Southern!AV557,#REF!)</f>
        <v>0.31</v>
      </c>
      <c r="AW557" s="23">
        <f>CHOOSE(UserInterface!$C$22,#REF!,#REF!,#REF!,#REF!,#REF!,Scotland!AW557,Southern!AW557,#REF!)</f>
        <v>0.31</v>
      </c>
      <c r="AX557" s="23">
        <f>CHOOSE(UserInterface!$C$22,#REF!,#REF!,#REF!,#REF!,#REF!,Scotland!AX557,Southern!AX557,#REF!)</f>
        <v>0.31</v>
      </c>
      <c r="AY557" s="23">
        <f>CHOOSE(UserInterface!$C$22,#REF!,#REF!,#REF!,#REF!,#REF!,Scotland!AY557,Southern!AY557,#REF!)</f>
        <v>0.31</v>
      </c>
      <c r="BA557" s="34" t="str">
        <f t="shared" ca="1" si="196"/>
        <v>LicenseeSelect</v>
      </c>
      <c r="BB557" s="34" t="str">
        <f t="shared" si="197"/>
        <v>Fixed policy</v>
      </c>
      <c r="BC557" s="34" t="str">
        <f>$B$555</f>
        <v>TIM and capitalisation</v>
      </c>
      <c r="BD557"/>
    </row>
    <row r="558" spans="2:56" x14ac:dyDescent="0.35">
      <c r="E558" s="33" t="s">
        <v>21</v>
      </c>
      <c r="G558" s="33" t="s">
        <v>109</v>
      </c>
      <c r="AU558" s="140">
        <f>CHOOSE(UserInterface!$C$22,#REF!,#REF!,#REF!,#REF!,#REF!,Scotland!AU558,Southern!AU558,#REF!)</f>
        <v>0.7</v>
      </c>
      <c r="AV558" s="23">
        <f>CHOOSE(UserInterface!$C$22,#REF!,#REF!,#REF!,#REF!,#REF!,Scotland!AV558,Southern!AV558,#REF!)</f>
        <v>0.7</v>
      </c>
      <c r="AW558" s="23">
        <f>CHOOSE(UserInterface!$C$22,#REF!,#REF!,#REF!,#REF!,#REF!,Scotland!AW558,Southern!AW558,#REF!)</f>
        <v>0.7</v>
      </c>
      <c r="AX558" s="23">
        <f>CHOOSE(UserInterface!$C$22,#REF!,#REF!,#REF!,#REF!,#REF!,Scotland!AX558,Southern!AX558,#REF!)</f>
        <v>0.7</v>
      </c>
      <c r="AY558" s="23">
        <f>CHOOSE(UserInterface!$C$22,#REF!,#REF!,#REF!,#REF!,#REF!,Scotland!AY558,Southern!AY558,#REF!)</f>
        <v>0.7</v>
      </c>
      <c r="BA558" s="34" t="str">
        <f t="shared" ca="1" si="196"/>
        <v>LicenseeSelect</v>
      </c>
      <c r="BB558" s="34" t="str">
        <f t="shared" si="197"/>
        <v>Fixed policy</v>
      </c>
      <c r="BC558" s="34" t="str">
        <f>$B$555</f>
        <v>TIM and capitalisation</v>
      </c>
      <c r="BD558"/>
    </row>
    <row r="559" spans="2:56" x14ac:dyDescent="0.35">
      <c r="E559" s="33" t="s">
        <v>416</v>
      </c>
      <c r="G559" s="33" t="s">
        <v>109</v>
      </c>
      <c r="AU559" s="140">
        <f>CHOOSE(UserInterface!$C$22,#REF!,#REF!,#REF!,#REF!,#REF!,Scotland!AU559,Southern!AU559,#REF!)</f>
        <v>1</v>
      </c>
      <c r="AV559" s="23">
        <f>CHOOSE(UserInterface!$C$22,#REF!,#REF!,#REF!,#REF!,#REF!,Scotland!AV559,Southern!AV559,#REF!)</f>
        <v>1</v>
      </c>
      <c r="AW559" s="23">
        <f>CHOOSE(UserInterface!$C$22,#REF!,#REF!,#REF!,#REF!,#REF!,Scotland!AW559,Southern!AW559,#REF!)</f>
        <v>1</v>
      </c>
      <c r="AX559" s="23">
        <f>CHOOSE(UserInterface!$C$22,#REF!,#REF!,#REF!,#REF!,#REF!,Scotland!AX559,Southern!AX559,#REF!)</f>
        <v>1</v>
      </c>
      <c r="AY559" s="23">
        <f>CHOOSE(UserInterface!$C$22,#REF!,#REF!,#REF!,#REF!,#REF!,Scotland!AY559,Southern!AY559,#REF!)</f>
        <v>1</v>
      </c>
      <c r="BA559" s="34" t="str">
        <f t="shared" ca="1" si="196"/>
        <v>LicenseeSelect</v>
      </c>
      <c r="BB559" s="34" t="str">
        <f t="shared" si="197"/>
        <v>Fixed policy</v>
      </c>
      <c r="BC559" s="34" t="str">
        <f>$B$555</f>
        <v>TIM and capitalisation</v>
      </c>
      <c r="BD559"/>
    </row>
    <row r="560" spans="2:56" x14ac:dyDescent="0.35"/>
    <row r="561" spans="1:56" ht="17.5" thickBot="1" x14ac:dyDescent="0.4">
      <c r="B561" s="8" t="s">
        <v>184</v>
      </c>
    </row>
    <row r="562" spans="1:56" customFormat="1" ht="15" thickTop="1" x14ac:dyDescent="0.35">
      <c r="E562" t="s">
        <v>652</v>
      </c>
      <c r="G562" s="33" t="s">
        <v>109</v>
      </c>
      <c r="I562" s="84">
        <f>CHOOSE(UserInterface!$C$22,#REF!,#REF!,#REF!,#REF!,#REF!,Scotland!I562,Southern!I562,#REF!)</f>
        <v>0.03</v>
      </c>
      <c r="AT562" s="61"/>
      <c r="BA562" s="34" t="str">
        <f t="shared" ca="1" si="196"/>
        <v>LicenseeSelect</v>
      </c>
      <c r="BB562" s="34" t="str">
        <f t="shared" ref="BB562:BB565" si="198">$A$533</f>
        <v>Fixed policy</v>
      </c>
      <c r="BC562" s="34" t="str">
        <f>$B$561</f>
        <v>Operational performance and return adjustment</v>
      </c>
    </row>
    <row r="563" spans="1:56" customFormat="1" ht="14.5" x14ac:dyDescent="0.35">
      <c r="E563" t="s">
        <v>653</v>
      </c>
      <c r="G563" s="33" t="s">
        <v>109</v>
      </c>
      <c r="I563" s="84">
        <f>CHOOSE(UserInterface!$C$22,#REF!,#REF!,#REF!,#REF!,#REF!,Scotland!I563,Southern!I563,#REF!)</f>
        <v>0.04</v>
      </c>
      <c r="AT563" s="61"/>
      <c r="BA563" s="34" t="str">
        <f t="shared" ca="1" si="196"/>
        <v>LicenseeSelect</v>
      </c>
      <c r="BB563" s="34" t="str">
        <f t="shared" si="198"/>
        <v>Fixed policy</v>
      </c>
      <c r="BC563" s="34" t="str">
        <f>$B$561</f>
        <v>Operational performance and return adjustment</v>
      </c>
    </row>
    <row r="564" spans="1:56" customFormat="1" ht="14.5" x14ac:dyDescent="0.35">
      <c r="E564" t="s">
        <v>654</v>
      </c>
      <c r="G564" s="33" t="s">
        <v>109</v>
      </c>
      <c r="I564" s="84">
        <f>CHOOSE(UserInterface!$C$22,#REF!,#REF!,#REF!,#REF!,#REF!,Scotland!I564,Southern!I564,#REF!)</f>
        <v>0.5</v>
      </c>
      <c r="AT564" s="61"/>
      <c r="BA564" s="34" t="str">
        <f t="shared" ca="1" si="196"/>
        <v>LicenseeSelect</v>
      </c>
      <c r="BB564" s="34" t="str">
        <f t="shared" si="198"/>
        <v>Fixed policy</v>
      </c>
      <c r="BC564" s="34" t="str">
        <f>$B$561</f>
        <v>Operational performance and return adjustment</v>
      </c>
    </row>
    <row r="565" spans="1:56" customFormat="1" ht="14.5" x14ac:dyDescent="0.35">
      <c r="E565" t="s">
        <v>655</v>
      </c>
      <c r="G565" s="33" t="s">
        <v>109</v>
      </c>
      <c r="I565" s="84">
        <f>CHOOSE(UserInterface!$C$22,#REF!,#REF!,#REF!,#REF!,#REF!,Scotland!I565,Southern!I565,#REF!)</f>
        <v>0.9</v>
      </c>
      <c r="AT565" s="61"/>
      <c r="BA565" s="34" t="str">
        <f t="shared" ca="1" si="196"/>
        <v>LicenseeSelect</v>
      </c>
      <c r="BB565" s="34" t="str">
        <f t="shared" si="198"/>
        <v>Fixed policy</v>
      </c>
      <c r="BC565" s="34" t="str">
        <f>$B$561</f>
        <v>Operational performance and return adjustment</v>
      </c>
    </row>
    <row r="566" spans="1:56" customFormat="1" ht="14.5" x14ac:dyDescent="0.35">
      <c r="AT566" s="61"/>
    </row>
    <row r="567" spans="1:56" ht="17.5" thickBot="1" x14ac:dyDescent="0.45">
      <c r="B567" s="123" t="s">
        <v>846</v>
      </c>
    </row>
    <row r="568" spans="1:56" ht="16.5" thickTop="1" x14ac:dyDescent="0.35">
      <c r="E568" s="33" t="s">
        <v>403</v>
      </c>
      <c r="G568" s="33" t="s">
        <v>109</v>
      </c>
      <c r="I568" s="23">
        <f>CHOOSE(UserInterface!$C$22,#REF!,#REF!,#REF!,#REF!,#REF!,Scotland!I568,Southern!I568,#REF!)</f>
        <v>1.1111111111111112</v>
      </c>
      <c r="BA568" s="34" t="str">
        <f t="shared" ref="BA568:BA573" ca="1" si="199">$A$1</f>
        <v>LicenseeSelect</v>
      </c>
      <c r="BB568" s="34" t="str">
        <f t="shared" ref="BB568:BB573" si="200">$A$533</f>
        <v>Fixed policy</v>
      </c>
      <c r="BC568" s="34" t="str">
        <f t="shared" ref="BC568:BC573" si="201">$B$567</f>
        <v>Assumed cost multipliers</v>
      </c>
      <c r="BD568"/>
    </row>
    <row r="569" spans="1:56" x14ac:dyDescent="0.35">
      <c r="E569" s="33" t="s">
        <v>67</v>
      </c>
      <c r="G569" s="33" t="s">
        <v>109</v>
      </c>
      <c r="I569" s="23">
        <f>CHOOSE(UserInterface!$C$22,#REF!,#REF!,#REF!,#REF!,#REF!,Scotland!I569,Southern!I569,#REF!)</f>
        <v>1.1111111111111112</v>
      </c>
      <c r="BA569" s="34" t="str">
        <f t="shared" ca="1" si="199"/>
        <v>LicenseeSelect</v>
      </c>
      <c r="BB569" s="34" t="str">
        <f t="shared" si="200"/>
        <v>Fixed policy</v>
      </c>
      <c r="BC569" s="34" t="str">
        <f t="shared" si="201"/>
        <v>Assumed cost multipliers</v>
      </c>
      <c r="BD569"/>
    </row>
    <row r="570" spans="1:56" x14ac:dyDescent="0.35">
      <c r="E570" s="33" t="s">
        <v>70</v>
      </c>
      <c r="G570" s="33" t="s">
        <v>109</v>
      </c>
      <c r="I570" s="23">
        <f>CHOOSE(UserInterface!$C$22,#REF!,#REF!,#REF!,#REF!,#REF!,Scotland!I570,Southern!I570,#REF!)</f>
        <v>1</v>
      </c>
      <c r="BA570" s="34" t="str">
        <f t="shared" ca="1" si="199"/>
        <v>LicenseeSelect</v>
      </c>
      <c r="BB570" s="34" t="str">
        <f t="shared" si="200"/>
        <v>Fixed policy</v>
      </c>
      <c r="BC570" s="34" t="str">
        <f t="shared" si="201"/>
        <v>Assumed cost multipliers</v>
      </c>
      <c r="BD570"/>
    </row>
    <row r="571" spans="1:56" x14ac:dyDescent="0.35">
      <c r="E571" s="33" t="s">
        <v>73</v>
      </c>
      <c r="G571" s="33" t="s">
        <v>109</v>
      </c>
      <c r="I571" s="23">
        <f>CHOOSE(UserInterface!$C$22,#REF!,#REF!,#REF!,#REF!,#REF!,Scotland!I571,Southern!I571,#REF!)</f>
        <v>0</v>
      </c>
      <c r="BA571" s="34" t="str">
        <f t="shared" ca="1" si="199"/>
        <v>LicenseeSelect</v>
      </c>
      <c r="BB571" s="34" t="str">
        <f t="shared" si="200"/>
        <v>Fixed policy</v>
      </c>
      <c r="BC571" s="34" t="str">
        <f t="shared" si="201"/>
        <v>Assumed cost multipliers</v>
      </c>
      <c r="BD571"/>
    </row>
    <row r="572" spans="1:56" x14ac:dyDescent="0.35">
      <c r="E572" s="33" t="s">
        <v>74</v>
      </c>
      <c r="G572" s="33" t="s">
        <v>109</v>
      </c>
      <c r="I572" s="23">
        <f>CHOOSE(UserInterface!$C$22,#REF!,#REF!,#REF!,#REF!,#REF!,Scotland!I572,Southern!I572,#REF!)</f>
        <v>0</v>
      </c>
      <c r="BA572" s="34" t="str">
        <f t="shared" ca="1" si="199"/>
        <v>LicenseeSelect</v>
      </c>
      <c r="BB572" s="34" t="str">
        <f t="shared" si="200"/>
        <v>Fixed policy</v>
      </c>
      <c r="BC572" s="34" t="str">
        <f t="shared" si="201"/>
        <v>Assumed cost multipliers</v>
      </c>
      <c r="BD572"/>
    </row>
    <row r="573" spans="1:56" x14ac:dyDescent="0.35">
      <c r="E573" s="33" t="s">
        <v>75</v>
      </c>
      <c r="G573" s="33" t="s">
        <v>109</v>
      </c>
      <c r="I573" s="23">
        <f>CHOOSE(UserInterface!$C$22,#REF!,#REF!,#REF!,#REF!,#REF!,Scotland!I573,Southern!I573,#REF!)</f>
        <v>0</v>
      </c>
      <c r="BA573" s="34" t="str">
        <f t="shared" ca="1" si="199"/>
        <v>LicenseeSelect</v>
      </c>
      <c r="BB573" s="34" t="str">
        <f t="shared" si="200"/>
        <v>Fixed policy</v>
      </c>
      <c r="BC573" s="34" t="str">
        <f t="shared" si="201"/>
        <v>Assumed cost multipliers</v>
      </c>
      <c r="BD573"/>
    </row>
    <row r="574" spans="1:56" x14ac:dyDescent="0.35"/>
    <row r="575" spans="1:56" customFormat="1" ht="17.5" thickBot="1" x14ac:dyDescent="0.4">
      <c r="A575" s="6"/>
      <c r="B575" s="8" t="s">
        <v>842</v>
      </c>
      <c r="E575" s="33"/>
      <c r="F575" s="33"/>
      <c r="G575" s="33"/>
      <c r="H575" s="33"/>
      <c r="AT575" s="61"/>
      <c r="BA575" s="34"/>
    </row>
    <row r="576" spans="1:56" customFormat="1" ht="16.5" thickTop="1" x14ac:dyDescent="0.35">
      <c r="A576" s="6"/>
      <c r="B576" s="6"/>
      <c r="E576" s="33" t="s">
        <v>521</v>
      </c>
      <c r="F576" s="33"/>
      <c r="G576" s="33" t="s">
        <v>109</v>
      </c>
      <c r="H576" s="33"/>
      <c r="I576" s="84">
        <f>CHOOSE(UserInterface!$C$22,#REF!,#REF!,#REF!,#REF!,#REF!,Scotland!I576,Southern!I576,#REF!)</f>
        <v>0.08</v>
      </c>
      <c r="AT576" s="61"/>
      <c r="BA576" s="34" t="str">
        <f t="shared" ref="BA576:BA580" ca="1" si="202">$A$1</f>
        <v>LicenseeSelect</v>
      </c>
      <c r="BB576" s="34" t="str">
        <f t="shared" ref="BB576:BB580" si="203">$A$533</f>
        <v>Fixed policy</v>
      </c>
      <c r="BC576" s="34" t="str">
        <f>$B$575</f>
        <v>Allowed revenue true-up</v>
      </c>
    </row>
    <row r="577" spans="1:55" customFormat="1" x14ac:dyDescent="0.35">
      <c r="A577" s="6"/>
      <c r="B577" s="6"/>
      <c r="E577" s="33" t="s">
        <v>522</v>
      </c>
      <c r="F577" s="33"/>
      <c r="G577" s="33" t="s">
        <v>109</v>
      </c>
      <c r="H577" s="33"/>
      <c r="I577" s="84">
        <f>CHOOSE(UserInterface!$C$22,#REF!,#REF!,#REF!,#REF!,#REF!,Scotland!I577,Southern!I577,#REF!)</f>
        <v>1.15E-2</v>
      </c>
      <c r="AT577" s="61"/>
      <c r="BA577" s="34" t="str">
        <f t="shared" ca="1" si="202"/>
        <v>LicenseeSelect</v>
      </c>
      <c r="BB577" s="34" t="str">
        <f t="shared" si="203"/>
        <v>Fixed policy</v>
      </c>
      <c r="BC577" s="34" t="str">
        <f>$B$575</f>
        <v>Allowed revenue true-up</v>
      </c>
    </row>
    <row r="578" spans="1:55" customFormat="1" x14ac:dyDescent="0.35">
      <c r="A578" s="6"/>
      <c r="B578" s="6"/>
      <c r="E578" s="33" t="s">
        <v>523</v>
      </c>
      <c r="F578" s="33"/>
      <c r="G578" s="33" t="s">
        <v>109</v>
      </c>
      <c r="H578" s="33"/>
      <c r="I578" s="84">
        <f>CHOOSE(UserInterface!$C$22,#REF!,#REF!,#REF!,#REF!,#REF!,Scotland!I578,Southern!I578,#REF!)</f>
        <v>1.15E-2</v>
      </c>
      <c r="AT578" s="61"/>
      <c r="BA578" s="34" t="str">
        <f t="shared" ca="1" si="202"/>
        <v>LicenseeSelect</v>
      </c>
      <c r="BB578" s="34" t="str">
        <f t="shared" si="203"/>
        <v>Fixed policy</v>
      </c>
      <c r="BC578" s="34" t="str">
        <f>$B$575</f>
        <v>Allowed revenue true-up</v>
      </c>
    </row>
    <row r="579" spans="1:55" customFormat="1" x14ac:dyDescent="0.35">
      <c r="A579" s="6"/>
      <c r="B579" s="6"/>
      <c r="E579" s="33" t="s">
        <v>650</v>
      </c>
      <c r="F579" s="33"/>
      <c r="G579" s="33" t="s">
        <v>190</v>
      </c>
      <c r="H579" s="33"/>
      <c r="I579" s="31">
        <f>CHOOSE(UserInterface!$C$22,#REF!,#REF!,#REF!,#REF!,#REF!,Scotland!I579,Southern!I579,#REF!)</f>
        <v>5</v>
      </c>
      <c r="AT579" s="61"/>
      <c r="BA579" s="34" t="str">
        <f t="shared" ca="1" si="202"/>
        <v>LicenseeSelect</v>
      </c>
      <c r="BB579" s="34" t="str">
        <f t="shared" si="203"/>
        <v>Fixed policy</v>
      </c>
      <c r="BC579" s="34" t="str">
        <f t="shared" ref="BC579:BC580" si="204">$B$575</f>
        <v>Allowed revenue true-up</v>
      </c>
    </row>
    <row r="580" spans="1:55" customFormat="1" x14ac:dyDescent="0.35">
      <c r="A580" s="6"/>
      <c r="B580" s="6"/>
      <c r="E580" s="33" t="s">
        <v>651</v>
      </c>
      <c r="F580" s="33"/>
      <c r="G580" s="33" t="s">
        <v>190</v>
      </c>
      <c r="H580" s="33"/>
      <c r="I580" s="31">
        <f>CHOOSE(UserInterface!$C$22,#REF!,#REF!,#REF!,#REF!,#REF!,Scotland!I580,Southern!I580,#REF!)</f>
        <v>5</v>
      </c>
      <c r="AT580" s="61"/>
      <c r="BA580" s="34" t="str">
        <f t="shared" ca="1" si="202"/>
        <v>LicenseeSelect</v>
      </c>
      <c r="BB580" s="34" t="str">
        <f t="shared" si="203"/>
        <v>Fixed policy</v>
      </c>
      <c r="BC580" s="34" t="str">
        <f t="shared" si="204"/>
        <v>Allowed revenue true-up</v>
      </c>
    </row>
    <row r="581" spans="1:55" customFormat="1" ht="14.5" x14ac:dyDescent="0.35">
      <c r="AT581" s="61"/>
      <c r="BA581" s="34"/>
    </row>
    <row r="582" spans="1:55" customFormat="1" ht="17.5" thickBot="1" x14ac:dyDescent="0.45">
      <c r="B582" s="15" t="s">
        <v>234</v>
      </c>
      <c r="AT582" s="61"/>
      <c r="BA582" s="34"/>
    </row>
    <row r="583" spans="1:55" customFormat="1" ht="15" thickTop="1" x14ac:dyDescent="0.35">
      <c r="E583" t="s">
        <v>249</v>
      </c>
      <c r="I583" s="30">
        <f>CHOOSE(UserInterface!$C$22,#REF!,#REF!,#REF!,#REF!,#REF!,Scotland!I583,Southern!I583,#REF!)</f>
        <v>45382</v>
      </c>
      <c r="AT583" s="61"/>
      <c r="BA583" s="34" t="str">
        <f t="shared" ref="BA583:BA591" ca="1" si="205">$A$1</f>
        <v>LicenseeSelect</v>
      </c>
      <c r="BB583" s="34" t="str">
        <f t="shared" ref="BB583:BB591" si="206">$A$533</f>
        <v>Fixed policy</v>
      </c>
      <c r="BC583" s="34" t="str">
        <f t="shared" ref="BC583:BC591" si="207">$B$582</f>
        <v>Flags</v>
      </c>
    </row>
    <row r="584" spans="1:55" customFormat="1" ht="14.5" x14ac:dyDescent="0.35">
      <c r="E584" t="s">
        <v>451</v>
      </c>
      <c r="G584" t="s">
        <v>239</v>
      </c>
      <c r="I584" s="30">
        <f>CHOOSE(UserInterface!$C$22,#REF!,#REF!,#REF!,#REF!,#REF!,Scotland!I584,Southern!I584,#REF!)</f>
        <v>46477</v>
      </c>
      <c r="AT584" s="61"/>
      <c r="AU584" s="143">
        <f>CHOOSE(UserInterface!$C$22,#REF!,#REF!,#REF!,#REF!,#REF!,Scotland!AU584,Southern!AU584,#REF!)</f>
        <v>1</v>
      </c>
      <c r="BA584" s="34" t="str">
        <f t="shared" ca="1" si="205"/>
        <v>LicenseeSelect</v>
      </c>
      <c r="BB584" s="34" t="str">
        <f t="shared" si="206"/>
        <v>Fixed policy</v>
      </c>
      <c r="BC584" s="34" t="str">
        <f t="shared" si="207"/>
        <v>Flags</v>
      </c>
    </row>
    <row r="585" spans="1:55" customFormat="1" ht="14.5" x14ac:dyDescent="0.35">
      <c r="E585" t="s">
        <v>235</v>
      </c>
      <c r="G585" t="s">
        <v>239</v>
      </c>
      <c r="AT585" s="61"/>
      <c r="AU585" s="143">
        <f>CHOOSE(UserInterface!$C$22,#REF!,#REF!,#REF!,#REF!,#REF!,Scotland!AU585,Southern!AU585,#REF!)</f>
        <v>1</v>
      </c>
      <c r="AV585" s="31">
        <f>CHOOSE(UserInterface!$C$22,#REF!,#REF!,#REF!,#REF!,#REF!,Scotland!AV585,Southern!AV585,#REF!)</f>
        <v>1</v>
      </c>
      <c r="AW585" s="31">
        <f>CHOOSE(UserInterface!$C$22,#REF!,#REF!,#REF!,#REF!,#REF!,Scotland!AW585,Southern!AW585,#REF!)</f>
        <v>1</v>
      </c>
      <c r="AX585" s="31">
        <f>CHOOSE(UserInterface!$C$22,#REF!,#REF!,#REF!,#REF!,#REF!,Scotland!AX585,Southern!AX585,#REF!)</f>
        <v>1</v>
      </c>
      <c r="AY585" s="31">
        <f>CHOOSE(UserInterface!$C$22,#REF!,#REF!,#REF!,#REF!,#REF!,Scotland!AY585,Southern!AY585,#REF!)</f>
        <v>1</v>
      </c>
      <c r="BA585" s="34" t="str">
        <f t="shared" ca="1" si="205"/>
        <v>LicenseeSelect</v>
      </c>
      <c r="BB585" s="34" t="str">
        <f t="shared" si="206"/>
        <v>Fixed policy</v>
      </c>
      <c r="BC585" s="34" t="str">
        <f t="shared" si="207"/>
        <v>Flags</v>
      </c>
    </row>
    <row r="586" spans="1:55" customFormat="1" ht="14.5" x14ac:dyDescent="0.35">
      <c r="E586" t="s">
        <v>237</v>
      </c>
      <c r="G586" t="s">
        <v>239</v>
      </c>
      <c r="J586" s="33" t="s">
        <v>13</v>
      </c>
      <c r="AP586" s="31">
        <f>CHOOSE(UserInterface!$C$22,#REF!,#REF!,#REF!,#REF!,#REF!,Scotland!AP586,Southern!AP586,#REF!)</f>
        <v>1</v>
      </c>
      <c r="AQ586" s="31">
        <f>CHOOSE(UserInterface!$C$22,#REF!,#REF!,#REF!,#REF!,#REF!,Scotland!AQ586,Southern!AQ586,#REF!)</f>
        <v>1</v>
      </c>
      <c r="AR586" s="31">
        <f>CHOOSE(UserInterface!$C$22,#REF!,#REF!,#REF!,#REF!,#REF!,Scotland!AR586,Southern!AR586,#REF!)</f>
        <v>1</v>
      </c>
      <c r="AS586" s="31">
        <f>CHOOSE(UserInterface!$C$22,#REF!,#REF!,#REF!,#REF!,#REF!,Scotland!AS586,Southern!AS586,#REF!)</f>
        <v>1</v>
      </c>
      <c r="AT586" s="67">
        <f>CHOOSE(UserInterface!$C$22,#REF!,#REF!,#REF!,#REF!,#REF!,Scotland!AT586,Southern!AT586,#REF!)</f>
        <v>1</v>
      </c>
      <c r="BA586" s="34" t="str">
        <f t="shared" ca="1" si="205"/>
        <v>LicenseeSelect</v>
      </c>
      <c r="BB586" s="34" t="str">
        <f t="shared" si="206"/>
        <v>Fixed policy</v>
      </c>
      <c r="BC586" s="34" t="str">
        <f t="shared" si="207"/>
        <v>Flags</v>
      </c>
    </row>
    <row r="587" spans="1:55" customFormat="1" ht="14.5" x14ac:dyDescent="0.35">
      <c r="E587" t="s">
        <v>460</v>
      </c>
      <c r="G587" t="s">
        <v>239</v>
      </c>
      <c r="J587" s="33" t="s">
        <v>13</v>
      </c>
      <c r="AH587" s="31">
        <f>CHOOSE(UserInterface!$C$22,#REF!,#REF!,#REF!,#REF!,#REF!,Scotland!AH587,Southern!AH587,#REF!)</f>
        <v>1</v>
      </c>
      <c r="AI587" s="31">
        <f>CHOOSE(UserInterface!$C$22,#REF!,#REF!,#REF!,#REF!,#REF!,Scotland!AI587,Southern!AI587,#REF!)</f>
        <v>1</v>
      </c>
      <c r="AJ587" s="31">
        <f>CHOOSE(UserInterface!$C$22,#REF!,#REF!,#REF!,#REF!,#REF!,Scotland!AJ587,Southern!AJ587,#REF!)</f>
        <v>1</v>
      </c>
      <c r="AK587" s="31">
        <f>CHOOSE(UserInterface!$C$22,#REF!,#REF!,#REF!,#REF!,#REF!,Scotland!AK587,Southern!AK587,#REF!)</f>
        <v>1</v>
      </c>
      <c r="AL587" s="31">
        <f>CHOOSE(UserInterface!$C$22,#REF!,#REF!,#REF!,#REF!,#REF!,Scotland!AL587,Southern!AL587,#REF!)</f>
        <v>1</v>
      </c>
      <c r="AM587" s="31">
        <f>CHOOSE(UserInterface!$C$22,#REF!,#REF!,#REF!,#REF!,#REF!,Scotland!AM587,Southern!AM587,#REF!)</f>
        <v>1</v>
      </c>
      <c r="AN587" s="31">
        <f>CHOOSE(UserInterface!$C$22,#REF!,#REF!,#REF!,#REF!,#REF!,Scotland!AN587,Southern!AN587,#REF!)</f>
        <v>1</v>
      </c>
      <c r="AO587" s="31">
        <f>CHOOSE(UserInterface!$C$22,#REF!,#REF!,#REF!,#REF!,#REF!,Scotland!AO587,Southern!AO587,#REF!)</f>
        <v>1</v>
      </c>
      <c r="AT587" s="61"/>
      <c r="BA587" s="34" t="str">
        <f t="shared" ca="1" si="205"/>
        <v>LicenseeSelect</v>
      </c>
      <c r="BB587" s="34" t="str">
        <f t="shared" si="206"/>
        <v>Fixed policy</v>
      </c>
      <c r="BC587" s="34" t="str">
        <f t="shared" si="207"/>
        <v>Flags</v>
      </c>
    </row>
    <row r="588" spans="1:55" customFormat="1" ht="14.5" x14ac:dyDescent="0.35">
      <c r="E588" t="s">
        <v>641</v>
      </c>
      <c r="G588" t="s">
        <v>239</v>
      </c>
      <c r="J588" s="33" t="s">
        <v>13</v>
      </c>
      <c r="AT588" s="67">
        <f>CHOOSE(UserInterface!$C$22,#REF!,#REF!,#REF!,#REF!,#REF!,Scotland!AT588,Southern!AT588,#REF!)</f>
        <v>1</v>
      </c>
      <c r="BA588" s="34" t="str">
        <f t="shared" ca="1" si="205"/>
        <v>LicenseeSelect</v>
      </c>
      <c r="BB588" s="34" t="str">
        <f t="shared" si="206"/>
        <v>Fixed policy</v>
      </c>
      <c r="BC588" s="34" t="str">
        <f t="shared" si="207"/>
        <v>Flags</v>
      </c>
    </row>
    <row r="589" spans="1:55" customFormat="1" ht="14.5" x14ac:dyDescent="0.35">
      <c r="AT589" s="61"/>
      <c r="BA589" s="34"/>
      <c r="BB589" s="34"/>
      <c r="BC589" s="34"/>
    </row>
    <row r="590" spans="1:55" customFormat="1" ht="14.5" x14ac:dyDescent="0.35">
      <c r="E590" t="s">
        <v>833</v>
      </c>
      <c r="G590" t="s">
        <v>236</v>
      </c>
      <c r="AT590" s="61"/>
      <c r="AU590" s="143">
        <f>CHOOSE(UserInterface!$C$22,#REF!,#REF!,#REF!,#REF!,#REF!,Scotland!AU590,Southern!AU590,#REF!)</f>
        <v>1</v>
      </c>
      <c r="AV590" s="31">
        <f>CHOOSE(UserInterface!$C$22,#REF!,#REF!,#REF!,#REF!,#REF!,Scotland!AV590,Southern!AV590,#REF!)</f>
        <v>1</v>
      </c>
      <c r="AW590" s="31">
        <f>CHOOSE(UserInterface!$C$22,#REF!,#REF!,#REF!,#REF!,#REF!,Scotland!AW590,Southern!AW590,#REF!)</f>
        <v>1</v>
      </c>
      <c r="AX590" s="31">
        <f>CHOOSE(UserInterface!$C$22,#REF!,#REF!,#REF!,#REF!,#REF!,Scotland!AX590,Southern!AX590,#REF!)</f>
        <v>1</v>
      </c>
      <c r="BA590" s="34" t="str">
        <f t="shared" ca="1" si="205"/>
        <v>LicenseeSelect</v>
      </c>
      <c r="BB590" s="34" t="str">
        <f t="shared" si="206"/>
        <v>Fixed policy</v>
      </c>
      <c r="BC590" s="34" t="str">
        <f t="shared" si="207"/>
        <v>Flags</v>
      </c>
    </row>
    <row r="591" spans="1:55" customFormat="1" ht="14.5" x14ac:dyDescent="0.35">
      <c r="E591" t="s">
        <v>834</v>
      </c>
      <c r="G591" t="s">
        <v>236</v>
      </c>
      <c r="AT591" s="61"/>
      <c r="AY591" s="31">
        <f>CHOOSE(UserInterface!$C$22,#REF!,#REF!,#REF!,#REF!,#REF!,Scotland!AY591,Southern!AY591,#REF!)</f>
        <v>1</v>
      </c>
      <c r="BA591" s="34" t="str">
        <f t="shared" ca="1" si="205"/>
        <v>LicenseeSelect</v>
      </c>
      <c r="BB591" s="34" t="str">
        <f t="shared" si="206"/>
        <v>Fixed policy</v>
      </c>
      <c r="BC591" s="34" t="str">
        <f t="shared" si="207"/>
        <v>Flags</v>
      </c>
    </row>
    <row r="592" spans="1:55" customFormat="1" ht="14.5" x14ac:dyDescent="0.35">
      <c r="AT592" s="61"/>
      <c r="BA592" s="34"/>
      <c r="BB592" s="34"/>
      <c r="BC592" s="34"/>
    </row>
    <row r="593" spans="1:55" customFormat="1" ht="14.5" x14ac:dyDescent="0.35">
      <c r="E593" t="s">
        <v>646</v>
      </c>
      <c r="G593" t="s">
        <v>239</v>
      </c>
      <c r="J593" s="33" t="s">
        <v>13</v>
      </c>
      <c r="AH593" s="31">
        <f>CHOOSE(UserInterface!$C$22,#REF!,#REF!,#REF!,#REF!,#REF!,Scotland!AH593,Southern!AH593,#REF!)</f>
        <v>1</v>
      </c>
      <c r="AT593" s="61"/>
      <c r="BA593" s="34" t="str">
        <f t="shared" ref="BA593" ca="1" si="208">$A$1</f>
        <v>LicenseeSelect</v>
      </c>
      <c r="BB593" s="34" t="str">
        <f t="shared" ref="BB593" si="209">$A$533</f>
        <v>Fixed policy</v>
      </c>
      <c r="BC593" s="34" t="str">
        <f t="shared" ref="BC593" si="210">$B$582</f>
        <v>Flags</v>
      </c>
    </row>
    <row r="594" spans="1:55" customFormat="1" ht="14.5" x14ac:dyDescent="0.35">
      <c r="AT594" s="61"/>
      <c r="BA594" s="34"/>
      <c r="BB594" s="34"/>
      <c r="BC594" s="34"/>
    </row>
    <row r="595" spans="1:55" customFormat="1" ht="14.5" x14ac:dyDescent="0.35">
      <c r="E595" t="s">
        <v>238</v>
      </c>
      <c r="G595" t="s">
        <v>239</v>
      </c>
      <c r="I595" s="32" t="str">
        <f>CHOOSE(UserInterface!$C$22,#REF!,#REF!,#REF!,#REF!,#REF!,Scotland!I595,Southern!I595,#REF!)</f>
        <v>£m 23/24 prices</v>
      </c>
      <c r="AT595" s="61"/>
      <c r="BA595" s="34" t="str">
        <f t="shared" ref="BA595" ca="1" si="211">$A$1</f>
        <v>LicenseeSelect</v>
      </c>
      <c r="BB595" s="34" t="str">
        <f t="shared" ref="BB595" si="212">$A$533</f>
        <v>Fixed policy</v>
      </c>
      <c r="BC595" s="34" t="str">
        <f>$B$582</f>
        <v>Flags</v>
      </c>
    </row>
    <row r="596" spans="1:55" x14ac:dyDescent="0.35"/>
    <row r="597" spans="1:55" ht="20" collapsed="1" thickBot="1" x14ac:dyDescent="0.4">
      <c r="A597" s="18" t="s">
        <v>241</v>
      </c>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U597" s="10"/>
      <c r="AV597" s="10"/>
      <c r="AW597" s="10"/>
      <c r="AX597" s="10"/>
      <c r="AY597" s="10"/>
      <c r="AZ597" s="10"/>
      <c r="BA597" s="16"/>
      <c r="BB597" s="10"/>
      <c r="BC597" s="10"/>
    </row>
    <row r="598" spans="1:55" ht="16.5" thickTop="1" x14ac:dyDescent="0.35"/>
    <row r="599" spans="1:55" x14ac:dyDescent="0.35"/>
    <row r="600" spans="1:55" x14ac:dyDescent="0.35"/>
    <row r="601" spans="1:55" x14ac:dyDescent="0.35"/>
    <row r="602" spans="1:55" x14ac:dyDescent="0.35"/>
    <row r="603" spans="1:55" x14ac:dyDescent="0.35"/>
    <row r="604" spans="1:55" x14ac:dyDescent="0.35"/>
    <row r="605" spans="1:55" x14ac:dyDescent="0.35"/>
    <row r="606" spans="1:55" x14ac:dyDescent="0.35"/>
    <row r="607" spans="1:55" x14ac:dyDescent="0.35"/>
    <row r="608" spans="1:55"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sheetData>
  <dataConsolidate/>
  <conditionalFormatting sqref="H1">
    <cfRule type="cellIs" dxfId="15" priority="1" operator="equal">
      <formula>"ERROR"</formula>
    </cfRule>
  </conditionalFormatting>
  <pageMargins left="0.23622047244094491" right="0.23622047244094491" top="0.74803149606299213" bottom="0.74803149606299213" header="0.31496062992125984" footer="0.31496062992125984"/>
  <pageSetup paperSize="8" fitToHeight="0" orientation="portrait" r:id="rId1"/>
  <headerFooter>
    <oddHeader>&amp;L&amp;"Aptos"&amp;10&amp;K000000 Classified as Internal&amp;1#_x000D_</oddHeader>
    <oddFooter>&amp;LDraft at &amp;D&amp;R"&amp;A" sheet&amp;R"&amp;A" sheet&amp;R"&amp;A" sheet&amp;R"&amp;A" sheet&amp;R"&amp;A" sheet&amp;R"&amp;A" sheet&amp;R"&amp;A" sheet&amp;R"&amp;A" sheet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E1955-D3B5-4E63-B4BD-DCA75A26282E}">
  <sheetPr codeName="Sheet13">
    <tabColor rgb="FF7FB5BA"/>
    <pageSetUpPr autoPageBreaks="0" fitToPage="1"/>
  </sheetPr>
  <dimension ref="A1:BL1136"/>
  <sheetViews>
    <sheetView zoomScaleNormal="100" workbookViewId="0">
      <pane xSplit="46" ySplit="4" topLeftCell="AU5" activePane="bottomRight" state="frozen"/>
      <selection pane="topRight" activeCell="AU1" sqref="AU1"/>
      <selection pane="bottomLeft" activeCell="A5" sqref="A5"/>
      <selection pane="bottomRight"/>
    </sheetView>
  </sheetViews>
  <sheetFormatPr defaultColWidth="0" defaultRowHeight="16" zeroHeight="1" outlineLevelCol="1" x14ac:dyDescent="0.35"/>
  <cols>
    <col min="1" max="2" width="1.90625" style="6" customWidth="1"/>
    <col min="3" max="3" width="1.90625" customWidth="1"/>
    <col min="4" max="4" width="15.6328125" customWidth="1"/>
    <col min="5" max="5" width="65.6328125" style="33" customWidth="1"/>
    <col min="6" max="6" width="8.6328125" style="126" customWidth="1"/>
    <col min="7" max="7" width="17.6328125" style="33" customWidth="1"/>
    <col min="8" max="8" width="9.6328125" style="33" customWidth="1"/>
    <col min="9" max="9" width="11.6328125" style="33" customWidth="1"/>
    <col min="10" max="10" width="2.08984375" style="33" customWidth="1"/>
    <col min="11" max="45" width="11.6328125" style="33" hidden="1" customWidth="1" outlineLevel="1"/>
    <col min="46" max="46" width="11.6328125" style="60" hidden="1" customWidth="1" outlineLevel="1"/>
    <col min="47" max="47" width="11.6328125" style="33" customWidth="1" collapsed="1"/>
    <col min="48" max="51" width="11.6328125" style="33" customWidth="1"/>
    <col min="52" max="52" width="18.6328125" style="34" customWidth="1"/>
    <col min="53" max="53" width="10.6328125" style="1" customWidth="1"/>
    <col min="54" max="56" width="10.6328125" style="34" customWidth="1"/>
    <col min="57" max="57" width="10.6328125" style="33" customWidth="1"/>
    <col min="58" max="58" width="1.6328125" style="6" customWidth="1"/>
    <col min="59" max="59" width="12.08984375" style="6" hidden="1" customWidth="1"/>
    <col min="60" max="60" width="16" style="6" hidden="1" customWidth="1"/>
    <col min="61" max="63" width="12.08984375" style="6" hidden="1" customWidth="1"/>
    <col min="64" max="64" width="1.90625" style="6" hidden="1" customWidth="1"/>
    <col min="65" max="16384" width="10.36328125" style="6" hidden="1"/>
  </cols>
  <sheetData>
    <row r="1" spans="1:56" s="90" customFormat="1" ht="14.5" x14ac:dyDescent="0.35">
      <c r="A1" s="89" t="str" cm="1">
        <f t="array" aca="1" ref="A1" ca="1">MID(CELL("filename",$A$1),FIND("]",CELL("filename",$A$1))+1,255)</f>
        <v>VariantAllowances</v>
      </c>
      <c r="E1" s="107"/>
      <c r="F1" s="125"/>
      <c r="G1" s="90" t="s">
        <v>572</v>
      </c>
      <c r="H1" s="27" t="e">
        <f>Checks!I7</f>
        <v>#REF!</v>
      </c>
      <c r="AT1" s="96"/>
      <c r="BA1" s="92"/>
      <c r="BB1" s="92"/>
      <c r="BC1" s="92"/>
    </row>
    <row r="2" spans="1:56" s="90" customFormat="1" ht="14.5" x14ac:dyDescent="0.35">
      <c r="F2" s="125"/>
      <c r="AT2" s="96"/>
      <c r="BA2" s="92"/>
      <c r="BB2" s="92"/>
      <c r="BC2" s="92"/>
    </row>
    <row r="3" spans="1:56" s="90" customFormat="1" ht="14.5" x14ac:dyDescent="0.35">
      <c r="E3" s="90" t="s">
        <v>1</v>
      </c>
      <c r="F3" s="125" t="s">
        <v>2</v>
      </c>
      <c r="G3" s="90" t="s">
        <v>3</v>
      </c>
      <c r="H3" s="90" t="s">
        <v>4</v>
      </c>
      <c r="I3" s="90" t="s">
        <v>5</v>
      </c>
      <c r="AT3" s="96"/>
      <c r="AU3" s="90" t="s">
        <v>6</v>
      </c>
      <c r="BA3" s="92"/>
      <c r="BB3" s="92"/>
      <c r="BC3" s="92"/>
    </row>
    <row r="4" spans="1:56" s="90" customFormat="1" ht="14.5" x14ac:dyDescent="0.35">
      <c r="E4" s="90" t="s">
        <v>7</v>
      </c>
      <c r="F4" s="125"/>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92" t="s">
        <v>591</v>
      </c>
      <c r="BB4" s="92" t="s">
        <v>592</v>
      </c>
      <c r="BC4" s="92" t="s">
        <v>593</v>
      </c>
      <c r="BD4" s="92" t="s">
        <v>594</v>
      </c>
    </row>
    <row r="5" spans="1:56" x14ac:dyDescent="0.35"/>
    <row r="6" spans="1:56" customFormat="1" ht="20" thickBot="1" x14ac:dyDescent="0.5">
      <c r="A6" s="13" t="s">
        <v>121</v>
      </c>
      <c r="F6" s="127"/>
      <c r="AT6" s="61"/>
    </row>
    <row r="7" spans="1:56" ht="18" thickTop="1" thickBot="1" x14ac:dyDescent="0.4">
      <c r="B7" s="8" t="s">
        <v>122</v>
      </c>
      <c r="BA7" s="34"/>
    </row>
    <row r="8" spans="1:56" ht="16.5" thickTop="1" x14ac:dyDescent="0.35">
      <c r="E8" s="33" t="str">
        <f>LicenseeSelect!E99</f>
        <v>PCD_Baseline Network Risk Output</v>
      </c>
      <c r="F8" s="126" t="str">
        <f>LicenseeSelect!F99</f>
        <v>SpC 3.1</v>
      </c>
      <c r="G8" s="33" t="str">
        <f t="shared" ref="G8:G42" si="0">price_label</f>
        <v>£m 23/24 prices</v>
      </c>
      <c r="H8" s="33" t="str">
        <f>LicenseeSelect!H99</f>
        <v>NARMt</v>
      </c>
      <c r="AU8" s="87">
        <f>LicenseeSelect!AU99</f>
        <v>38.300387111161271</v>
      </c>
      <c r="AV8" s="36">
        <f>LicenseeSelect!AV99</f>
        <v>40.124000957253045</v>
      </c>
      <c r="AW8" s="36">
        <f>LicenseeSelect!AW99</f>
        <v>39.603526761109933</v>
      </c>
      <c r="AX8" s="36">
        <f>LicenseeSelect!AX99</f>
        <v>35.717151714218097</v>
      </c>
      <c r="AY8" s="36">
        <f>LicenseeSelect!AY99</f>
        <v>32.360446055022329</v>
      </c>
      <c r="BA8" s="34" t="str">
        <f t="shared" ref="BA8:BA42" ca="1" si="1">$A$1</f>
        <v>VariantAllowances</v>
      </c>
      <c r="BB8" s="34" t="str">
        <f>Transform!$A$27</f>
        <v>Totex allowance</v>
      </c>
      <c r="BC8" s="34" t="str">
        <f t="shared" ref="BC8:BC42" si="2">$B$7</f>
        <v>Variant allowances (including Real Price Effects)</v>
      </c>
    </row>
    <row r="9" spans="1:56" x14ac:dyDescent="0.35">
      <c r="E9" s="33" t="str">
        <f>LicenseeSelect!E100</f>
        <v>PCD_Cyber PCDs</v>
      </c>
      <c r="F9" s="126" t="str">
        <f>LicenseeSelect!F100</f>
        <v>SpC 3.2</v>
      </c>
      <c r="G9" s="33" t="str">
        <f t="shared" si="0"/>
        <v>£m 23/24 prices</v>
      </c>
      <c r="H9" s="33" t="str">
        <f>LicenseeSelect!H100</f>
        <v>CYt</v>
      </c>
      <c r="AU9" s="87">
        <f>LicenseeSelect!AU100</f>
        <v>13.511116131550649</v>
      </c>
      <c r="AV9" s="36">
        <f>LicenseeSelect!AV100</f>
        <v>10.589364051705404</v>
      </c>
      <c r="AW9" s="36">
        <f>LicenseeSelect!AW100</f>
        <v>9.2591611283730035</v>
      </c>
      <c r="AX9" s="36">
        <f>LicenseeSelect!AX100</f>
        <v>7.7562066603103004</v>
      </c>
      <c r="AY9" s="36">
        <f>LicenseeSelect!AY100</f>
        <v>7.759988313672709</v>
      </c>
      <c r="BA9" s="34" t="str">
        <f t="shared" ca="1" si="1"/>
        <v>VariantAllowances</v>
      </c>
      <c r="BB9" s="34" t="str">
        <f>Transform!$A$27</f>
        <v>Totex allowance</v>
      </c>
      <c r="BC9" s="34" t="str">
        <f t="shared" si="2"/>
        <v>Variant allowances (including Real Price Effects)</v>
      </c>
    </row>
    <row r="10" spans="1:56" x14ac:dyDescent="0.35">
      <c r="E10" s="33" t="str">
        <f>LicenseeSelect!E101</f>
        <v>PCD_Flow Weighted Average Calorific Value Compliance (Cadent_all) / FWACV Compliance (Cadent_all)</v>
      </c>
      <c r="F10" s="126" t="str">
        <f>LicenseeSelect!F101</f>
        <v>SpC 3.23</v>
      </c>
      <c r="G10" s="33" t="str">
        <f t="shared" si="0"/>
        <v>£m 23/24 prices</v>
      </c>
      <c r="H10" s="33" t="str">
        <f>LicenseeSelect!H101</f>
        <v>FLOt</v>
      </c>
      <c r="AU10" s="87">
        <f>LicenseeSelect!AU101</f>
        <v>0</v>
      </c>
      <c r="AV10" s="36">
        <f>LicenseeSelect!AV101</f>
        <v>0</v>
      </c>
      <c r="AW10" s="36">
        <f>LicenseeSelect!AW101</f>
        <v>0</v>
      </c>
      <c r="AX10" s="36">
        <f>LicenseeSelect!AX101</f>
        <v>0</v>
      </c>
      <c r="AY10" s="36">
        <f>LicenseeSelect!AY101</f>
        <v>0</v>
      </c>
      <c r="BA10" s="34" t="str">
        <f t="shared" ca="1" si="1"/>
        <v>VariantAllowances</v>
      </c>
      <c r="BB10" s="34" t="str">
        <f>Transform!$A$27</f>
        <v>Totex allowance</v>
      </c>
      <c r="BC10" s="34" t="str">
        <f t="shared" si="2"/>
        <v>Variant allowances (including Real Price Effects)</v>
      </c>
    </row>
    <row r="11" spans="1:56" x14ac:dyDescent="0.35">
      <c r="E11" s="33" t="str">
        <f>LicenseeSelect!E102</f>
        <v>PCD_Grays medium pressure (Cadent_Lon)</v>
      </c>
      <c r="F11" s="126" t="str">
        <f>LicenseeSelect!F102</f>
        <v>SpC 3.24</v>
      </c>
      <c r="G11" s="33" t="str">
        <f t="shared" si="0"/>
        <v>£m 23/24 prices</v>
      </c>
      <c r="H11" s="33" t="str">
        <f>LicenseeSelect!H102</f>
        <v>GMPt</v>
      </c>
      <c r="AU11" s="87">
        <f>LicenseeSelect!AU102</f>
        <v>0</v>
      </c>
      <c r="AV11" s="36">
        <f>LicenseeSelect!AV102</f>
        <v>0</v>
      </c>
      <c r="AW11" s="36">
        <f>LicenseeSelect!AW102</f>
        <v>0</v>
      </c>
      <c r="AX11" s="36">
        <f>LicenseeSelect!AX102</f>
        <v>0</v>
      </c>
      <c r="AY11" s="36">
        <f>LicenseeSelect!AY102</f>
        <v>0</v>
      </c>
      <c r="BA11" s="34" t="str">
        <f t="shared" ca="1" si="1"/>
        <v>VariantAllowances</v>
      </c>
      <c r="BB11" s="34" t="str">
        <f>Transform!$A$27</f>
        <v>Totex allowance</v>
      </c>
      <c r="BC11" s="34" t="str">
        <f t="shared" si="2"/>
        <v>Variant allowances (including Real Price Effects)</v>
      </c>
    </row>
    <row r="12" spans="1:56" x14ac:dyDescent="0.35">
      <c r="E12" s="33" t="str">
        <f>LicenseeSelect!E103</f>
        <v>PCD_Welling PRS - Full Site Rebuild  (SGN_So) / Full site and system rebuilds PCD (SGN)</v>
      </c>
      <c r="F12" s="126" t="str">
        <f>LicenseeSelect!F103</f>
        <v>SpC 3.28</v>
      </c>
      <c r="G12" s="33" t="str">
        <f t="shared" si="0"/>
        <v>£m 23/24 prices</v>
      </c>
      <c r="H12" s="33" t="str">
        <f>LicenseeSelect!H103</f>
        <v>FSRt</v>
      </c>
      <c r="AU12" s="87">
        <f>LicenseeSelect!AU103</f>
        <v>0</v>
      </c>
      <c r="AV12" s="36">
        <f>LicenseeSelect!AV103</f>
        <v>0</v>
      </c>
      <c r="AW12" s="36">
        <f>LicenseeSelect!AW103</f>
        <v>0</v>
      </c>
      <c r="AX12" s="36">
        <f>LicenseeSelect!AX103</f>
        <v>0</v>
      </c>
      <c r="AY12" s="36">
        <f>LicenseeSelect!AY103</f>
        <v>0</v>
      </c>
      <c r="BA12" s="34" t="str">
        <f t="shared" ca="1" si="1"/>
        <v>VariantAllowances</v>
      </c>
      <c r="BB12" s="34" t="str">
        <f>Transform!$A$27</f>
        <v>Totex allowance</v>
      </c>
      <c r="BC12" s="34" t="str">
        <f t="shared" si="2"/>
        <v>Variant allowances (including Real Price Effects)</v>
      </c>
    </row>
    <row r="13" spans="1:56" x14ac:dyDescent="0.35">
      <c r="E13" s="33" t="str">
        <f>LicenseeSelect!E104</f>
        <v>PCD_London Medium Pressure PCD (Cadent_Lon)</v>
      </c>
      <c r="F13" s="126" t="str">
        <f>LicenseeSelect!F104</f>
        <v>SpC 3.29</v>
      </c>
      <c r="G13" s="33" t="str">
        <f t="shared" si="0"/>
        <v>£m 23/24 prices</v>
      </c>
      <c r="H13" s="33" t="str">
        <f>LicenseeSelect!H104</f>
        <v>LMPt</v>
      </c>
      <c r="AU13" s="87">
        <f>LicenseeSelect!AU104</f>
        <v>0</v>
      </c>
      <c r="AV13" s="36">
        <f>LicenseeSelect!AV104</f>
        <v>0</v>
      </c>
      <c r="AW13" s="36">
        <f>LicenseeSelect!AW104</f>
        <v>0</v>
      </c>
      <c r="AX13" s="36">
        <f>LicenseeSelect!AX104</f>
        <v>0</v>
      </c>
      <c r="AY13" s="36">
        <f>LicenseeSelect!AY104</f>
        <v>0</v>
      </c>
      <c r="BA13" s="34" t="str">
        <f t="shared" ca="1" si="1"/>
        <v>VariantAllowances</v>
      </c>
      <c r="BB13" s="34" t="str">
        <f>Transform!$A$27</f>
        <v>Totex allowance</v>
      </c>
      <c r="BC13" s="34" t="str">
        <f t="shared" si="2"/>
        <v>Variant allowances (including Real Price Effects)</v>
      </c>
    </row>
    <row r="14" spans="1:56" x14ac:dyDescent="0.35">
      <c r="E14" s="33" t="str">
        <f>LicenseeSelect!E105</f>
        <v>PCD_Tier 1 Mains Decommissioned PCD</v>
      </c>
      <c r="F14" s="126" t="str">
        <f>LicenseeSelect!F105</f>
        <v>SpC 3.10</v>
      </c>
      <c r="G14" s="33" t="str">
        <f t="shared" si="0"/>
        <v>£m 23/24 prices</v>
      </c>
      <c r="H14" s="33" t="str">
        <f>LicenseeSelect!H105</f>
        <v>T1MDt</v>
      </c>
      <c r="AU14" s="87">
        <f>LicenseeSelect!AU105</f>
        <v>37.278303808134645</v>
      </c>
      <c r="AV14" s="36">
        <f>LicenseeSelect!AV105</f>
        <v>37.392397888938383</v>
      </c>
      <c r="AW14" s="36">
        <f>LicenseeSelect!AW105</f>
        <v>35.143946724139177</v>
      </c>
      <c r="AX14" s="36">
        <f>LicenseeSelect!AX105</f>
        <v>34.242787483593546</v>
      </c>
      <c r="AY14" s="36">
        <f>LicenseeSelect!AY105</f>
        <v>33.856655547540186</v>
      </c>
      <c r="BA14" s="34" t="str">
        <f t="shared" ca="1" si="1"/>
        <v>VariantAllowances</v>
      </c>
      <c r="BB14" s="34" t="str">
        <f>Transform!$A$27</f>
        <v>Totex allowance</v>
      </c>
      <c r="BC14" s="34" t="str">
        <f t="shared" si="2"/>
        <v>Variant allowances (including Real Price Effects)</v>
      </c>
    </row>
    <row r="15" spans="1:56" x14ac:dyDescent="0.35">
      <c r="E15" s="33" t="str">
        <f>LicenseeSelect!E106</f>
        <v>PCD_Tier 1 Services PCD / Tier 1 Services Repex PCD</v>
      </c>
      <c r="F15" s="126" t="str">
        <f>LicenseeSelect!F106</f>
        <v>SpC 3.11</v>
      </c>
      <c r="G15" s="33" t="str">
        <f t="shared" si="0"/>
        <v>£m 23/24 prices</v>
      </c>
      <c r="H15" s="33" t="str">
        <f>LicenseeSelect!H106</f>
        <v>T1SRt</v>
      </c>
      <c r="AU15" s="87">
        <f>LicenseeSelect!AU106</f>
        <v>12.459011203220449</v>
      </c>
      <c r="AV15" s="36">
        <f>LicenseeSelect!AV106</f>
        <v>12.498290272206242</v>
      </c>
      <c r="AW15" s="36">
        <f>LicenseeSelect!AW106</f>
        <v>11.74754518084967</v>
      </c>
      <c r="AX15" s="36">
        <f>LicenseeSelect!AX106</f>
        <v>11.444458819451176</v>
      </c>
      <c r="AY15" s="36">
        <f>LicenseeSelect!AY106</f>
        <v>11.315407072584176</v>
      </c>
      <c r="BA15" s="34" t="str">
        <f t="shared" ca="1" si="1"/>
        <v>VariantAllowances</v>
      </c>
      <c r="BB15" s="34" t="str">
        <f>Transform!$A$27</f>
        <v>Totex allowance</v>
      </c>
      <c r="BC15" s="34" t="str">
        <f t="shared" si="2"/>
        <v>Variant allowances (including Real Price Effects)</v>
      </c>
    </row>
    <row r="16" spans="1:56" x14ac:dyDescent="0.35">
      <c r="E16" s="33" t="str">
        <f>LicenseeSelect!E107</f>
        <v>PCD_Tinsley viaduct diversion (Cadent_EoE)</v>
      </c>
      <c r="F16" s="126" t="str">
        <f>LicenseeSelect!F107</f>
        <v>SpC 3.25</v>
      </c>
      <c r="G16" s="33" t="str">
        <f t="shared" si="0"/>
        <v>£m 23/24 prices</v>
      </c>
      <c r="H16" s="33" t="str">
        <f>LicenseeSelect!H107</f>
        <v>TVDt</v>
      </c>
      <c r="AU16" s="87">
        <f>LicenseeSelect!AU107</f>
        <v>0</v>
      </c>
      <c r="AV16" s="36">
        <f>LicenseeSelect!AV107</f>
        <v>0</v>
      </c>
      <c r="AW16" s="36">
        <f>LicenseeSelect!AW107</f>
        <v>0</v>
      </c>
      <c r="AX16" s="36">
        <f>LicenseeSelect!AX107</f>
        <v>0</v>
      </c>
      <c r="AY16" s="36">
        <f>LicenseeSelect!AY107</f>
        <v>0</v>
      </c>
      <c r="BA16" s="34" t="str">
        <f t="shared" ca="1" si="1"/>
        <v>VariantAllowances</v>
      </c>
      <c r="BB16" s="34" t="str">
        <f>Transform!$A$27</f>
        <v>Totex allowance</v>
      </c>
      <c r="BC16" s="34" t="str">
        <f t="shared" si="2"/>
        <v>Variant allowances (including Real Price Effects)</v>
      </c>
    </row>
    <row r="17" spans="5:55" x14ac:dyDescent="0.35">
      <c r="E17" s="33" t="str">
        <f>LicenseeSelect!E108</f>
        <v>PCD_Iron Stubs / Tier 1 Stubs decommissioning PCD</v>
      </c>
      <c r="F17" s="126" t="str">
        <f>LicenseeSelect!F108</f>
        <v>SpC 3.19</v>
      </c>
      <c r="G17" s="33" t="str">
        <f t="shared" si="0"/>
        <v>£m 23/24 prices</v>
      </c>
      <c r="H17" s="33" t="str">
        <f>LicenseeSelect!H108</f>
        <v>STBDt</v>
      </c>
      <c r="AU17" s="87">
        <f>LicenseeSelect!AU108</f>
        <v>0.35484507425807871</v>
      </c>
      <c r="AV17" s="36">
        <f>LicenseeSelect!AV108</f>
        <v>0.35129662351549795</v>
      </c>
      <c r="AW17" s="36">
        <f>LicenseeSelect!AW108</f>
        <v>0.34778365728034294</v>
      </c>
      <c r="AX17" s="36">
        <f>LicenseeSelect!AX108</f>
        <v>0.34430582070753951</v>
      </c>
      <c r="AY17" s="36">
        <f>LicenseeSelect!AY108</f>
        <v>0.34086276250046416</v>
      </c>
      <c r="BA17" s="34" t="str">
        <f t="shared" ca="1" si="1"/>
        <v>VariantAllowances</v>
      </c>
      <c r="BB17" s="34" t="str">
        <f>Transform!$A$27</f>
        <v>Totex allowance</v>
      </c>
      <c r="BC17" s="34" t="str">
        <f t="shared" si="2"/>
        <v>Variant allowances (including Real Price Effects)</v>
      </c>
    </row>
    <row r="18" spans="5:55" x14ac:dyDescent="0.35">
      <c r="E18" s="33" t="str">
        <f>LicenseeSelect!E109</f>
        <v>PCD_Full Site and System Rebuilds (SGN_all)</v>
      </c>
      <c r="F18" s="126" t="str">
        <f>LicenseeSelect!F109</f>
        <v>SpC 3.28</v>
      </c>
      <c r="G18" s="33" t="str">
        <f t="shared" si="0"/>
        <v>£m 23/24 prices</v>
      </c>
      <c r="H18" s="33" t="str">
        <f>LicenseeSelect!H109</f>
        <v>FSRt</v>
      </c>
      <c r="AU18" s="87">
        <f>LicenseeSelect!AU109</f>
        <v>1.1643587999999998</v>
      </c>
      <c r="AV18" s="36">
        <f>LicenseeSelect!AV109</f>
        <v>4.3803178055999989</v>
      </c>
      <c r="AW18" s="36">
        <f>LicenseeSelect!AW109</f>
        <v>7.1419352747489988</v>
      </c>
      <c r="AX18" s="36">
        <f>LicenseeSelect!AX109</f>
        <v>4.8862819753911895</v>
      </c>
      <c r="AY18" s="36">
        <f>LicenseeSelect!AY109</f>
        <v>2.3208427162884049</v>
      </c>
      <c r="BA18" s="34" t="str">
        <f t="shared" ca="1" si="1"/>
        <v>VariantAllowances</v>
      </c>
      <c r="BB18" s="34" t="str">
        <f>Transform!$A$27</f>
        <v>Totex allowance</v>
      </c>
      <c r="BC18" s="34" t="str">
        <f t="shared" si="2"/>
        <v>Variant allowances (including Real Price Effects)</v>
      </c>
    </row>
    <row r="19" spans="5:55" x14ac:dyDescent="0.35">
      <c r="E19" s="33" t="str">
        <f>LicenseeSelect!E110</f>
        <v>PCD_Glenmavis (Offtake) (SGN_Sc) / Full site and system rebuilds PCD (SGN)</v>
      </c>
      <c r="F19" s="126" t="str">
        <f>LicenseeSelect!F110</f>
        <v>SpC 3.28</v>
      </c>
      <c r="G19" s="33" t="str">
        <f t="shared" si="0"/>
        <v>£m 23/24 prices</v>
      </c>
      <c r="H19" s="33" t="str">
        <f>LicenseeSelect!H110</f>
        <v>FSRt</v>
      </c>
      <c r="AU19" s="87">
        <f>LicenseeSelect!AU110</f>
        <v>0.34558229189582884</v>
      </c>
      <c r="AV19" s="36">
        <f>LicenseeSelect!AV110</f>
        <v>2.0669559551177104</v>
      </c>
      <c r="AW19" s="36">
        <f>LicenseeSelect!AW110</f>
        <v>3.0416843876523303</v>
      </c>
      <c r="AX19" s="36">
        <f>LicenseeSelect!AX110</f>
        <v>0</v>
      </c>
      <c r="AY19" s="36">
        <f>LicenseeSelect!AY110</f>
        <v>0</v>
      </c>
      <c r="BA19" s="34" t="str">
        <f t="shared" ca="1" si="1"/>
        <v>VariantAllowances</v>
      </c>
      <c r="BB19" s="34" t="str">
        <f>Transform!$A$27</f>
        <v>Totex allowance</v>
      </c>
      <c r="BC19" s="34" t="str">
        <f t="shared" si="2"/>
        <v>Variant allowances (including Real Price Effects)</v>
      </c>
    </row>
    <row r="20" spans="5:55" x14ac:dyDescent="0.35">
      <c r="E20" s="33" t="str">
        <f>LicenseeSelect!E111</f>
        <v>PCD_Isle of Grain (SGN_So) / Full site and system rebuilds PCD (SGN)</v>
      </c>
      <c r="F20" s="126" t="str">
        <f>LicenseeSelect!F111</f>
        <v>SpC 3.28</v>
      </c>
      <c r="G20" s="33" t="str">
        <f t="shared" si="0"/>
        <v>£m 23/24 prices</v>
      </c>
      <c r="H20" s="33" t="str">
        <f>LicenseeSelect!H111</f>
        <v>FSRt</v>
      </c>
      <c r="AU20" s="87">
        <f>LicenseeSelect!AU111</f>
        <v>0</v>
      </c>
      <c r="AV20" s="36">
        <f>LicenseeSelect!AV111</f>
        <v>0</v>
      </c>
      <c r="AW20" s="36">
        <f>LicenseeSelect!AW111</f>
        <v>0</v>
      </c>
      <c r="AX20" s="36">
        <f>LicenseeSelect!AX111</f>
        <v>0</v>
      </c>
      <c r="AY20" s="36">
        <f>LicenseeSelect!AY111</f>
        <v>0</v>
      </c>
      <c r="BA20" s="34" t="str">
        <f t="shared" ca="1" si="1"/>
        <v>VariantAllowances</v>
      </c>
      <c r="BB20" s="34" t="str">
        <f>Transform!$A$27</f>
        <v>Totex allowance</v>
      </c>
      <c r="BC20" s="34" t="str">
        <f t="shared" si="2"/>
        <v>Variant allowances (including Real Price Effects)</v>
      </c>
    </row>
    <row r="21" spans="5:55" x14ac:dyDescent="0.35">
      <c r="E21" s="33" t="str">
        <f>LicenseeSelect!E112</f>
        <v>PCD_EVs  / Operational Transport Emissions Reduction PCD</v>
      </c>
      <c r="F21" s="126" t="str">
        <f>LicenseeSelect!F112</f>
        <v>SpC 3.9</v>
      </c>
      <c r="G21" s="33" t="str">
        <f t="shared" si="0"/>
        <v>£m 23/24 prices</v>
      </c>
      <c r="H21" s="33" t="str">
        <f>LicenseeSelect!H112</f>
        <v>OTCt</v>
      </c>
      <c r="AU21" s="87">
        <f>LicenseeSelect!AU112</f>
        <v>0.56746966716000002</v>
      </c>
      <c r="AV21" s="36">
        <f>LicenseeSelect!AV112</f>
        <v>0.63864265128840003</v>
      </c>
      <c r="AW21" s="36">
        <f>LicenseeSelect!AW112</f>
        <v>0.7083354287675161</v>
      </c>
      <c r="AX21" s="36">
        <f>LicenseeSelect!AX112</f>
        <v>0.77657048643192095</v>
      </c>
      <c r="AY21" s="36">
        <f>LicenseeSelect!AY112</f>
        <v>0.84337000940016082</v>
      </c>
      <c r="BA21" s="34" t="str">
        <f t="shared" ca="1" si="1"/>
        <v>VariantAllowances</v>
      </c>
      <c r="BB21" s="34" t="str">
        <f>Transform!$A$27</f>
        <v>Totex allowance</v>
      </c>
      <c r="BC21" s="34" t="str">
        <f t="shared" si="2"/>
        <v>Variant allowances (including Real Price Effects)</v>
      </c>
    </row>
    <row r="22" spans="5:55" x14ac:dyDescent="0.35">
      <c r="E22" s="33" t="str">
        <f>LicenseeSelect!E113</f>
        <v>PCD_South London Mains (SGN_So)</v>
      </c>
      <c r="F22" s="126" t="str">
        <f>LicenseeSelect!F113</f>
        <v>SpC 3.27</v>
      </c>
      <c r="G22" s="33" t="str">
        <f t="shared" si="0"/>
        <v>£m 23/24 prices</v>
      </c>
      <c r="H22" s="33" t="str">
        <f>LicenseeSelect!H113</f>
        <v>SLMt</v>
      </c>
      <c r="AU22" s="87">
        <f>LicenseeSelect!AU113</f>
        <v>0</v>
      </c>
      <c r="AV22" s="36">
        <f>LicenseeSelect!AV113</f>
        <v>0</v>
      </c>
      <c r="AW22" s="36">
        <f>LicenseeSelect!AW113</f>
        <v>0</v>
      </c>
      <c r="AX22" s="36">
        <f>LicenseeSelect!AX113</f>
        <v>0</v>
      </c>
      <c r="AY22" s="36">
        <f>LicenseeSelect!AY113</f>
        <v>0</v>
      </c>
      <c r="BA22" s="34" t="str">
        <f t="shared" ca="1" si="1"/>
        <v>VariantAllowances</v>
      </c>
      <c r="BB22" s="34" t="str">
        <f>Transform!$A$27</f>
        <v>Totex allowance</v>
      </c>
      <c r="BC22" s="34" t="str">
        <f t="shared" si="2"/>
        <v>Variant allowances (including Real Price Effects)</v>
      </c>
    </row>
    <row r="23" spans="5:55" x14ac:dyDescent="0.35">
      <c r="E23" s="33" t="str">
        <f>LicenseeSelect!E114</f>
        <v>PCD_WWU.7 - HS007 (WWU_WWU) / Pipeline Replacements PCD (WWU)</v>
      </c>
      <c r="F23" s="126" t="str">
        <f>LicenseeSelect!F114</f>
        <v>SpC 3.31</v>
      </c>
      <c r="G23" s="33" t="str">
        <f t="shared" si="0"/>
        <v>£m 23/24 prices</v>
      </c>
      <c r="H23" s="33" t="str">
        <f>LicenseeSelect!H114</f>
        <v>PREt</v>
      </c>
      <c r="AU23" s="87">
        <f>LicenseeSelect!AU114</f>
        <v>0</v>
      </c>
      <c r="AV23" s="36">
        <f>LicenseeSelect!AV114</f>
        <v>0</v>
      </c>
      <c r="AW23" s="36">
        <f>LicenseeSelect!AW114</f>
        <v>0</v>
      </c>
      <c r="AX23" s="36">
        <f>LicenseeSelect!AX114</f>
        <v>0</v>
      </c>
      <c r="AY23" s="36">
        <f>LicenseeSelect!AY114</f>
        <v>0</v>
      </c>
      <c r="BA23" s="34" t="str">
        <f t="shared" ca="1" si="1"/>
        <v>VariantAllowances</v>
      </c>
      <c r="BB23" s="34" t="str">
        <f>Transform!$A$27</f>
        <v>Totex allowance</v>
      </c>
      <c r="BC23" s="34" t="str">
        <f t="shared" si="2"/>
        <v>Variant allowances (including Real Price Effects)</v>
      </c>
    </row>
    <row r="24" spans="5:55" x14ac:dyDescent="0.35">
      <c r="E24" s="33" t="str">
        <f>LicenseeSelect!E115</f>
        <v>PCD_WWU.9 - HS009 (WWU_WWU) / Pipeline Replacements PCD (WWU)</v>
      </c>
      <c r="F24" s="126" t="str">
        <f>LicenseeSelect!F115</f>
        <v>SpC 3.31</v>
      </c>
      <c r="G24" s="33" t="str">
        <f t="shared" si="0"/>
        <v>£m 23/24 prices</v>
      </c>
      <c r="H24" s="33" t="str">
        <f>LicenseeSelect!H115</f>
        <v>PREt</v>
      </c>
      <c r="AU24" s="87">
        <f>LicenseeSelect!AU115</f>
        <v>0</v>
      </c>
      <c r="AV24" s="36">
        <f>LicenseeSelect!AV115</f>
        <v>0</v>
      </c>
      <c r="AW24" s="36">
        <f>LicenseeSelect!AW115</f>
        <v>0</v>
      </c>
      <c r="AX24" s="36">
        <f>LicenseeSelect!AX115</f>
        <v>0</v>
      </c>
      <c r="AY24" s="36">
        <f>LicenseeSelect!AY115</f>
        <v>0</v>
      </c>
      <c r="BA24" s="34" t="str">
        <f t="shared" ca="1" si="1"/>
        <v>VariantAllowances</v>
      </c>
      <c r="BB24" s="34" t="str">
        <f>Transform!$A$27</f>
        <v>Totex allowance</v>
      </c>
      <c r="BC24" s="34" t="str">
        <f t="shared" si="2"/>
        <v>Variant allowances (including Real Price Effects)</v>
      </c>
    </row>
    <row r="25" spans="5:55" x14ac:dyDescent="0.35">
      <c r="E25" s="33" t="str">
        <f>LicenseeSelect!E116</f>
        <v>PCD_WWU.9 - HS010 (WWU_WWU) / Pipeline Replacements PCD (WWU)</v>
      </c>
      <c r="F25" s="126" t="str">
        <f>LicenseeSelect!F116</f>
        <v>SpC 3.31</v>
      </c>
      <c r="G25" s="33" t="str">
        <f t="shared" si="0"/>
        <v>£m 23/24 prices</v>
      </c>
      <c r="H25" s="33" t="str">
        <f>LicenseeSelect!H116</f>
        <v>PREt</v>
      </c>
      <c r="AU25" s="87">
        <f>LicenseeSelect!AU116</f>
        <v>0</v>
      </c>
      <c r="AV25" s="36">
        <f>LicenseeSelect!AV116</f>
        <v>0</v>
      </c>
      <c r="AW25" s="36">
        <f>LicenseeSelect!AW116</f>
        <v>0</v>
      </c>
      <c r="AX25" s="36">
        <f>LicenseeSelect!AX116</f>
        <v>0</v>
      </c>
      <c r="AY25" s="36">
        <f>LicenseeSelect!AY116</f>
        <v>0</v>
      </c>
      <c r="BA25" s="34" t="str">
        <f t="shared" ca="1" si="1"/>
        <v>VariantAllowances</v>
      </c>
      <c r="BB25" s="34" t="str">
        <f>Transform!$A$27</f>
        <v>Totex allowance</v>
      </c>
      <c r="BC25" s="34" t="str">
        <f t="shared" si="2"/>
        <v>Variant allowances (including Real Price Effects)</v>
      </c>
    </row>
    <row r="26" spans="5:55" x14ac:dyDescent="0.35">
      <c r="E26" s="33" t="str">
        <f>LicenseeSelect!E117</f>
        <v>PCD_Mandated Category 3 Security (Cadent_all)</v>
      </c>
      <c r="F26" s="126" t="str">
        <f>LicenseeSelect!F117</f>
        <v>SpC 3.30</v>
      </c>
      <c r="G26" s="33" t="str">
        <f t="shared" si="0"/>
        <v>£m 23/24 prices</v>
      </c>
      <c r="H26" s="33" t="str">
        <f>LicenseeSelect!H117</f>
        <v>MDSt</v>
      </c>
      <c r="AU26" s="87">
        <f>LicenseeSelect!AU117</f>
        <v>0</v>
      </c>
      <c r="AV26" s="36">
        <f>LicenseeSelect!AV117</f>
        <v>0</v>
      </c>
      <c r="AW26" s="36">
        <f>LicenseeSelect!AW117</f>
        <v>0</v>
      </c>
      <c r="AX26" s="36">
        <f>LicenseeSelect!AX117</f>
        <v>0</v>
      </c>
      <c r="AY26" s="36">
        <f>LicenseeSelect!AY117</f>
        <v>0</v>
      </c>
      <c r="BA26" s="34" t="str">
        <f t="shared" ca="1" si="1"/>
        <v>VariantAllowances</v>
      </c>
      <c r="BB26" s="34" t="str">
        <f>Transform!$A$27</f>
        <v>Totex allowance</v>
      </c>
      <c r="BC26" s="34" t="str">
        <f t="shared" si="2"/>
        <v>Variant allowances (including Real Price Effects)</v>
      </c>
    </row>
    <row r="27" spans="5:55" x14ac:dyDescent="0.35">
      <c r="E27" s="33" t="str">
        <f>LicenseeSelect!E118</f>
        <v>VD_GSIUR Disconnections Volume Driver</v>
      </c>
      <c r="F27" s="126">
        <f>LicenseeSelect!F118</f>
        <v>0</v>
      </c>
      <c r="G27" s="33" t="str">
        <f t="shared" si="0"/>
        <v>£m 23/24 prices</v>
      </c>
      <c r="H27" s="33" t="str">
        <f>LicenseeSelect!H118</f>
        <v>GDVDt</v>
      </c>
      <c r="AU27" s="87">
        <f>LicenseeSelect!AU118</f>
        <v>0.23642983401317269</v>
      </c>
      <c r="AV27" s="36">
        <f>LicenseeSelect!AV118</f>
        <v>0.23406553567304098</v>
      </c>
      <c r="AW27" s="36">
        <f>LicenseeSelect!AW118</f>
        <v>0.23172488031631056</v>
      </c>
      <c r="AX27" s="36">
        <f>LicenseeSelect!AX118</f>
        <v>0.22940763151314744</v>
      </c>
      <c r="AY27" s="36">
        <f>LicenseeSelect!AY118</f>
        <v>0.22711355519801596</v>
      </c>
      <c r="BA27" s="34" t="str">
        <f t="shared" ca="1" si="1"/>
        <v>VariantAllowances</v>
      </c>
      <c r="BB27" s="34" t="str">
        <f>Transform!$A$27</f>
        <v>Totex allowance</v>
      </c>
      <c r="BC27" s="34" t="str">
        <f t="shared" si="2"/>
        <v>Variant allowances (including Real Price Effects)</v>
      </c>
    </row>
    <row r="28" spans="5:55" x14ac:dyDescent="0.35">
      <c r="E28" s="33" t="str">
        <f>LicenseeSelect!E119</f>
        <v>VD_[spare slot]</v>
      </c>
      <c r="F28" s="126">
        <f>LicenseeSelect!F119</f>
        <v>0</v>
      </c>
      <c r="G28" s="33" t="str">
        <f t="shared" si="0"/>
        <v>£m 23/24 prices</v>
      </c>
      <c r="H28" s="33">
        <f>LicenseeSelect!H119</f>
        <v>0</v>
      </c>
      <c r="AU28" s="87">
        <f>LicenseeSelect!AU119</f>
        <v>0</v>
      </c>
      <c r="AV28" s="36">
        <f>LicenseeSelect!AV119</f>
        <v>0</v>
      </c>
      <c r="AW28" s="36">
        <f>LicenseeSelect!AW119</f>
        <v>0</v>
      </c>
      <c r="AX28" s="36">
        <f>LicenseeSelect!AX119</f>
        <v>0</v>
      </c>
      <c r="AY28" s="36">
        <f>LicenseeSelect!AY119</f>
        <v>0</v>
      </c>
      <c r="BA28" s="34" t="str">
        <f t="shared" ca="1" si="1"/>
        <v>VariantAllowances</v>
      </c>
      <c r="BB28" s="34" t="str">
        <f>Transform!$A$27</f>
        <v>Totex allowance</v>
      </c>
      <c r="BC28" s="34" t="str">
        <f t="shared" si="2"/>
        <v>Variant allowances (including Real Price Effects)</v>
      </c>
    </row>
    <row r="29" spans="5:55" x14ac:dyDescent="0.35">
      <c r="E29" s="33" t="str">
        <f>LicenseeSelect!E120</f>
        <v>VD_Tier 2A Mains and Services Replacement Volume Driver</v>
      </c>
      <c r="F29" s="126" t="str">
        <f>LicenseeSelect!F120</f>
        <v>SpC 3.12</v>
      </c>
      <c r="G29" s="33" t="str">
        <f t="shared" si="0"/>
        <v>£m 23/24 prices</v>
      </c>
      <c r="H29" s="33" t="str">
        <f>LicenseeSelect!H120</f>
        <v>REt</v>
      </c>
      <c r="AU29" s="87">
        <f>LicenseeSelect!AU120</f>
        <v>1.6249792416178273</v>
      </c>
      <c r="AV29" s="36">
        <f>LicenseeSelect!AV120</f>
        <v>1.621156924180772</v>
      </c>
      <c r="AW29" s="36">
        <f>LicenseeSelect!AW120</f>
        <v>1.5244649102439816</v>
      </c>
      <c r="AX29" s="36">
        <f>LicenseeSelect!AX120</f>
        <v>1.4872780783305408</v>
      </c>
      <c r="AY29" s="36">
        <f>LicenseeSelect!AY120</f>
        <v>1.4704102890598547</v>
      </c>
      <c r="BA29" s="34" t="str">
        <f t="shared" ca="1" si="1"/>
        <v>VariantAllowances</v>
      </c>
      <c r="BB29" s="34" t="str">
        <f>Transform!$A$27</f>
        <v>Totex allowance</v>
      </c>
      <c r="BC29" s="34" t="str">
        <f t="shared" si="2"/>
        <v>Variant allowances (including Real Price Effects)</v>
      </c>
    </row>
    <row r="30" spans="5:55" x14ac:dyDescent="0.35">
      <c r="E30" s="33" t="str">
        <f>LicenseeSelect!E121</f>
        <v>UIOLI_Net Zero and Re-opener Development Fund / Decarbonisation Project Development Fund UIOLI</v>
      </c>
      <c r="F30" s="126" t="str">
        <f>LicenseeSelect!F121</f>
        <v>SpC 3.5</v>
      </c>
      <c r="G30" s="33" t="str">
        <f t="shared" si="0"/>
        <v>£m 23/24 prices</v>
      </c>
      <c r="H30" s="33" t="str">
        <f>LicenseeSelect!H121</f>
        <v>DPDt</v>
      </c>
      <c r="AU30" s="87">
        <f>LicenseeSelect!AU121</f>
        <v>1.2392497899386423</v>
      </c>
      <c r="AV30" s="36">
        <f>LicenseeSelect!AV121</f>
        <v>1.2767146539807555</v>
      </c>
      <c r="AW30" s="36">
        <f>LicenseeSelect!AW121</f>
        <v>1.2662639920655725</v>
      </c>
      <c r="AX30" s="36">
        <f>LicenseeSelect!AX121</f>
        <v>1.1608107225440842</v>
      </c>
      <c r="AY30" s="36">
        <f>LicenseeSelect!AY121</f>
        <v>1.0894965187347112</v>
      </c>
      <c r="BA30" s="34" t="str">
        <f t="shared" ca="1" si="1"/>
        <v>VariantAllowances</v>
      </c>
      <c r="BB30" s="34" t="str">
        <f>Transform!$A$27</f>
        <v>Totex allowance</v>
      </c>
      <c r="BC30" s="34" t="str">
        <f t="shared" si="2"/>
        <v>Variant allowances (including Real Price Effects)</v>
      </c>
    </row>
    <row r="31" spans="5:55" x14ac:dyDescent="0.35">
      <c r="E31" s="33" t="str">
        <f>LicenseeSelect!E122</f>
        <v>UIOLI_Cyber Resilience_NGN</v>
      </c>
      <c r="F31" s="126" t="str">
        <f>LicenseeSelect!F122</f>
        <v>SpC 3.2</v>
      </c>
      <c r="G31" s="33" t="str">
        <f t="shared" si="0"/>
        <v>£m 23/24 prices</v>
      </c>
      <c r="H31" s="33" t="str">
        <f>LicenseeSelect!H122</f>
        <v>CYREt</v>
      </c>
      <c r="AU31" s="87">
        <f>LicenseeSelect!AU122</f>
        <v>0</v>
      </c>
      <c r="AV31" s="36">
        <f>LicenseeSelect!AV122</f>
        <v>0</v>
      </c>
      <c r="AW31" s="36">
        <f>LicenseeSelect!AW122</f>
        <v>0</v>
      </c>
      <c r="AX31" s="36">
        <f>LicenseeSelect!AX122</f>
        <v>0</v>
      </c>
      <c r="AY31" s="36">
        <f>LicenseeSelect!AY122</f>
        <v>0</v>
      </c>
      <c r="BA31" s="34" t="str">
        <f t="shared" ca="1" si="1"/>
        <v>VariantAllowances</v>
      </c>
      <c r="BB31" s="34" t="str">
        <f>Transform!$A$27</f>
        <v>Totex allowance</v>
      </c>
      <c r="BC31" s="34" t="str">
        <f t="shared" si="2"/>
        <v>Variant allowances (including Real Price Effects)</v>
      </c>
    </row>
    <row r="32" spans="5:55" x14ac:dyDescent="0.35">
      <c r="E32" s="33" t="str">
        <f>LicenseeSelect!E123</f>
        <v>UIOLI_Cyber Resilience_All except NGN and WWU</v>
      </c>
      <c r="F32" s="126" t="str">
        <f>LicenseeSelect!F123</f>
        <v>SpC 3.2</v>
      </c>
      <c r="G32" s="33" t="str">
        <f t="shared" si="0"/>
        <v>£m 23/24 prices</v>
      </c>
      <c r="H32" s="33" t="str">
        <f>LicenseeSelect!H123</f>
        <v>CYREt</v>
      </c>
      <c r="AU32" s="87">
        <f>LicenseeSelect!AU123</f>
        <v>0.10206121530286198</v>
      </c>
      <c r="AV32" s="36">
        <f>LicenseeSelect!AV123</f>
        <v>0.12990934690692862</v>
      </c>
      <c r="AW32" s="36">
        <f>LicenseeSelect!AW123</f>
        <v>0.14575828722957393</v>
      </c>
      <c r="AX32" s="36">
        <f>LicenseeSelect!AX123</f>
        <v>0.1612772578110756</v>
      </c>
      <c r="AY32" s="36">
        <f>LicenseeSelect!AY123</f>
        <v>0.17647127315222433</v>
      </c>
      <c r="BA32" s="34" t="str">
        <f t="shared" ca="1" si="1"/>
        <v>VariantAllowances</v>
      </c>
      <c r="BB32" s="34" t="str">
        <f>Transform!$A$27</f>
        <v>Totex allowance</v>
      </c>
      <c r="BC32" s="34" t="str">
        <f t="shared" si="2"/>
        <v>Variant allowances (including Real Price Effects)</v>
      </c>
    </row>
    <row r="33" spans="5:55" x14ac:dyDescent="0.35">
      <c r="E33" s="33" t="str">
        <f>LicenseeSelect!E124</f>
        <v>UIOLI_Biomethane connections / Biomethane Distributed Entry Reinforcement</v>
      </c>
      <c r="F33" s="126" t="str">
        <f>LicenseeSelect!F124</f>
        <v>SpC 3.21</v>
      </c>
      <c r="G33" s="33" t="str">
        <f t="shared" si="0"/>
        <v>£m 23/24 prices</v>
      </c>
      <c r="H33" s="33" t="str">
        <f>LicenseeSelect!H124</f>
        <v>BDERt</v>
      </c>
      <c r="AU33" s="87">
        <f>LicenseeSelect!AU124</f>
        <v>4</v>
      </c>
      <c r="AV33" s="36">
        <f>LicenseeSelect!AV124</f>
        <v>4</v>
      </c>
      <c r="AW33" s="36">
        <f>LicenseeSelect!AW124</f>
        <v>4</v>
      </c>
      <c r="AX33" s="36">
        <f>LicenseeSelect!AX124</f>
        <v>4</v>
      </c>
      <c r="AY33" s="36">
        <f>LicenseeSelect!AY124</f>
        <v>4</v>
      </c>
      <c r="BA33" s="34" t="str">
        <f t="shared" ca="1" si="1"/>
        <v>VariantAllowances</v>
      </c>
      <c r="BB33" s="34" t="str">
        <f>Transform!$A$27</f>
        <v>Totex allowance</v>
      </c>
      <c r="BC33" s="34" t="str">
        <f t="shared" si="2"/>
        <v>Variant allowances (including Real Price Effects)</v>
      </c>
    </row>
    <row r="34" spans="5:55" x14ac:dyDescent="0.35">
      <c r="E34" s="33" t="str">
        <f>LicenseeSelect!E125</f>
        <v>Re-opener_Climate change resilience work</v>
      </c>
      <c r="F34" s="126">
        <f>LicenseeSelect!F125</f>
        <v>0</v>
      </c>
      <c r="G34" s="33" t="str">
        <f t="shared" si="0"/>
        <v>£m 23/24 prices</v>
      </c>
      <c r="H34" s="33">
        <f>LicenseeSelect!H125</f>
        <v>0</v>
      </c>
      <c r="AU34" s="87">
        <f>LicenseeSelect!AU125</f>
        <v>0</v>
      </c>
      <c r="AV34" s="36">
        <f>LicenseeSelect!AV125</f>
        <v>0</v>
      </c>
      <c r="AW34" s="36">
        <f>LicenseeSelect!AW125</f>
        <v>0</v>
      </c>
      <c r="AX34" s="36">
        <f>LicenseeSelect!AX125</f>
        <v>0</v>
      </c>
      <c r="AY34" s="36">
        <f>LicenseeSelect!AY125</f>
        <v>0</v>
      </c>
      <c r="BA34" s="34" t="str">
        <f t="shared" ca="1" si="1"/>
        <v>VariantAllowances</v>
      </c>
      <c r="BB34" s="34" t="str">
        <f>Transform!$A$27</f>
        <v>Totex allowance</v>
      </c>
      <c r="BC34" s="34" t="str">
        <f t="shared" si="2"/>
        <v>Variant allowances (including Real Price Effects)</v>
      </c>
    </row>
    <row r="35" spans="5:55" x14ac:dyDescent="0.35">
      <c r="E35" s="33" t="str">
        <f>LicenseeSelect!E126</f>
        <v>Re-opener_Coordinated Adjustment Mechanism Re-opener</v>
      </c>
      <c r="F35" s="126" t="str">
        <f>LicenseeSelect!F126</f>
        <v>SpC 3.8</v>
      </c>
      <c r="G35" s="33" t="str">
        <f t="shared" si="0"/>
        <v>£m 23/24 prices</v>
      </c>
      <c r="H35" s="33" t="str">
        <f>LicenseeSelect!H126</f>
        <v>CAMt</v>
      </c>
      <c r="AU35" s="87">
        <f>LicenseeSelect!AU126</f>
        <v>0</v>
      </c>
      <c r="AV35" s="36">
        <f>LicenseeSelect!AV126</f>
        <v>0</v>
      </c>
      <c r="AW35" s="36">
        <f>LicenseeSelect!AW126</f>
        <v>0</v>
      </c>
      <c r="AX35" s="36">
        <f>LicenseeSelect!AX126</f>
        <v>0</v>
      </c>
      <c r="AY35" s="36">
        <f>LicenseeSelect!AY126</f>
        <v>0</v>
      </c>
      <c r="BA35" s="34" t="str">
        <f t="shared" ca="1" si="1"/>
        <v>VariantAllowances</v>
      </c>
      <c r="BB35" s="34" t="str">
        <f>Transform!$A$27</f>
        <v>Totex allowance</v>
      </c>
      <c r="BC35" s="34" t="str">
        <f t="shared" si="2"/>
        <v>Variant allowances (including Real Price Effects)</v>
      </c>
    </row>
    <row r="36" spans="5:55" x14ac:dyDescent="0.35">
      <c r="E36" s="33" t="str">
        <f>LicenseeSelect!E127</f>
        <v>Re-opener_Cyber re-opener (Cadent_EoE) / Cyber resilience Re-Opener</v>
      </c>
      <c r="F36" s="126" t="str">
        <f>LicenseeSelect!F127</f>
        <v>SpC 3.2</v>
      </c>
      <c r="G36" s="33" t="str">
        <f t="shared" si="0"/>
        <v>£m 23/24 prices</v>
      </c>
      <c r="H36" s="33" t="str">
        <f>LicenseeSelect!H127</f>
        <v>CYREt</v>
      </c>
      <c r="AU36" s="87">
        <f>LicenseeSelect!AU127</f>
        <v>0</v>
      </c>
      <c r="AV36" s="36">
        <f>LicenseeSelect!AV127</f>
        <v>0</v>
      </c>
      <c r="AW36" s="36">
        <f>LicenseeSelect!AW127</f>
        <v>0</v>
      </c>
      <c r="AX36" s="36">
        <f>LicenseeSelect!AX127</f>
        <v>6.1989142082518418</v>
      </c>
      <c r="AY36" s="36">
        <f>LicenseeSelect!AY127</f>
        <v>6.1989142082518418</v>
      </c>
      <c r="BA36" s="34" t="str">
        <f t="shared" ca="1" si="1"/>
        <v>VariantAllowances</v>
      </c>
      <c r="BB36" s="34" t="str">
        <f>Transform!$A$27</f>
        <v>Totex allowance</v>
      </c>
      <c r="BC36" s="34" t="str">
        <f t="shared" si="2"/>
        <v>Variant allowances (including Real Price Effects)</v>
      </c>
    </row>
    <row r="37" spans="5:55" x14ac:dyDescent="0.35">
      <c r="E37" s="33" t="str">
        <f>LicenseeSelect!E128</f>
        <v>Re-opener_Data and digitalisation</v>
      </c>
      <c r="F37" s="126">
        <f>LicenseeSelect!F128</f>
        <v>0</v>
      </c>
      <c r="G37" s="33" t="str">
        <f t="shared" si="0"/>
        <v>£m 23/24 prices</v>
      </c>
      <c r="H37" s="33">
        <f>LicenseeSelect!H128</f>
        <v>0</v>
      </c>
      <c r="AU37" s="87">
        <f>LicenseeSelect!AU128</f>
        <v>0</v>
      </c>
      <c r="AV37" s="36">
        <f>LicenseeSelect!AV128</f>
        <v>0</v>
      </c>
      <c r="AW37" s="36">
        <f>LicenseeSelect!AW128</f>
        <v>0</v>
      </c>
      <c r="AX37" s="36">
        <f>LicenseeSelect!AX128</f>
        <v>0</v>
      </c>
      <c r="AY37" s="36">
        <f>LicenseeSelect!AY128</f>
        <v>0</v>
      </c>
      <c r="BA37" s="34" t="str">
        <f t="shared" ca="1" si="1"/>
        <v>VariantAllowances</v>
      </c>
      <c r="BB37" s="34" t="str">
        <f>Transform!$A$27</f>
        <v>Totex allowance</v>
      </c>
      <c r="BC37" s="34" t="str">
        <f t="shared" si="2"/>
        <v>Variant allowances (including Real Price Effects)</v>
      </c>
    </row>
    <row r="38" spans="5:55" x14ac:dyDescent="0.35">
      <c r="E38" s="33" t="str">
        <f>LicenseeSelect!E129</f>
        <v>Re-opener_Digitalisation re-opener</v>
      </c>
      <c r="F38" s="126" t="str">
        <f>LicenseeSelect!F129</f>
        <v>SpC 3.7</v>
      </c>
      <c r="G38" s="33" t="str">
        <f t="shared" si="0"/>
        <v>£m 23/24 prices</v>
      </c>
      <c r="H38" s="33" t="str">
        <f>LicenseeSelect!H129</f>
        <v>DIGITt</v>
      </c>
      <c r="AU38" s="87">
        <f>LicenseeSelect!AU129</f>
        <v>0</v>
      </c>
      <c r="AV38" s="36">
        <f>LicenseeSelect!AV129</f>
        <v>0</v>
      </c>
      <c r="AW38" s="36">
        <f>LicenseeSelect!AW129</f>
        <v>0</v>
      </c>
      <c r="AX38" s="36">
        <f>LicenseeSelect!AX129</f>
        <v>0</v>
      </c>
      <c r="AY38" s="36">
        <f>LicenseeSelect!AY129</f>
        <v>0</v>
      </c>
      <c r="BA38" s="34" t="str">
        <f t="shared" ca="1" si="1"/>
        <v>VariantAllowances</v>
      </c>
      <c r="BB38" s="34" t="str">
        <f>Transform!$A$27</f>
        <v>Totex allowance</v>
      </c>
      <c r="BC38" s="34" t="str">
        <f t="shared" si="2"/>
        <v>Variant allowances (including Real Price Effects)</v>
      </c>
    </row>
    <row r="39" spans="5:55" x14ac:dyDescent="0.35">
      <c r="E39" s="33" t="str">
        <f>LicenseeSelect!E130</f>
        <v>Re-opener_Diversions and Loss of Development Claims Re-opener</v>
      </c>
      <c r="F39" s="126" t="str">
        <f>LicenseeSelect!F130</f>
        <v>SpC 3.15</v>
      </c>
      <c r="G39" s="33" t="str">
        <f t="shared" si="0"/>
        <v>£m 23/24 prices</v>
      </c>
      <c r="H39" s="33" t="str">
        <f>LicenseeSelect!H130</f>
        <v>DIVt</v>
      </c>
      <c r="AU39" s="87">
        <f>LicenseeSelect!AU130</f>
        <v>1.984</v>
      </c>
      <c r="AV39" s="36">
        <f>LicenseeSelect!AV130</f>
        <v>1.984</v>
      </c>
      <c r="AW39" s="36">
        <f>LicenseeSelect!AW130</f>
        <v>1.984</v>
      </c>
      <c r="AX39" s="36">
        <f>LicenseeSelect!AX130</f>
        <v>1.984</v>
      </c>
      <c r="AY39" s="36">
        <f>LicenseeSelect!AY130</f>
        <v>1.984</v>
      </c>
      <c r="BA39" s="34" t="str">
        <f t="shared" ca="1" si="1"/>
        <v>VariantAllowances</v>
      </c>
      <c r="BB39" s="34" t="str">
        <f>Transform!$A$27</f>
        <v>Totex allowance</v>
      </c>
      <c r="BC39" s="34" t="str">
        <f t="shared" si="2"/>
        <v>Variant allowances (including Real Price Effects)</v>
      </c>
    </row>
    <row r="40" spans="5:55" x14ac:dyDescent="0.35">
      <c r="E40" s="33" t="str">
        <f>LicenseeSelect!E131</f>
        <v>Re-opener_Heat Policy re-opener</v>
      </c>
      <c r="F40" s="126" t="str">
        <f>LicenseeSelect!F131</f>
        <v>SpC 3.14</v>
      </c>
      <c r="G40" s="33" t="str">
        <f t="shared" si="0"/>
        <v>£m 23/24 prices</v>
      </c>
      <c r="H40" s="33" t="str">
        <f>LicenseeSelect!H131</f>
        <v>HPRAt</v>
      </c>
      <c r="AU40" s="87">
        <f>LicenseeSelect!AU131</f>
        <v>0</v>
      </c>
      <c r="AV40" s="36">
        <f>LicenseeSelect!AV131</f>
        <v>0</v>
      </c>
      <c r="AW40" s="36">
        <f>LicenseeSelect!AW131</f>
        <v>0</v>
      </c>
      <c r="AX40" s="36">
        <f>LicenseeSelect!AX131</f>
        <v>0</v>
      </c>
      <c r="AY40" s="36">
        <f>LicenseeSelect!AY131</f>
        <v>0</v>
      </c>
      <c r="BA40" s="34" t="str">
        <f t="shared" ca="1" si="1"/>
        <v>VariantAllowances</v>
      </c>
      <c r="BB40" s="34" t="str">
        <f>Transform!$A$27</f>
        <v>Totex allowance</v>
      </c>
      <c r="BC40" s="34" t="str">
        <f t="shared" si="2"/>
        <v>Variant allowances (including Real Price Effects)</v>
      </c>
    </row>
    <row r="41" spans="5:55" x14ac:dyDescent="0.35">
      <c r="E41" s="33" t="str">
        <f>LicenseeSelect!E132</f>
        <v>Re-opener_HSE Policy Re-opener</v>
      </c>
      <c r="F41" s="126" t="str">
        <f>LicenseeSelect!F132</f>
        <v>SpC 3.13</v>
      </c>
      <c r="G41" s="33" t="str">
        <f t="shared" si="0"/>
        <v>£m 23/24 prices</v>
      </c>
      <c r="H41" s="33" t="str">
        <f>LicenseeSelect!H132</f>
        <v>REPt</v>
      </c>
      <c r="AU41" s="87">
        <f>LicenseeSelect!AU132</f>
        <v>0</v>
      </c>
      <c r="AV41" s="36">
        <f>LicenseeSelect!AV132</f>
        <v>0</v>
      </c>
      <c r="AW41" s="36">
        <f>LicenseeSelect!AW132</f>
        <v>0</v>
      </c>
      <c r="AX41" s="36">
        <f>LicenseeSelect!AX132</f>
        <v>0</v>
      </c>
      <c r="AY41" s="36">
        <f>LicenseeSelect!AY132</f>
        <v>0</v>
      </c>
      <c r="BA41" s="34" t="str">
        <f t="shared" ca="1" si="1"/>
        <v>VariantAllowances</v>
      </c>
      <c r="BB41" s="34" t="str">
        <f>Transform!$A$27</f>
        <v>Totex allowance</v>
      </c>
      <c r="BC41" s="34" t="str">
        <f t="shared" si="2"/>
        <v>Variant allowances (including Real Price Effects)</v>
      </c>
    </row>
    <row r="42" spans="5:55" x14ac:dyDescent="0.35">
      <c r="E42" s="33" t="str">
        <f>LicenseeSelect!E133</f>
        <v>Re-opener_London Subways and Tunnels</v>
      </c>
      <c r="F42" s="126" t="str">
        <f>LicenseeSelect!F133</f>
        <v>SpC 3.26</v>
      </c>
      <c r="G42" s="33" t="str">
        <f t="shared" si="0"/>
        <v>£m 23/24 prices</v>
      </c>
      <c r="H42" s="33" t="str">
        <f>LicenseeSelect!H133</f>
        <v>LSTt</v>
      </c>
      <c r="AU42" s="87">
        <f>LicenseeSelect!AU133</f>
        <v>0</v>
      </c>
      <c r="AV42" s="36">
        <f>LicenseeSelect!AV133</f>
        <v>0</v>
      </c>
      <c r="AW42" s="36">
        <f>LicenseeSelect!AW133</f>
        <v>0</v>
      </c>
      <c r="AX42" s="36">
        <f>LicenseeSelect!AX133</f>
        <v>0</v>
      </c>
      <c r="AY42" s="36">
        <f>LicenseeSelect!AY133</f>
        <v>0</v>
      </c>
      <c r="BA42" s="34" t="str">
        <f t="shared" ca="1" si="1"/>
        <v>VariantAllowances</v>
      </c>
      <c r="BB42" s="34" t="str">
        <f>Transform!$A$27</f>
        <v>Totex allowance</v>
      </c>
      <c r="BC42" s="34" t="str">
        <f t="shared" si="2"/>
        <v>Variant allowances (including Real Price Effects)</v>
      </c>
    </row>
    <row r="43" spans="5:55" x14ac:dyDescent="0.35">
      <c r="E43" s="33" t="str">
        <f>LicenseeSelect!E134</f>
        <v>Re-opener_Net Zero Pre-construction Works and Small Net Zero Projects Re-opener / Small Decarbonisation Projects Re-opener</v>
      </c>
      <c r="F43" s="126" t="str">
        <f>LicenseeSelect!F134</f>
        <v>SpC 3.4</v>
      </c>
      <c r="G43" s="33" t="str">
        <f t="shared" ref="G43:G57" si="3">price_label</f>
        <v>£m 23/24 prices</v>
      </c>
      <c r="H43" s="33" t="str">
        <f>LicenseeSelect!H134</f>
        <v>SDPt</v>
      </c>
      <c r="AU43" s="87">
        <f>LicenseeSelect!AU134</f>
        <v>0</v>
      </c>
      <c r="AV43" s="36">
        <f>LicenseeSelect!AV134</f>
        <v>0</v>
      </c>
      <c r="AW43" s="36">
        <f>LicenseeSelect!AW134</f>
        <v>0</v>
      </c>
      <c r="AX43" s="36">
        <f>LicenseeSelect!AX134</f>
        <v>0</v>
      </c>
      <c r="AY43" s="36">
        <f>LicenseeSelect!AY134</f>
        <v>0</v>
      </c>
      <c r="BA43" s="34" t="str">
        <f t="shared" ref="BA43:BA57" ca="1" si="4">$A$1</f>
        <v>VariantAllowances</v>
      </c>
      <c r="BB43" s="34" t="str">
        <f>Transform!$A$27</f>
        <v>Totex allowance</v>
      </c>
      <c r="BC43" s="34" t="str">
        <f t="shared" ref="BC43:BC57" si="5">$B$7</f>
        <v>Variant allowances (including Real Price Effects)</v>
      </c>
    </row>
    <row r="44" spans="5:55" x14ac:dyDescent="0.35">
      <c r="E44" s="33" t="str">
        <f>LicenseeSelect!E135</f>
        <v>Re-opener_Net zero re-opener / Decarbonisation and Environmental Policy Re-opener</v>
      </c>
      <c r="F44" s="126" t="str">
        <f>LicenseeSelect!F135</f>
        <v>SpC 3.6</v>
      </c>
      <c r="G44" s="33" t="str">
        <f t="shared" si="3"/>
        <v>£m 23/24 prices</v>
      </c>
      <c r="H44" s="33" t="str">
        <f>LicenseeSelect!H135</f>
        <v>DEPt</v>
      </c>
      <c r="AU44" s="87">
        <f>LicenseeSelect!AU135</f>
        <v>0</v>
      </c>
      <c r="AV44" s="36">
        <f>LicenseeSelect!AV135</f>
        <v>0</v>
      </c>
      <c r="AW44" s="36">
        <f>LicenseeSelect!AW135</f>
        <v>0</v>
      </c>
      <c r="AX44" s="36">
        <f>LicenseeSelect!AX135</f>
        <v>0</v>
      </c>
      <c r="AY44" s="36">
        <f>LicenseeSelect!AY135</f>
        <v>0</v>
      </c>
      <c r="BA44" s="34" t="str">
        <f t="shared" ca="1" si="4"/>
        <v>VariantAllowances</v>
      </c>
      <c r="BB44" s="34" t="str">
        <f>Transform!$A$27</f>
        <v>Totex allowance</v>
      </c>
      <c r="BC44" s="34" t="str">
        <f t="shared" si="5"/>
        <v>Variant allowances (including Real Price Effects)</v>
      </c>
    </row>
    <row r="45" spans="5:55" x14ac:dyDescent="0.35">
      <c r="E45" s="33" t="str">
        <f>LicenseeSelect!E136</f>
        <v>Re-opener_New Large Load Connections Re-opener</v>
      </c>
      <c r="F45" s="126" t="str">
        <f>LicenseeSelect!F136</f>
        <v>SpC 3.16</v>
      </c>
      <c r="G45" s="33" t="str">
        <f t="shared" si="3"/>
        <v>£m 23/24 prices</v>
      </c>
      <c r="H45" s="33" t="str">
        <f>LicenseeSelect!H136</f>
        <v>NLLRt</v>
      </c>
      <c r="AU45" s="87">
        <f>LicenseeSelect!AU136</f>
        <v>0</v>
      </c>
      <c r="AV45" s="36">
        <f>LicenseeSelect!AV136</f>
        <v>0</v>
      </c>
      <c r="AW45" s="36">
        <f>LicenseeSelect!AW136</f>
        <v>0</v>
      </c>
      <c r="AX45" s="36">
        <f>LicenseeSelect!AX136</f>
        <v>0</v>
      </c>
      <c r="AY45" s="36">
        <f>LicenseeSelect!AY136</f>
        <v>0</v>
      </c>
      <c r="BA45" s="34" t="str">
        <f t="shared" ca="1" si="4"/>
        <v>VariantAllowances</v>
      </c>
      <c r="BB45" s="34" t="str">
        <f>Transform!$A$27</f>
        <v>Totex allowance</v>
      </c>
      <c r="BC45" s="34" t="str">
        <f t="shared" si="5"/>
        <v>Variant allowances (including Real Price Effects)</v>
      </c>
    </row>
    <row r="46" spans="5:55" x14ac:dyDescent="0.35">
      <c r="E46" s="33" t="str">
        <f>LicenseeSelect!E137</f>
        <v>Re-opener_Resilience re-opener / Resilience Activity Re-opener</v>
      </c>
      <c r="F46" s="126" t="str">
        <f>LicenseeSelect!F137</f>
        <v>SpC 3.3</v>
      </c>
      <c r="G46" s="33" t="str">
        <f t="shared" si="3"/>
        <v>£m 23/24 prices</v>
      </c>
      <c r="H46" s="33" t="str">
        <f>LicenseeSelect!H137</f>
        <v>RESREt</v>
      </c>
      <c r="AU46" s="87">
        <f>LicenseeSelect!AU137</f>
        <v>0</v>
      </c>
      <c r="AV46" s="36">
        <f>LicenseeSelect!AV137</f>
        <v>0</v>
      </c>
      <c r="AW46" s="36">
        <f>LicenseeSelect!AW137</f>
        <v>0</v>
      </c>
      <c r="AX46" s="36">
        <f>LicenseeSelect!AX137</f>
        <v>0</v>
      </c>
      <c r="AY46" s="36">
        <f>LicenseeSelect!AY137</f>
        <v>0</v>
      </c>
      <c r="BA46" s="34" t="str">
        <f t="shared" ca="1" si="4"/>
        <v>VariantAllowances</v>
      </c>
      <c r="BB46" s="34" t="str">
        <f>Transform!$A$27</f>
        <v>Totex allowance</v>
      </c>
      <c r="BC46" s="34" t="str">
        <f t="shared" si="5"/>
        <v>Variant allowances (including Real Price Effects)</v>
      </c>
    </row>
    <row r="47" spans="5:55" x14ac:dyDescent="0.35">
      <c r="E47" s="33" t="str">
        <f>LicenseeSelect!E138</f>
        <v>Re-opener_Specified Streetworks Costs Re-opener</v>
      </c>
      <c r="F47" s="126" t="str">
        <f>LicenseeSelect!F138</f>
        <v>SpC 3.17</v>
      </c>
      <c r="G47" s="33" t="str">
        <f t="shared" si="3"/>
        <v>£m 23/24 prices</v>
      </c>
      <c r="H47" s="33" t="str">
        <f>LicenseeSelect!H138</f>
        <v>STWt</v>
      </c>
      <c r="AU47" s="87">
        <f>LicenseeSelect!AU138</f>
        <v>0</v>
      </c>
      <c r="AV47" s="36">
        <f>LicenseeSelect!AV138</f>
        <v>0</v>
      </c>
      <c r="AW47" s="36">
        <f>LicenseeSelect!AW138</f>
        <v>0</v>
      </c>
      <c r="AX47" s="36">
        <f>LicenseeSelect!AX138</f>
        <v>0</v>
      </c>
      <c r="AY47" s="36">
        <f>LicenseeSelect!AY138</f>
        <v>0</v>
      </c>
      <c r="BA47" s="34" t="str">
        <f t="shared" ca="1" si="4"/>
        <v>VariantAllowances</v>
      </c>
      <c r="BB47" s="34" t="str">
        <f>Transform!$A$27</f>
        <v>Totex allowance</v>
      </c>
      <c r="BC47" s="34" t="str">
        <f t="shared" si="5"/>
        <v>Variant allowances (including Real Price Effects)</v>
      </c>
    </row>
    <row r="48" spans="5:55" x14ac:dyDescent="0.35">
      <c r="E48" s="33" t="str">
        <f>LicenseeSelect!E139</f>
        <v>Re-opener_Physical Security Re-opener</v>
      </c>
      <c r="F48" s="126" t="str">
        <f>LicenseeSelect!F139</f>
        <v>SpC 3.3</v>
      </c>
      <c r="G48" s="33" t="str">
        <f t="shared" si="3"/>
        <v>£m 23/24 prices</v>
      </c>
      <c r="H48" s="33" t="str">
        <f>LicenseeSelect!H139</f>
        <v>RESREt</v>
      </c>
      <c r="AU48" s="87">
        <f>LicenseeSelect!AU139</f>
        <v>0</v>
      </c>
      <c r="AV48" s="36">
        <f>LicenseeSelect!AV139</f>
        <v>0</v>
      </c>
      <c r="AW48" s="36">
        <f>LicenseeSelect!AW139</f>
        <v>0</v>
      </c>
      <c r="AX48" s="36">
        <f>LicenseeSelect!AX139</f>
        <v>0</v>
      </c>
      <c r="AY48" s="36">
        <f>LicenseeSelect!AY139</f>
        <v>0</v>
      </c>
      <c r="BA48" s="34" t="str">
        <f t="shared" ca="1" si="4"/>
        <v>VariantAllowances</v>
      </c>
      <c r="BB48" s="34" t="str">
        <f>Transform!$A$27</f>
        <v>Totex allowance</v>
      </c>
      <c r="BC48" s="34" t="str">
        <f t="shared" si="5"/>
        <v>Variant allowances (including Real Price Effects)</v>
      </c>
    </row>
    <row r="49" spans="2:55" x14ac:dyDescent="0.35">
      <c r="E49" s="33" t="str">
        <f>LicenseeSelect!E140</f>
        <v>Re-opener_East Coast Hydrogen NZASP Re-Opener (EoE and NGN) / GD2/GD3 Crossover Adjustment</v>
      </c>
      <c r="F49" s="126" t="str">
        <f>LicenseeSelect!F140</f>
        <v>SpC 3.32</v>
      </c>
      <c r="G49" s="33" t="str">
        <f t="shared" si="3"/>
        <v>£m 23/24 prices</v>
      </c>
      <c r="H49" s="33" t="str">
        <f>LicenseeSelect!H140</f>
        <v xml:space="preserve">GD2ACAt </v>
      </c>
      <c r="AU49" s="87">
        <f>LicenseeSelect!AU140</f>
        <v>0</v>
      </c>
      <c r="AV49" s="36">
        <f>LicenseeSelect!AV140</f>
        <v>0</v>
      </c>
      <c r="AW49" s="36">
        <f>LicenseeSelect!AW140</f>
        <v>0</v>
      </c>
      <c r="AX49" s="36">
        <f>LicenseeSelect!AX140</f>
        <v>0</v>
      </c>
      <c r="AY49" s="36">
        <f>LicenseeSelect!AY140</f>
        <v>0</v>
      </c>
      <c r="BA49" s="34" t="str">
        <f t="shared" ca="1" si="4"/>
        <v>VariantAllowances</v>
      </c>
      <c r="BB49" s="34" t="str">
        <f>Transform!$A$27</f>
        <v>Totex allowance</v>
      </c>
      <c r="BC49" s="34" t="str">
        <f t="shared" si="5"/>
        <v>Variant allowances (including Real Price Effects)</v>
      </c>
    </row>
    <row r="50" spans="2:55" x14ac:dyDescent="0.35">
      <c r="E50" s="33" t="str">
        <f>LicenseeSelect!E141</f>
        <v>Re-opener_Complex Distributions Systems Re-opener</v>
      </c>
      <c r="F50" s="126" t="str">
        <f>LicenseeSelect!F141</f>
        <v>SpC 3.22</v>
      </c>
      <c r="G50" s="33" t="str">
        <f t="shared" si="3"/>
        <v>£m 23/24 prices</v>
      </c>
      <c r="H50" s="33" t="str">
        <f>LicenseeSelect!H141</f>
        <v>CDSt</v>
      </c>
      <c r="AU50" s="87">
        <f>LicenseeSelect!AU141</f>
        <v>0</v>
      </c>
      <c r="AV50" s="36">
        <f>LicenseeSelect!AV141</f>
        <v>3.1877999999999997</v>
      </c>
      <c r="AW50" s="36">
        <f>LicenseeSelect!AW141</f>
        <v>3.1877999999999997</v>
      </c>
      <c r="AX50" s="36">
        <f>LicenseeSelect!AX141</f>
        <v>3.1877999999999997</v>
      </c>
      <c r="AY50" s="36">
        <f>LicenseeSelect!AY141</f>
        <v>3.1877999999999997</v>
      </c>
      <c r="BA50" s="34" t="str">
        <f t="shared" ca="1" si="4"/>
        <v>VariantAllowances</v>
      </c>
      <c r="BB50" s="34" t="str">
        <f>Transform!$A$27</f>
        <v>Totex allowance</v>
      </c>
      <c r="BC50" s="34" t="str">
        <f t="shared" si="5"/>
        <v>Variant allowances (including Real Price Effects)</v>
      </c>
    </row>
    <row r="51" spans="2:55" x14ac:dyDescent="0.35">
      <c r="E51" s="33" t="str">
        <f>LicenseeSelect!E142</f>
        <v>Re-opener_Mandated Category 3 Security Re-opener</v>
      </c>
      <c r="F51" s="126">
        <f>LicenseeSelect!F142</f>
        <v>0</v>
      </c>
      <c r="G51" s="33" t="str">
        <f t="shared" si="3"/>
        <v>£m 23/24 prices</v>
      </c>
      <c r="H51" s="33">
        <f>LicenseeSelect!H142</f>
        <v>0</v>
      </c>
      <c r="AU51" s="87">
        <f>LicenseeSelect!AU142</f>
        <v>0</v>
      </c>
      <c r="AV51" s="36">
        <f>LicenseeSelect!AV142</f>
        <v>0</v>
      </c>
      <c r="AW51" s="36">
        <f>LicenseeSelect!AW142</f>
        <v>0</v>
      </c>
      <c r="AX51" s="36">
        <f>LicenseeSelect!AX142</f>
        <v>0</v>
      </c>
      <c r="AY51" s="36">
        <f>LicenseeSelect!AY142</f>
        <v>0</v>
      </c>
      <c r="BA51" s="34" t="str">
        <f t="shared" ca="1" si="4"/>
        <v>VariantAllowances</v>
      </c>
      <c r="BB51" s="34" t="str">
        <f>Transform!$A$27</f>
        <v>Totex allowance</v>
      </c>
      <c r="BC51" s="34" t="str">
        <f t="shared" si="5"/>
        <v>Variant allowances (including Real Price Effects)</v>
      </c>
    </row>
    <row r="52" spans="2:55" x14ac:dyDescent="0.35">
      <c r="E52" s="33" t="str">
        <f>LicenseeSelect!E143</f>
        <v>Re-opener_General Reinforcement</v>
      </c>
      <c r="F52" s="126">
        <f>LicenseeSelect!F143</f>
        <v>0</v>
      </c>
      <c r="G52" s="33" t="str">
        <f t="shared" si="3"/>
        <v>£m 23/24 prices</v>
      </c>
      <c r="H52" s="33">
        <f>LicenseeSelect!H143</f>
        <v>0</v>
      </c>
      <c r="AU52" s="87">
        <f>LicenseeSelect!AU143</f>
        <v>0</v>
      </c>
      <c r="AV52" s="36">
        <f>LicenseeSelect!AV143</f>
        <v>0</v>
      </c>
      <c r="AW52" s="36">
        <f>LicenseeSelect!AW143</f>
        <v>0</v>
      </c>
      <c r="AX52" s="36">
        <f>LicenseeSelect!AX143</f>
        <v>0</v>
      </c>
      <c r="AY52" s="36">
        <f>LicenseeSelect!AY143</f>
        <v>0</v>
      </c>
      <c r="BA52" s="34" t="str">
        <f t="shared" ca="1" si="4"/>
        <v>VariantAllowances</v>
      </c>
      <c r="BB52" s="34" t="str">
        <f>Transform!$A$27</f>
        <v>Totex allowance</v>
      </c>
      <c r="BC52" s="34" t="str">
        <f t="shared" si="5"/>
        <v>Variant allowances (including Real Price Effects)</v>
      </c>
    </row>
    <row r="53" spans="2:55" x14ac:dyDescent="0.35">
      <c r="E53" s="33" t="str">
        <f>LicenseeSelect!E144</f>
        <v>Spare 2</v>
      </c>
      <c r="F53" s="126">
        <f>LicenseeSelect!F144</f>
        <v>0</v>
      </c>
      <c r="G53" s="33" t="str">
        <f t="shared" si="3"/>
        <v>£m 23/24 prices</v>
      </c>
      <c r="H53" s="33">
        <f>LicenseeSelect!H144</f>
        <v>0</v>
      </c>
      <c r="AU53" s="87">
        <f>LicenseeSelect!AU144</f>
        <v>0</v>
      </c>
      <c r="AV53" s="36">
        <f>LicenseeSelect!AV144</f>
        <v>0</v>
      </c>
      <c r="AW53" s="36">
        <f>LicenseeSelect!AW144</f>
        <v>0</v>
      </c>
      <c r="AX53" s="36">
        <f>LicenseeSelect!AX144</f>
        <v>0</v>
      </c>
      <c r="AY53" s="36">
        <f>LicenseeSelect!AY144</f>
        <v>0</v>
      </c>
      <c r="BA53" s="34" t="str">
        <f t="shared" ca="1" si="4"/>
        <v>VariantAllowances</v>
      </c>
      <c r="BB53" s="34" t="str">
        <f>Transform!$A$27</f>
        <v>Totex allowance</v>
      </c>
      <c r="BC53" s="34" t="str">
        <f t="shared" si="5"/>
        <v>Variant allowances (including Real Price Effects)</v>
      </c>
    </row>
    <row r="54" spans="2:55" x14ac:dyDescent="0.35">
      <c r="E54" s="33" t="str">
        <f>LicenseeSelect!E145</f>
        <v>Spare 3</v>
      </c>
      <c r="F54" s="126">
        <f>LicenseeSelect!F145</f>
        <v>0</v>
      </c>
      <c r="G54" s="33" t="str">
        <f t="shared" si="3"/>
        <v>£m 23/24 prices</v>
      </c>
      <c r="H54" s="33">
        <f>LicenseeSelect!H145</f>
        <v>0</v>
      </c>
      <c r="AU54" s="87">
        <f>LicenseeSelect!AU145</f>
        <v>0</v>
      </c>
      <c r="AV54" s="36">
        <f>LicenseeSelect!AV145</f>
        <v>0</v>
      </c>
      <c r="AW54" s="36">
        <f>LicenseeSelect!AW145</f>
        <v>0</v>
      </c>
      <c r="AX54" s="36">
        <f>LicenseeSelect!AX145</f>
        <v>0</v>
      </c>
      <c r="AY54" s="36">
        <f>LicenseeSelect!AY145</f>
        <v>0</v>
      </c>
      <c r="BA54" s="34" t="str">
        <f t="shared" ca="1" si="4"/>
        <v>VariantAllowances</v>
      </c>
      <c r="BB54" s="34" t="str">
        <f>Transform!$A$27</f>
        <v>Totex allowance</v>
      </c>
      <c r="BC54" s="34" t="str">
        <f t="shared" si="5"/>
        <v>Variant allowances (including Real Price Effects)</v>
      </c>
    </row>
    <row r="55" spans="2:55" x14ac:dyDescent="0.35">
      <c r="E55" s="33" t="str">
        <f>LicenseeSelect!E146</f>
        <v>Spare 4</v>
      </c>
      <c r="F55" s="126">
        <f>LicenseeSelect!F146</f>
        <v>0</v>
      </c>
      <c r="G55" s="33" t="str">
        <f t="shared" si="3"/>
        <v>£m 23/24 prices</v>
      </c>
      <c r="H55" s="33">
        <f>LicenseeSelect!H146</f>
        <v>0</v>
      </c>
      <c r="AU55" s="87">
        <f>LicenseeSelect!AU146</f>
        <v>0</v>
      </c>
      <c r="AV55" s="36">
        <f>LicenseeSelect!AV146</f>
        <v>0</v>
      </c>
      <c r="AW55" s="36">
        <f>LicenseeSelect!AW146</f>
        <v>0</v>
      </c>
      <c r="AX55" s="36">
        <f>LicenseeSelect!AX146</f>
        <v>0</v>
      </c>
      <c r="AY55" s="36">
        <f>LicenseeSelect!AY146</f>
        <v>0</v>
      </c>
      <c r="BA55" s="34" t="str">
        <f t="shared" ca="1" si="4"/>
        <v>VariantAllowances</v>
      </c>
      <c r="BB55" s="34" t="str">
        <f>Transform!$A$27</f>
        <v>Totex allowance</v>
      </c>
      <c r="BC55" s="34" t="str">
        <f t="shared" si="5"/>
        <v>Variant allowances (including Real Price Effects)</v>
      </c>
    </row>
    <row r="56" spans="2:55" x14ac:dyDescent="0.35">
      <c r="E56" s="33" t="str">
        <f>LicenseeSelect!E147</f>
        <v>Spare 5</v>
      </c>
      <c r="F56" s="126">
        <f>LicenseeSelect!F147</f>
        <v>0</v>
      </c>
      <c r="G56" s="33" t="str">
        <f t="shared" si="3"/>
        <v>£m 23/24 prices</v>
      </c>
      <c r="H56" s="33">
        <f>LicenseeSelect!H147</f>
        <v>0</v>
      </c>
      <c r="AU56" s="87">
        <f>LicenseeSelect!AU147</f>
        <v>0</v>
      </c>
      <c r="AV56" s="36">
        <f>LicenseeSelect!AV147</f>
        <v>0</v>
      </c>
      <c r="AW56" s="36">
        <f>LicenseeSelect!AW147</f>
        <v>0</v>
      </c>
      <c r="AX56" s="36">
        <f>LicenseeSelect!AX147</f>
        <v>0</v>
      </c>
      <c r="AY56" s="36">
        <f>LicenseeSelect!AY147</f>
        <v>0</v>
      </c>
      <c r="BA56" s="34" t="str">
        <f t="shared" ca="1" si="4"/>
        <v>VariantAllowances</v>
      </c>
      <c r="BB56" s="34" t="str">
        <f>Transform!$A$27</f>
        <v>Totex allowance</v>
      </c>
      <c r="BC56" s="34" t="str">
        <f t="shared" si="5"/>
        <v>Variant allowances (including Real Price Effects)</v>
      </c>
    </row>
    <row r="57" spans="2:55" x14ac:dyDescent="0.35">
      <c r="E57" s="33" t="str">
        <f>LicenseeSelect!E148</f>
        <v>Spare 6</v>
      </c>
      <c r="F57" s="126">
        <f>LicenseeSelect!F148</f>
        <v>0</v>
      </c>
      <c r="G57" s="33" t="str">
        <f t="shared" si="3"/>
        <v>£m 23/24 prices</v>
      </c>
      <c r="H57" s="33">
        <f>LicenseeSelect!H148</f>
        <v>0</v>
      </c>
      <c r="AU57" s="87">
        <f>LicenseeSelect!AU148</f>
        <v>0</v>
      </c>
      <c r="AV57" s="36">
        <f>LicenseeSelect!AV148</f>
        <v>0</v>
      </c>
      <c r="AW57" s="36">
        <f>LicenseeSelect!AW148</f>
        <v>0</v>
      </c>
      <c r="AX57" s="36">
        <f>LicenseeSelect!AX148</f>
        <v>0</v>
      </c>
      <c r="AY57" s="36">
        <f>LicenseeSelect!AY148</f>
        <v>0</v>
      </c>
      <c r="BA57" s="34" t="str">
        <f t="shared" ca="1" si="4"/>
        <v>VariantAllowances</v>
      </c>
      <c r="BB57" s="34" t="str">
        <f>Transform!$A$27</f>
        <v>Totex allowance</v>
      </c>
      <c r="BC57" s="34" t="str">
        <f t="shared" si="5"/>
        <v>Variant allowances (including Real Price Effects)</v>
      </c>
    </row>
    <row r="58" spans="2:55" x14ac:dyDescent="0.35">
      <c r="BA58" s="34"/>
    </row>
    <row r="59" spans="2:55" ht="17.5" thickBot="1" x14ac:dyDescent="0.4">
      <c r="B59" s="8" t="s">
        <v>243</v>
      </c>
      <c r="F59" s="126">
        <f>LicenseeSelect!F152</f>
        <v>0</v>
      </c>
      <c r="H59" s="33">
        <f>LicenseeSelect!H152</f>
        <v>0</v>
      </c>
      <c r="AU59" s="33" t="str">
        <f>LicenseeSelect!AU152</f>
        <v>TIM applies</v>
      </c>
      <c r="AV59" s="33" t="str">
        <f>LicenseeSelect!AV152</f>
        <v>RPEs apply</v>
      </c>
      <c r="AW59" s="33" t="str">
        <f>LicenseeSelect!AW152</f>
        <v>Cap rate</v>
      </c>
      <c r="AY59" s="33" t="str">
        <f>"Attribute flag"</f>
        <v>Attribute flag</v>
      </c>
      <c r="BA59" s="34"/>
    </row>
    <row r="60" spans="2:55" ht="16.5" thickTop="1" x14ac:dyDescent="0.35">
      <c r="E60" s="33" t="str">
        <f>LicenseeSelect!E153</f>
        <v>PCD_Baseline Network Risk Output</v>
      </c>
      <c r="F60" s="126" t="str">
        <f>LicenseeSelect!F153</f>
        <v>SpC 3.1</v>
      </c>
      <c r="G60" s="33" t="s">
        <v>236</v>
      </c>
      <c r="H60" s="33" t="str">
        <f>LicenseeSelect!H153</f>
        <v>NARMt</v>
      </c>
      <c r="AU60" s="87" t="b">
        <f>LicenseeSelect!AU153</f>
        <v>1</v>
      </c>
      <c r="AV60" s="36" t="b">
        <f>LicenseeSelect!AV153</f>
        <v>1</v>
      </c>
      <c r="AW60" s="35">
        <f>LicenseeSelect!AW153</f>
        <v>1</v>
      </c>
      <c r="AX60"/>
      <c r="AY60" s="38">
        <f t="shared" ref="AY60:AY84" si="6">IF(AND(AW60=1,AV60=TRUE),1,IF(AND(AW60=2,AV60=TRUE),2,IF(AND(AW60=1,AV60=FALSE),1.5,IF(AND(AW60=2,AV60=FALSE),2.5,0))))</f>
        <v>1</v>
      </c>
      <c r="BA60" s="34" t="str">
        <f t="shared" ref="BA60:BA109" ca="1" si="7">$A$1</f>
        <v>VariantAllowances</v>
      </c>
      <c r="BB60" s="34" t="str">
        <f>Transform!$A$27</f>
        <v>Totex allowance</v>
      </c>
      <c r="BC60" s="34" t="str">
        <f t="shared" ref="BC60:BC94" si="8">$B$59</f>
        <v>Variant attributes (including Real Price Effects)</v>
      </c>
    </row>
    <row r="61" spans="2:55" x14ac:dyDescent="0.35">
      <c r="E61" s="33" t="str">
        <f>LicenseeSelect!E154</f>
        <v>PCD_Cyber PCDs</v>
      </c>
      <c r="F61" s="126" t="str">
        <f>LicenseeSelect!F154</f>
        <v>SpC 3.2</v>
      </c>
      <c r="G61" s="33" t="s">
        <v>236</v>
      </c>
      <c r="H61" s="33" t="str">
        <f>LicenseeSelect!H154</f>
        <v>CYt</v>
      </c>
      <c r="AU61" s="87" t="b">
        <f>LicenseeSelect!AU154</f>
        <v>1</v>
      </c>
      <c r="AV61" s="36" t="b">
        <f>LicenseeSelect!AV154</f>
        <v>1</v>
      </c>
      <c r="AW61" s="35">
        <f>LicenseeSelect!AW154</f>
        <v>1</v>
      </c>
      <c r="AX61"/>
      <c r="AY61" s="38">
        <f t="shared" si="6"/>
        <v>1</v>
      </c>
      <c r="BA61" s="34" t="str">
        <f t="shared" ca="1" si="7"/>
        <v>VariantAllowances</v>
      </c>
      <c r="BB61" s="34" t="str">
        <f>Transform!$A$27</f>
        <v>Totex allowance</v>
      </c>
      <c r="BC61" s="34" t="str">
        <f t="shared" si="8"/>
        <v>Variant attributes (including Real Price Effects)</v>
      </c>
    </row>
    <row r="62" spans="2:55" x14ac:dyDescent="0.35">
      <c r="E62" s="33" t="str">
        <f>LicenseeSelect!E155</f>
        <v>PCD_Flow Weighted Average Calorific Value Compliance (Cadent_all) / FWACV Compliance (Cadent_all)</v>
      </c>
      <c r="F62" s="126" t="str">
        <f>LicenseeSelect!F155</f>
        <v>SpC 3.23</v>
      </c>
      <c r="G62" s="33" t="s">
        <v>236</v>
      </c>
      <c r="H62" s="33" t="str">
        <f>LicenseeSelect!H155</f>
        <v>FLOt</v>
      </c>
      <c r="AU62" s="87" t="b">
        <f>LicenseeSelect!AU155</f>
        <v>1</v>
      </c>
      <c r="AV62" s="36" t="b">
        <f>LicenseeSelect!AV155</f>
        <v>1</v>
      </c>
      <c r="AW62" s="35">
        <f>LicenseeSelect!AW155</f>
        <v>1</v>
      </c>
      <c r="AX62"/>
      <c r="AY62" s="38">
        <f t="shared" si="6"/>
        <v>1</v>
      </c>
      <c r="BA62" s="34" t="str">
        <f t="shared" ca="1" si="7"/>
        <v>VariantAllowances</v>
      </c>
      <c r="BB62" s="34" t="str">
        <f>Transform!$A$27</f>
        <v>Totex allowance</v>
      </c>
      <c r="BC62" s="34" t="str">
        <f t="shared" si="8"/>
        <v>Variant attributes (including Real Price Effects)</v>
      </c>
    </row>
    <row r="63" spans="2:55" x14ac:dyDescent="0.35">
      <c r="E63" s="33" t="str">
        <f>LicenseeSelect!E156</f>
        <v>PCD_Grays medium pressure (Cadent_Lon)</v>
      </c>
      <c r="F63" s="126" t="str">
        <f>LicenseeSelect!F156</f>
        <v>SpC 3.24</v>
      </c>
      <c r="G63" s="33" t="s">
        <v>236</v>
      </c>
      <c r="H63" s="33" t="str">
        <f>LicenseeSelect!H156</f>
        <v>GMPt</v>
      </c>
      <c r="AU63" s="87" t="b">
        <f>LicenseeSelect!AU156</f>
        <v>1</v>
      </c>
      <c r="AV63" s="36" t="b">
        <f>LicenseeSelect!AV156</f>
        <v>1</v>
      </c>
      <c r="AW63" s="35">
        <f>LicenseeSelect!AW156</f>
        <v>1</v>
      </c>
      <c r="AX63"/>
      <c r="AY63" s="38">
        <f t="shared" si="6"/>
        <v>1</v>
      </c>
      <c r="BA63" s="34" t="str">
        <f t="shared" ca="1" si="7"/>
        <v>VariantAllowances</v>
      </c>
      <c r="BB63" s="34" t="str">
        <f>Transform!$A$27</f>
        <v>Totex allowance</v>
      </c>
      <c r="BC63" s="34" t="str">
        <f t="shared" si="8"/>
        <v>Variant attributes (including Real Price Effects)</v>
      </c>
    </row>
    <row r="64" spans="2:55" x14ac:dyDescent="0.35">
      <c r="E64" s="33" t="str">
        <f>LicenseeSelect!E157</f>
        <v>PCD_Welling PRS - Full Site Rebuild  (SGN_So) / Full site and system rebuilds PCD (SGN)</v>
      </c>
      <c r="F64" s="126" t="str">
        <f>LicenseeSelect!F157</f>
        <v>SpC 3.28</v>
      </c>
      <c r="G64" s="33" t="s">
        <v>236</v>
      </c>
      <c r="H64" s="33" t="str">
        <f>LicenseeSelect!H157</f>
        <v>FSRt</v>
      </c>
      <c r="AU64" s="87" t="b">
        <f>LicenseeSelect!AU157</f>
        <v>1</v>
      </c>
      <c r="AV64" s="36" t="b">
        <f>LicenseeSelect!AV157</f>
        <v>1</v>
      </c>
      <c r="AW64" s="35">
        <f>LicenseeSelect!AW157</f>
        <v>1</v>
      </c>
      <c r="AX64"/>
      <c r="AY64" s="38">
        <f t="shared" si="6"/>
        <v>1</v>
      </c>
      <c r="BA64" s="34" t="str">
        <f t="shared" ca="1" si="7"/>
        <v>VariantAllowances</v>
      </c>
      <c r="BB64" s="34" t="str">
        <f>Transform!$A$27</f>
        <v>Totex allowance</v>
      </c>
      <c r="BC64" s="34" t="str">
        <f t="shared" si="8"/>
        <v>Variant attributes (including Real Price Effects)</v>
      </c>
    </row>
    <row r="65" spans="5:55" x14ac:dyDescent="0.35">
      <c r="E65" s="33" t="str">
        <f>LicenseeSelect!E158</f>
        <v>PCD_London Medium Pressure PCD (Cadent_Lon)</v>
      </c>
      <c r="F65" s="126" t="str">
        <f>LicenseeSelect!F158</f>
        <v>SpC 3.29</v>
      </c>
      <c r="G65" s="33" t="s">
        <v>236</v>
      </c>
      <c r="H65" s="33" t="str">
        <f>LicenseeSelect!H158</f>
        <v>LMPt</v>
      </c>
      <c r="AU65" s="87" t="b">
        <f>LicenseeSelect!AU158</f>
        <v>1</v>
      </c>
      <c r="AV65" s="36" t="b">
        <f>LicenseeSelect!AV158</f>
        <v>1</v>
      </c>
      <c r="AW65" s="35">
        <f>LicenseeSelect!AW158</f>
        <v>1</v>
      </c>
      <c r="AX65"/>
      <c r="AY65" s="38">
        <f t="shared" si="6"/>
        <v>1</v>
      </c>
      <c r="BA65" s="34" t="str">
        <f t="shared" ca="1" si="7"/>
        <v>VariantAllowances</v>
      </c>
      <c r="BB65" s="34" t="str">
        <f>Transform!$A$27</f>
        <v>Totex allowance</v>
      </c>
      <c r="BC65" s="34" t="str">
        <f t="shared" si="8"/>
        <v>Variant attributes (including Real Price Effects)</v>
      </c>
    </row>
    <row r="66" spans="5:55" x14ac:dyDescent="0.35">
      <c r="E66" s="33" t="str">
        <f>LicenseeSelect!E159</f>
        <v>PCD_Tier 1 Mains Decommissioned PCD</v>
      </c>
      <c r="F66" s="126" t="str">
        <f>LicenseeSelect!F159</f>
        <v>SpC 3.10</v>
      </c>
      <c r="G66" s="33" t="s">
        <v>236</v>
      </c>
      <c r="H66" s="33" t="str">
        <f>LicenseeSelect!H159</f>
        <v>T1MDt</v>
      </c>
      <c r="AU66" s="87" t="b">
        <f>LicenseeSelect!AU159</f>
        <v>1</v>
      </c>
      <c r="AV66" s="36" t="b">
        <f>LicenseeSelect!AV159</f>
        <v>1</v>
      </c>
      <c r="AW66" s="35">
        <f>LicenseeSelect!AW159</f>
        <v>1</v>
      </c>
      <c r="AX66"/>
      <c r="AY66" s="38">
        <f t="shared" si="6"/>
        <v>1</v>
      </c>
      <c r="BA66" s="34" t="str">
        <f t="shared" ca="1" si="7"/>
        <v>VariantAllowances</v>
      </c>
      <c r="BB66" s="34" t="str">
        <f>Transform!$A$27</f>
        <v>Totex allowance</v>
      </c>
      <c r="BC66" s="34" t="str">
        <f t="shared" si="8"/>
        <v>Variant attributes (including Real Price Effects)</v>
      </c>
    </row>
    <row r="67" spans="5:55" x14ac:dyDescent="0.35">
      <c r="E67" s="33" t="str">
        <f>LicenseeSelect!E160</f>
        <v>PCD_Tier 1 Services PCD / Tier 1 Services Repex PCD</v>
      </c>
      <c r="F67" s="126" t="str">
        <f>LicenseeSelect!F160</f>
        <v>SpC 3.11</v>
      </c>
      <c r="G67" s="33" t="s">
        <v>236</v>
      </c>
      <c r="H67" s="33" t="str">
        <f>LicenseeSelect!H160</f>
        <v>T1SRt</v>
      </c>
      <c r="AU67" s="87" t="b">
        <f>LicenseeSelect!AU160</f>
        <v>1</v>
      </c>
      <c r="AV67" s="36" t="b">
        <f>LicenseeSelect!AV160</f>
        <v>1</v>
      </c>
      <c r="AW67" s="35">
        <f>LicenseeSelect!AW160</f>
        <v>1</v>
      </c>
      <c r="AX67"/>
      <c r="AY67" s="38">
        <f t="shared" si="6"/>
        <v>1</v>
      </c>
      <c r="BA67" s="34" t="str">
        <f t="shared" ca="1" si="7"/>
        <v>VariantAllowances</v>
      </c>
      <c r="BB67" s="34" t="str">
        <f>Transform!$A$27</f>
        <v>Totex allowance</v>
      </c>
      <c r="BC67" s="34" t="str">
        <f t="shared" si="8"/>
        <v>Variant attributes (including Real Price Effects)</v>
      </c>
    </row>
    <row r="68" spans="5:55" x14ac:dyDescent="0.35">
      <c r="E68" s="33" t="str">
        <f>LicenseeSelect!E161</f>
        <v>PCD_Tinsley viaduct diversion (Cadent_EoE)</v>
      </c>
      <c r="F68" s="126" t="str">
        <f>LicenseeSelect!F161</f>
        <v>SpC 3.25</v>
      </c>
      <c r="G68" s="33" t="s">
        <v>236</v>
      </c>
      <c r="H68" s="33" t="str">
        <f>LicenseeSelect!H161</f>
        <v>TVDt</v>
      </c>
      <c r="AU68" s="87" t="b">
        <f>LicenseeSelect!AU161</f>
        <v>1</v>
      </c>
      <c r="AV68" s="36" t="b">
        <f>LicenseeSelect!AV161</f>
        <v>1</v>
      </c>
      <c r="AW68" s="35">
        <f>LicenseeSelect!AW161</f>
        <v>1</v>
      </c>
      <c r="AX68"/>
      <c r="AY68" s="38">
        <f t="shared" si="6"/>
        <v>1</v>
      </c>
      <c r="BA68" s="34" t="str">
        <f t="shared" ca="1" si="7"/>
        <v>VariantAllowances</v>
      </c>
      <c r="BB68" s="34" t="str">
        <f>Transform!$A$27</f>
        <v>Totex allowance</v>
      </c>
      <c r="BC68" s="34" t="str">
        <f t="shared" si="8"/>
        <v>Variant attributes (including Real Price Effects)</v>
      </c>
    </row>
    <row r="69" spans="5:55" x14ac:dyDescent="0.35">
      <c r="E69" s="33" t="str">
        <f>LicenseeSelect!E162</f>
        <v>PCD_Iron Stubs / Tier 1 Stubs decommissioning PCD</v>
      </c>
      <c r="F69" s="126" t="str">
        <f>LicenseeSelect!F162</f>
        <v>SpC 3.19</v>
      </c>
      <c r="G69" s="33" t="s">
        <v>236</v>
      </c>
      <c r="H69" s="33" t="str">
        <f>LicenseeSelect!H162</f>
        <v>STBDt</v>
      </c>
      <c r="AU69" s="87" t="b">
        <f>LicenseeSelect!AU162</f>
        <v>1</v>
      </c>
      <c r="AV69" s="36" t="b">
        <f>LicenseeSelect!AV162</f>
        <v>1</v>
      </c>
      <c r="AW69" s="35">
        <f>LicenseeSelect!AW162</f>
        <v>1</v>
      </c>
      <c r="AX69"/>
      <c r="AY69" s="38">
        <f t="shared" si="6"/>
        <v>1</v>
      </c>
      <c r="BA69" s="34" t="str">
        <f t="shared" ca="1" si="7"/>
        <v>VariantAllowances</v>
      </c>
      <c r="BB69" s="34" t="str">
        <f>Transform!$A$27</f>
        <v>Totex allowance</v>
      </c>
      <c r="BC69" s="34" t="str">
        <f t="shared" si="8"/>
        <v>Variant attributes (including Real Price Effects)</v>
      </c>
    </row>
    <row r="70" spans="5:55" x14ac:dyDescent="0.35">
      <c r="E70" s="33" t="str">
        <f>LicenseeSelect!E163</f>
        <v>PCD_Full Site and System Rebuilds (SGN_all)</v>
      </c>
      <c r="F70" s="126" t="str">
        <f>LicenseeSelect!F163</f>
        <v>SpC 3.28</v>
      </c>
      <c r="G70" s="33" t="s">
        <v>236</v>
      </c>
      <c r="H70" s="33" t="str">
        <f>LicenseeSelect!H163</f>
        <v>FSRt</v>
      </c>
      <c r="AU70" s="87" t="b">
        <f>LicenseeSelect!AU163</f>
        <v>1</v>
      </c>
      <c r="AV70" s="36" t="b">
        <f>LicenseeSelect!AV163</f>
        <v>1</v>
      </c>
      <c r="AW70" s="35">
        <f>LicenseeSelect!AW163</f>
        <v>1</v>
      </c>
      <c r="AX70"/>
      <c r="AY70" s="38">
        <f t="shared" si="6"/>
        <v>1</v>
      </c>
      <c r="BA70" s="34" t="str">
        <f t="shared" ca="1" si="7"/>
        <v>VariantAllowances</v>
      </c>
      <c r="BB70" s="34" t="str">
        <f>Transform!$A$27</f>
        <v>Totex allowance</v>
      </c>
      <c r="BC70" s="34" t="str">
        <f t="shared" si="8"/>
        <v>Variant attributes (including Real Price Effects)</v>
      </c>
    </row>
    <row r="71" spans="5:55" x14ac:dyDescent="0.35">
      <c r="E71" s="33" t="str">
        <f>LicenseeSelect!E164</f>
        <v>PCD_Glenmavis (Offtake) (SGN_Sc) / Full site and system rebuilds PCD (SGN)</v>
      </c>
      <c r="F71" s="126" t="str">
        <f>LicenseeSelect!F164</f>
        <v>SpC 3.28</v>
      </c>
      <c r="G71" s="33" t="s">
        <v>236</v>
      </c>
      <c r="H71" s="33" t="str">
        <f>LicenseeSelect!H164</f>
        <v>FSRt</v>
      </c>
      <c r="AU71" s="87" t="b">
        <f>LicenseeSelect!AU164</f>
        <v>1</v>
      </c>
      <c r="AV71" s="36" t="b">
        <f>LicenseeSelect!AV164</f>
        <v>1</v>
      </c>
      <c r="AW71" s="35">
        <f>LicenseeSelect!AW164</f>
        <v>1</v>
      </c>
      <c r="AX71"/>
      <c r="AY71" s="38">
        <f t="shared" si="6"/>
        <v>1</v>
      </c>
      <c r="BA71" s="34" t="str">
        <f t="shared" ca="1" si="7"/>
        <v>VariantAllowances</v>
      </c>
      <c r="BB71" s="34" t="str">
        <f>Transform!$A$27</f>
        <v>Totex allowance</v>
      </c>
      <c r="BC71" s="34" t="str">
        <f t="shared" si="8"/>
        <v>Variant attributes (including Real Price Effects)</v>
      </c>
    </row>
    <row r="72" spans="5:55" x14ac:dyDescent="0.35">
      <c r="E72" s="33" t="str">
        <f>LicenseeSelect!E165</f>
        <v>PCD_Isle of Grain (SGN_So) / Full site and system rebuilds PCD (SGN)</v>
      </c>
      <c r="F72" s="126" t="str">
        <f>LicenseeSelect!F165</f>
        <v>SpC 3.28</v>
      </c>
      <c r="G72" s="33" t="s">
        <v>236</v>
      </c>
      <c r="H72" s="33" t="str">
        <f>LicenseeSelect!H165</f>
        <v>FSRt</v>
      </c>
      <c r="AU72" s="87" t="b">
        <f>LicenseeSelect!AU165</f>
        <v>1</v>
      </c>
      <c r="AV72" s="36" t="b">
        <f>LicenseeSelect!AV165</f>
        <v>1</v>
      </c>
      <c r="AW72" s="35">
        <f>LicenseeSelect!AW165</f>
        <v>1</v>
      </c>
      <c r="AX72"/>
      <c r="AY72" s="38">
        <f t="shared" si="6"/>
        <v>1</v>
      </c>
      <c r="BA72" s="34" t="str">
        <f t="shared" ca="1" si="7"/>
        <v>VariantAllowances</v>
      </c>
      <c r="BB72" s="34" t="str">
        <f>Transform!$A$27</f>
        <v>Totex allowance</v>
      </c>
      <c r="BC72" s="34" t="str">
        <f t="shared" si="8"/>
        <v>Variant attributes (including Real Price Effects)</v>
      </c>
    </row>
    <row r="73" spans="5:55" x14ac:dyDescent="0.35">
      <c r="E73" s="33" t="str">
        <f>LicenseeSelect!E166</f>
        <v>PCD_EVs  / Operational Transport Emissions Reduction PCD</v>
      </c>
      <c r="F73" s="126" t="str">
        <f>LicenseeSelect!F166</f>
        <v>SpC 3.9</v>
      </c>
      <c r="G73" s="33" t="s">
        <v>236</v>
      </c>
      <c r="H73" s="33" t="str">
        <f>LicenseeSelect!H166</f>
        <v>OTCt</v>
      </c>
      <c r="AU73" s="87" t="b">
        <f>LicenseeSelect!AU166</f>
        <v>1</v>
      </c>
      <c r="AV73" s="36" t="b">
        <f>LicenseeSelect!AV166</f>
        <v>1</v>
      </c>
      <c r="AW73" s="35">
        <f>LicenseeSelect!AW166</f>
        <v>1</v>
      </c>
      <c r="AX73"/>
      <c r="AY73" s="38">
        <f t="shared" si="6"/>
        <v>1</v>
      </c>
      <c r="BA73" s="34" t="str">
        <f t="shared" ca="1" si="7"/>
        <v>VariantAllowances</v>
      </c>
      <c r="BB73" s="34" t="str">
        <f>Transform!$A$27</f>
        <v>Totex allowance</v>
      </c>
      <c r="BC73" s="34" t="str">
        <f t="shared" si="8"/>
        <v>Variant attributes (including Real Price Effects)</v>
      </c>
    </row>
    <row r="74" spans="5:55" x14ac:dyDescent="0.35">
      <c r="E74" s="33" t="str">
        <f>LicenseeSelect!E167</f>
        <v>PCD_South London Mains (SGN_So)</v>
      </c>
      <c r="F74" s="126" t="str">
        <f>LicenseeSelect!F167</f>
        <v>SpC 3.27</v>
      </c>
      <c r="G74" s="33" t="s">
        <v>236</v>
      </c>
      <c r="H74" s="33" t="str">
        <f>LicenseeSelect!H167</f>
        <v>SLMt</v>
      </c>
      <c r="AU74" s="87" t="b">
        <f>LicenseeSelect!AU167</f>
        <v>1</v>
      </c>
      <c r="AV74" s="36" t="b">
        <f>LicenseeSelect!AV167</f>
        <v>1</v>
      </c>
      <c r="AW74" s="35">
        <f>LicenseeSelect!AW167</f>
        <v>1</v>
      </c>
      <c r="AX74"/>
      <c r="AY74" s="38">
        <f t="shared" si="6"/>
        <v>1</v>
      </c>
      <c r="BA74" s="34" t="str">
        <f t="shared" ca="1" si="7"/>
        <v>VariantAllowances</v>
      </c>
      <c r="BB74" s="34" t="str">
        <f>Transform!$A$27</f>
        <v>Totex allowance</v>
      </c>
      <c r="BC74" s="34" t="str">
        <f t="shared" si="8"/>
        <v>Variant attributes (including Real Price Effects)</v>
      </c>
    </row>
    <row r="75" spans="5:55" x14ac:dyDescent="0.35">
      <c r="E75" s="33" t="str">
        <f>LicenseeSelect!E168</f>
        <v>PCD_WWU.7 - HS007 (WWU_WWU) / Pipeline Replacements PCD (WWU)</v>
      </c>
      <c r="F75" s="126" t="str">
        <f>LicenseeSelect!F168</f>
        <v>SpC 3.31</v>
      </c>
      <c r="G75" s="33" t="s">
        <v>236</v>
      </c>
      <c r="H75" s="33" t="str">
        <f>LicenseeSelect!H168</f>
        <v>PREt</v>
      </c>
      <c r="AU75" s="87" t="b">
        <f>LicenseeSelect!AU168</f>
        <v>1</v>
      </c>
      <c r="AV75" s="36" t="b">
        <f>LicenseeSelect!AV168</f>
        <v>1</v>
      </c>
      <c r="AW75" s="35">
        <f>LicenseeSelect!AW168</f>
        <v>1</v>
      </c>
      <c r="AX75"/>
      <c r="AY75" s="38">
        <f t="shared" si="6"/>
        <v>1</v>
      </c>
      <c r="BA75" s="34" t="str">
        <f t="shared" ca="1" si="7"/>
        <v>VariantAllowances</v>
      </c>
      <c r="BB75" s="34" t="str">
        <f>Transform!$A$27</f>
        <v>Totex allowance</v>
      </c>
      <c r="BC75" s="34" t="str">
        <f t="shared" si="8"/>
        <v>Variant attributes (including Real Price Effects)</v>
      </c>
    </row>
    <row r="76" spans="5:55" x14ac:dyDescent="0.35">
      <c r="E76" s="33" t="str">
        <f>LicenseeSelect!E169</f>
        <v>PCD_WWU.9 - HS009 (WWU_WWU) / Pipeline Replacements PCD (WWU)</v>
      </c>
      <c r="F76" s="126" t="str">
        <f>LicenseeSelect!F169</f>
        <v>SpC 3.31</v>
      </c>
      <c r="G76" s="33" t="s">
        <v>236</v>
      </c>
      <c r="H76" s="33" t="str">
        <f>LicenseeSelect!H169</f>
        <v>PREt</v>
      </c>
      <c r="AU76" s="87" t="b">
        <f>LicenseeSelect!AU169</f>
        <v>1</v>
      </c>
      <c r="AV76" s="36" t="b">
        <f>LicenseeSelect!AV169</f>
        <v>1</v>
      </c>
      <c r="AW76" s="35">
        <f>LicenseeSelect!AW169</f>
        <v>1</v>
      </c>
      <c r="AX76"/>
      <c r="AY76" s="38">
        <f t="shared" si="6"/>
        <v>1</v>
      </c>
      <c r="BA76" s="34" t="str">
        <f t="shared" ca="1" si="7"/>
        <v>VariantAllowances</v>
      </c>
      <c r="BB76" s="34" t="str">
        <f>Transform!$A$27</f>
        <v>Totex allowance</v>
      </c>
      <c r="BC76" s="34" t="str">
        <f t="shared" si="8"/>
        <v>Variant attributes (including Real Price Effects)</v>
      </c>
    </row>
    <row r="77" spans="5:55" x14ac:dyDescent="0.35">
      <c r="E77" s="33" t="str">
        <f>LicenseeSelect!E170</f>
        <v>PCD_WWU.9 - HS010 (WWU_WWU) / Pipeline Replacements PCD (WWU)</v>
      </c>
      <c r="F77" s="126" t="str">
        <f>LicenseeSelect!F170</f>
        <v>SpC 3.31</v>
      </c>
      <c r="G77" s="33" t="s">
        <v>236</v>
      </c>
      <c r="H77" s="33" t="str">
        <f>LicenseeSelect!H170</f>
        <v>PREt</v>
      </c>
      <c r="AU77" s="87" t="b">
        <f>LicenseeSelect!AU170</f>
        <v>1</v>
      </c>
      <c r="AV77" s="36" t="b">
        <f>LicenseeSelect!AV170</f>
        <v>1</v>
      </c>
      <c r="AW77" s="35">
        <f>LicenseeSelect!AW170</f>
        <v>1</v>
      </c>
      <c r="AX77"/>
      <c r="AY77" s="38">
        <f t="shared" si="6"/>
        <v>1</v>
      </c>
      <c r="BA77" s="34" t="str">
        <f t="shared" ca="1" si="7"/>
        <v>VariantAllowances</v>
      </c>
      <c r="BB77" s="34" t="str">
        <f>Transform!$A$27</f>
        <v>Totex allowance</v>
      </c>
      <c r="BC77" s="34" t="str">
        <f t="shared" si="8"/>
        <v>Variant attributes (including Real Price Effects)</v>
      </c>
    </row>
    <row r="78" spans="5:55" x14ac:dyDescent="0.35">
      <c r="E78" s="33" t="str">
        <f>LicenseeSelect!E171</f>
        <v>PCD_Mandated Category 3 Security (Cadent_all)</v>
      </c>
      <c r="F78" s="126" t="str">
        <f>LicenseeSelect!F171</f>
        <v>SpC 3.30</v>
      </c>
      <c r="G78" s="33" t="s">
        <v>236</v>
      </c>
      <c r="H78" s="33" t="str">
        <f>LicenseeSelect!H171</f>
        <v>MDSt</v>
      </c>
      <c r="AU78" s="87" t="b">
        <f>LicenseeSelect!AU171</f>
        <v>1</v>
      </c>
      <c r="AV78" s="36" t="b">
        <f>LicenseeSelect!AV171</f>
        <v>1</v>
      </c>
      <c r="AW78" s="35">
        <f>LicenseeSelect!AW171</f>
        <v>1</v>
      </c>
      <c r="AX78"/>
      <c r="AY78" s="38">
        <f t="shared" si="6"/>
        <v>1</v>
      </c>
      <c r="BA78" s="34" t="str">
        <f t="shared" ca="1" si="7"/>
        <v>VariantAllowances</v>
      </c>
      <c r="BB78" s="34" t="str">
        <f>Transform!$A$27</f>
        <v>Totex allowance</v>
      </c>
      <c r="BC78" s="34" t="str">
        <f t="shared" si="8"/>
        <v>Variant attributes (including Real Price Effects)</v>
      </c>
    </row>
    <row r="79" spans="5:55" x14ac:dyDescent="0.35">
      <c r="E79" s="33" t="str">
        <f>LicenseeSelect!E172</f>
        <v>VD_GSIUR Disconnections Volume Driver</v>
      </c>
      <c r="F79" s="126">
        <f>LicenseeSelect!F172</f>
        <v>0</v>
      </c>
      <c r="G79" s="33" t="s">
        <v>236</v>
      </c>
      <c r="H79" s="33" t="str">
        <f>LicenseeSelect!H172</f>
        <v>GDVDt</v>
      </c>
      <c r="AU79" s="87" t="b">
        <f>LicenseeSelect!AU172</f>
        <v>1</v>
      </c>
      <c r="AV79" s="36" t="b">
        <f>LicenseeSelect!AV172</f>
        <v>0</v>
      </c>
      <c r="AW79" s="35">
        <f>LicenseeSelect!AW172</f>
        <v>1</v>
      </c>
      <c r="AX79"/>
      <c r="AY79" s="38">
        <f t="shared" si="6"/>
        <v>1.5</v>
      </c>
      <c r="BA79" s="34" t="str">
        <f t="shared" ca="1" si="7"/>
        <v>VariantAllowances</v>
      </c>
      <c r="BB79" s="34" t="str">
        <f>Transform!$A$27</f>
        <v>Totex allowance</v>
      </c>
      <c r="BC79" s="34" t="str">
        <f t="shared" si="8"/>
        <v>Variant attributes (including Real Price Effects)</v>
      </c>
    </row>
    <row r="80" spans="5:55" x14ac:dyDescent="0.35">
      <c r="E80" s="33" t="str">
        <f>LicenseeSelect!E173</f>
        <v>VD_[spare slot]</v>
      </c>
      <c r="F80" s="126">
        <f>LicenseeSelect!F173</f>
        <v>0</v>
      </c>
      <c r="G80" s="33" t="s">
        <v>236</v>
      </c>
      <c r="H80" s="33">
        <f>LicenseeSelect!H173</f>
        <v>0</v>
      </c>
      <c r="AU80" s="87" t="b">
        <f>LicenseeSelect!AU173</f>
        <v>1</v>
      </c>
      <c r="AV80" s="36" t="b">
        <f>LicenseeSelect!AV173</f>
        <v>1</v>
      </c>
      <c r="AW80" s="35">
        <f>LicenseeSelect!AW173</f>
        <v>1</v>
      </c>
      <c r="AX80"/>
      <c r="AY80" s="38">
        <f t="shared" si="6"/>
        <v>1</v>
      </c>
      <c r="BA80" s="34" t="str">
        <f t="shared" ca="1" si="7"/>
        <v>VariantAllowances</v>
      </c>
      <c r="BB80" s="34" t="str">
        <f>Transform!$A$27</f>
        <v>Totex allowance</v>
      </c>
      <c r="BC80" s="34" t="str">
        <f t="shared" si="8"/>
        <v>Variant attributes (including Real Price Effects)</v>
      </c>
    </row>
    <row r="81" spans="5:55" x14ac:dyDescent="0.35">
      <c r="E81" s="33" t="str">
        <f>LicenseeSelect!E174</f>
        <v>VD_Tier 2A Mains and Services Replacement Volume Driver</v>
      </c>
      <c r="F81" s="126" t="str">
        <f>LicenseeSelect!F174</f>
        <v>SpC 3.12</v>
      </c>
      <c r="G81" s="33" t="s">
        <v>236</v>
      </c>
      <c r="H81" s="33" t="str">
        <f>LicenseeSelect!H174</f>
        <v>REt</v>
      </c>
      <c r="AU81" s="87" t="b">
        <f>LicenseeSelect!AU174</f>
        <v>0</v>
      </c>
      <c r="AV81" s="36" t="b">
        <f>LicenseeSelect!AV174</f>
        <v>0</v>
      </c>
      <c r="AW81" s="35">
        <f>LicenseeSelect!AW174</f>
        <v>1</v>
      </c>
      <c r="AX81"/>
      <c r="AY81" s="38">
        <f t="shared" si="6"/>
        <v>1.5</v>
      </c>
      <c r="BA81" s="34" t="str">
        <f t="shared" ca="1" si="7"/>
        <v>VariantAllowances</v>
      </c>
      <c r="BB81" s="34" t="str">
        <f>Transform!$A$27</f>
        <v>Totex allowance</v>
      </c>
      <c r="BC81" s="34" t="str">
        <f t="shared" si="8"/>
        <v>Variant attributes (including Real Price Effects)</v>
      </c>
    </row>
    <row r="82" spans="5:55" x14ac:dyDescent="0.35">
      <c r="E82" s="33" t="str">
        <f>LicenseeSelect!E175</f>
        <v>UIOLI_Net Zero and Re-opener Development Fund / Decarbonisation Project Development Fund UIOLI</v>
      </c>
      <c r="F82" s="126" t="str">
        <f>LicenseeSelect!F175</f>
        <v>SpC 3.5</v>
      </c>
      <c r="G82" s="33" t="s">
        <v>236</v>
      </c>
      <c r="H82" s="33" t="str">
        <f>LicenseeSelect!H175</f>
        <v>DPDt</v>
      </c>
      <c r="AU82" s="87" t="b">
        <f>LicenseeSelect!AU175</f>
        <v>0</v>
      </c>
      <c r="AV82" s="36" t="b">
        <f>LicenseeSelect!AV175</f>
        <v>0</v>
      </c>
      <c r="AW82" s="35">
        <f>LicenseeSelect!AW175</f>
        <v>2</v>
      </c>
      <c r="AX82"/>
      <c r="AY82" s="38">
        <f t="shared" si="6"/>
        <v>2.5</v>
      </c>
      <c r="BA82" s="34" t="str">
        <f t="shared" ca="1" si="7"/>
        <v>VariantAllowances</v>
      </c>
      <c r="BB82" s="34" t="str">
        <f>Transform!$A$27</f>
        <v>Totex allowance</v>
      </c>
      <c r="BC82" s="34" t="str">
        <f t="shared" si="8"/>
        <v>Variant attributes (including Real Price Effects)</v>
      </c>
    </row>
    <row r="83" spans="5:55" x14ac:dyDescent="0.35">
      <c r="E83" s="33" t="str">
        <f>LicenseeSelect!E176</f>
        <v>UIOLI_Cyber Resilience_NGN</v>
      </c>
      <c r="F83" s="126" t="str">
        <f>LicenseeSelect!F176</f>
        <v>SpC 3.2</v>
      </c>
      <c r="G83" s="33" t="s">
        <v>236</v>
      </c>
      <c r="H83" s="33" t="str">
        <f>LicenseeSelect!H176</f>
        <v>CYREt</v>
      </c>
      <c r="AU83" s="87" t="b">
        <f>LicenseeSelect!AU176</f>
        <v>0</v>
      </c>
      <c r="AV83" s="36" t="b">
        <f>LicenseeSelect!AV176</f>
        <v>0</v>
      </c>
      <c r="AW83" s="35">
        <f>LicenseeSelect!AW176</f>
        <v>2</v>
      </c>
      <c r="AX83"/>
      <c r="AY83" s="38">
        <f t="shared" si="6"/>
        <v>2.5</v>
      </c>
      <c r="BA83" s="34" t="str">
        <f t="shared" ca="1" si="7"/>
        <v>VariantAllowances</v>
      </c>
      <c r="BB83" s="34" t="str">
        <f>Transform!$A$27</f>
        <v>Totex allowance</v>
      </c>
      <c r="BC83" s="34" t="str">
        <f t="shared" si="8"/>
        <v>Variant attributes (including Real Price Effects)</v>
      </c>
    </row>
    <row r="84" spans="5:55" x14ac:dyDescent="0.35">
      <c r="E84" s="33" t="str">
        <f>LicenseeSelect!E177</f>
        <v>UIOLI_Cyber Resilience_All except NGN and WWU</v>
      </c>
      <c r="F84" s="126" t="str">
        <f>LicenseeSelect!F177</f>
        <v>SpC 3.2</v>
      </c>
      <c r="G84" s="33" t="s">
        <v>236</v>
      </c>
      <c r="H84" s="33" t="str">
        <f>LicenseeSelect!H177</f>
        <v>CYREt</v>
      </c>
      <c r="AU84" s="87" t="b">
        <f>LicenseeSelect!AU177</f>
        <v>0</v>
      </c>
      <c r="AV84" s="36" t="b">
        <f>LicenseeSelect!AV177</f>
        <v>0</v>
      </c>
      <c r="AW84" s="35">
        <f>LicenseeSelect!AW177</f>
        <v>2</v>
      </c>
      <c r="AX84"/>
      <c r="AY84" s="38">
        <f t="shared" si="6"/>
        <v>2.5</v>
      </c>
      <c r="BA84" s="34" t="str">
        <f t="shared" ca="1" si="7"/>
        <v>VariantAllowances</v>
      </c>
      <c r="BB84" s="34" t="str">
        <f>Transform!$A$27</f>
        <v>Totex allowance</v>
      </c>
      <c r="BC84" s="34" t="str">
        <f t="shared" si="8"/>
        <v>Variant attributes (including Real Price Effects)</v>
      </c>
    </row>
    <row r="85" spans="5:55" x14ac:dyDescent="0.35">
      <c r="E85" s="33" t="str">
        <f>LicenseeSelect!E178</f>
        <v>UIOLI_Biomethane connections / Biomethane Distributed Entry Reinforcement</v>
      </c>
      <c r="F85" s="126" t="str">
        <f>LicenseeSelect!F178</f>
        <v>SpC 3.21</v>
      </c>
      <c r="G85" s="33" t="s">
        <v>236</v>
      </c>
      <c r="H85" s="33" t="str">
        <f>LicenseeSelect!H178</f>
        <v>BDERt</v>
      </c>
      <c r="AU85" s="87" t="b">
        <f>LicenseeSelect!AU178</f>
        <v>0</v>
      </c>
      <c r="AV85" s="36" t="b">
        <f>LicenseeSelect!AV178</f>
        <v>0</v>
      </c>
      <c r="AW85" s="35">
        <f>LicenseeSelect!AW178</f>
        <v>2</v>
      </c>
      <c r="AX85"/>
      <c r="AY85" s="38">
        <f t="shared" ref="AY85:AY109" si="9">IF(AND(AW85=1,AV85=TRUE),1,IF(AND(AW85=2,AV85=TRUE),2,IF(AND(AW85=1,AV85=FALSE),1.5,IF(AND(AW85=2,AV85=FALSE),2.5,0))))</f>
        <v>2.5</v>
      </c>
      <c r="BA85" s="34" t="str">
        <f t="shared" ca="1" si="7"/>
        <v>VariantAllowances</v>
      </c>
      <c r="BB85" s="34" t="str">
        <f>Transform!$A$27</f>
        <v>Totex allowance</v>
      </c>
      <c r="BC85" s="34" t="str">
        <f t="shared" si="8"/>
        <v>Variant attributes (including Real Price Effects)</v>
      </c>
    </row>
    <row r="86" spans="5:55" x14ac:dyDescent="0.35">
      <c r="E86" s="33" t="str">
        <f>LicenseeSelect!E179</f>
        <v>Re-opener_Climate change resilience work</v>
      </c>
      <c r="F86" s="126">
        <f>LicenseeSelect!F179</f>
        <v>0</v>
      </c>
      <c r="G86" s="33" t="s">
        <v>236</v>
      </c>
      <c r="H86" s="33">
        <f>LicenseeSelect!H179</f>
        <v>0</v>
      </c>
      <c r="AU86" s="87" t="b">
        <f>LicenseeSelect!AU179</f>
        <v>0</v>
      </c>
      <c r="AV86" s="36" t="b">
        <f>LicenseeSelect!AV179</f>
        <v>0</v>
      </c>
      <c r="AW86" s="35">
        <f>LicenseeSelect!AW179</f>
        <v>2</v>
      </c>
      <c r="AX86"/>
      <c r="AY86" s="38">
        <f t="shared" si="9"/>
        <v>2.5</v>
      </c>
      <c r="BA86" s="34" t="str">
        <f t="shared" ca="1" si="7"/>
        <v>VariantAllowances</v>
      </c>
      <c r="BB86" s="34" t="str">
        <f>Transform!$A$27</f>
        <v>Totex allowance</v>
      </c>
      <c r="BC86" s="34" t="str">
        <f t="shared" si="8"/>
        <v>Variant attributes (including Real Price Effects)</v>
      </c>
    </row>
    <row r="87" spans="5:55" x14ac:dyDescent="0.35">
      <c r="E87" s="33" t="str">
        <f>LicenseeSelect!E180</f>
        <v>Re-opener_Coordinated Adjustment Mechanism Re-opener</v>
      </c>
      <c r="F87" s="126" t="str">
        <f>LicenseeSelect!F180</f>
        <v>SpC 3.8</v>
      </c>
      <c r="G87" s="33" t="s">
        <v>236</v>
      </c>
      <c r="H87" s="33" t="str">
        <f>LicenseeSelect!H180</f>
        <v>CAMt</v>
      </c>
      <c r="AU87" s="87" t="b">
        <f>LicenseeSelect!AU180</f>
        <v>0</v>
      </c>
      <c r="AV87" s="36" t="b">
        <f>LicenseeSelect!AV180</f>
        <v>0</v>
      </c>
      <c r="AW87" s="35">
        <f>LicenseeSelect!AW180</f>
        <v>2</v>
      </c>
      <c r="AX87"/>
      <c r="AY87" s="38">
        <f t="shared" si="9"/>
        <v>2.5</v>
      </c>
      <c r="BA87" s="34" t="str">
        <f t="shared" ca="1" si="7"/>
        <v>VariantAllowances</v>
      </c>
      <c r="BB87" s="34" t="str">
        <f>Transform!$A$27</f>
        <v>Totex allowance</v>
      </c>
      <c r="BC87" s="34" t="str">
        <f t="shared" si="8"/>
        <v>Variant attributes (including Real Price Effects)</v>
      </c>
    </row>
    <row r="88" spans="5:55" x14ac:dyDescent="0.35">
      <c r="E88" s="33" t="str">
        <f>LicenseeSelect!E181</f>
        <v>Re-opener_Cyber re-opener (Cadent_EoE) / Cyber resilience Re-Opener</v>
      </c>
      <c r="F88" s="126" t="str">
        <f>LicenseeSelect!F181</f>
        <v>SpC 3.2</v>
      </c>
      <c r="G88" s="33" t="s">
        <v>236</v>
      </c>
      <c r="H88" s="33" t="str">
        <f>LicenseeSelect!H181</f>
        <v>CYREt</v>
      </c>
      <c r="AU88" s="87" t="b">
        <f>LicenseeSelect!AU181</f>
        <v>0</v>
      </c>
      <c r="AV88" s="36" t="b">
        <f>LicenseeSelect!AV181</f>
        <v>0</v>
      </c>
      <c r="AW88" s="35">
        <f>LicenseeSelect!AW181</f>
        <v>2</v>
      </c>
      <c r="AX88"/>
      <c r="AY88" s="38">
        <f t="shared" si="9"/>
        <v>2.5</v>
      </c>
      <c r="BA88" s="34" t="str">
        <f t="shared" ca="1" si="7"/>
        <v>VariantAllowances</v>
      </c>
      <c r="BB88" s="34" t="str">
        <f>Transform!$A$27</f>
        <v>Totex allowance</v>
      </c>
      <c r="BC88" s="34" t="str">
        <f t="shared" si="8"/>
        <v>Variant attributes (including Real Price Effects)</v>
      </c>
    </row>
    <row r="89" spans="5:55" x14ac:dyDescent="0.35">
      <c r="E89" s="33" t="str">
        <f>LicenseeSelect!E182</f>
        <v>Re-opener_Data and digitalisation</v>
      </c>
      <c r="F89" s="126">
        <f>LicenseeSelect!F182</f>
        <v>0</v>
      </c>
      <c r="G89" s="33" t="s">
        <v>236</v>
      </c>
      <c r="H89" s="33">
        <f>LicenseeSelect!H182</f>
        <v>0</v>
      </c>
      <c r="AU89" s="87" t="b">
        <f>LicenseeSelect!AU182</f>
        <v>0</v>
      </c>
      <c r="AV89" s="36" t="b">
        <f>LicenseeSelect!AV182</f>
        <v>0</v>
      </c>
      <c r="AW89" s="35">
        <f>LicenseeSelect!AW182</f>
        <v>2</v>
      </c>
      <c r="AX89"/>
      <c r="AY89" s="38">
        <f t="shared" si="9"/>
        <v>2.5</v>
      </c>
      <c r="BA89" s="34" t="str">
        <f t="shared" ca="1" si="7"/>
        <v>VariantAllowances</v>
      </c>
      <c r="BB89" s="34" t="str">
        <f>Transform!$A$27</f>
        <v>Totex allowance</v>
      </c>
      <c r="BC89" s="34" t="str">
        <f t="shared" si="8"/>
        <v>Variant attributes (including Real Price Effects)</v>
      </c>
    </row>
    <row r="90" spans="5:55" x14ac:dyDescent="0.35">
      <c r="E90" s="33" t="str">
        <f>LicenseeSelect!E183</f>
        <v>Re-opener_Digitalisation re-opener</v>
      </c>
      <c r="F90" s="126" t="str">
        <f>LicenseeSelect!F183</f>
        <v>SpC 3.7</v>
      </c>
      <c r="G90" s="33" t="s">
        <v>236</v>
      </c>
      <c r="H90" s="33" t="str">
        <f>LicenseeSelect!H183</f>
        <v>DIGITt</v>
      </c>
      <c r="AU90" s="87" t="b">
        <f>LicenseeSelect!AU183</f>
        <v>0</v>
      </c>
      <c r="AV90" s="36" t="b">
        <f>LicenseeSelect!AV183</f>
        <v>0</v>
      </c>
      <c r="AW90" s="35">
        <f>LicenseeSelect!AW183</f>
        <v>2</v>
      </c>
      <c r="AX90"/>
      <c r="AY90" s="38">
        <f t="shared" si="9"/>
        <v>2.5</v>
      </c>
      <c r="BA90" s="34" t="str">
        <f t="shared" ca="1" si="7"/>
        <v>VariantAllowances</v>
      </c>
      <c r="BB90" s="34" t="str">
        <f>Transform!$A$27</f>
        <v>Totex allowance</v>
      </c>
      <c r="BC90" s="34" t="str">
        <f t="shared" si="8"/>
        <v>Variant attributes (including Real Price Effects)</v>
      </c>
    </row>
    <row r="91" spans="5:55" x14ac:dyDescent="0.35">
      <c r="E91" s="33" t="str">
        <f>LicenseeSelect!E184</f>
        <v>Re-opener_Diversions and Loss of Development Claims Re-opener</v>
      </c>
      <c r="F91" s="126" t="str">
        <f>LicenseeSelect!F184</f>
        <v>SpC 3.15</v>
      </c>
      <c r="G91" s="33" t="s">
        <v>236</v>
      </c>
      <c r="H91" s="33" t="str">
        <f>LicenseeSelect!H184</f>
        <v>DIVt</v>
      </c>
      <c r="AU91" s="87" t="b">
        <f>LicenseeSelect!AU184</f>
        <v>0</v>
      </c>
      <c r="AV91" s="36" t="b">
        <f>LicenseeSelect!AV184</f>
        <v>0</v>
      </c>
      <c r="AW91" s="35">
        <f>LicenseeSelect!AW184</f>
        <v>2</v>
      </c>
      <c r="AX91"/>
      <c r="AY91" s="38">
        <f t="shared" si="9"/>
        <v>2.5</v>
      </c>
      <c r="BA91" s="34" t="str">
        <f t="shared" ca="1" si="7"/>
        <v>VariantAllowances</v>
      </c>
      <c r="BB91" s="34" t="str">
        <f>Transform!$A$27</f>
        <v>Totex allowance</v>
      </c>
      <c r="BC91" s="34" t="str">
        <f t="shared" si="8"/>
        <v>Variant attributes (including Real Price Effects)</v>
      </c>
    </row>
    <row r="92" spans="5:55" x14ac:dyDescent="0.35">
      <c r="E92" s="33" t="str">
        <f>LicenseeSelect!E185</f>
        <v>Re-opener_Heat Policy re-opener</v>
      </c>
      <c r="F92" s="126" t="str">
        <f>LicenseeSelect!F185</f>
        <v>SpC 3.14</v>
      </c>
      <c r="G92" s="33" t="s">
        <v>236</v>
      </c>
      <c r="H92" s="33" t="str">
        <f>LicenseeSelect!H185</f>
        <v>HPRAt</v>
      </c>
      <c r="AU92" s="87" t="b">
        <f>LicenseeSelect!AU185</f>
        <v>0</v>
      </c>
      <c r="AV92" s="36" t="b">
        <f>LicenseeSelect!AV185</f>
        <v>0</v>
      </c>
      <c r="AW92" s="35">
        <f>LicenseeSelect!AW185</f>
        <v>2</v>
      </c>
      <c r="AX92"/>
      <c r="AY92" s="38">
        <f t="shared" si="9"/>
        <v>2.5</v>
      </c>
      <c r="BA92" s="34" t="str">
        <f t="shared" ca="1" si="7"/>
        <v>VariantAllowances</v>
      </c>
      <c r="BB92" s="34" t="str">
        <f>Transform!$A$27</f>
        <v>Totex allowance</v>
      </c>
      <c r="BC92" s="34" t="str">
        <f t="shared" si="8"/>
        <v>Variant attributes (including Real Price Effects)</v>
      </c>
    </row>
    <row r="93" spans="5:55" x14ac:dyDescent="0.35">
      <c r="E93" s="33" t="str">
        <f>LicenseeSelect!E186</f>
        <v>Re-opener_HSE Policy Re-opener</v>
      </c>
      <c r="F93" s="126" t="str">
        <f>LicenseeSelect!F186</f>
        <v>SpC 3.13</v>
      </c>
      <c r="G93" s="33" t="s">
        <v>236</v>
      </c>
      <c r="H93" s="33" t="str">
        <f>LicenseeSelect!H186</f>
        <v>REPt</v>
      </c>
      <c r="AU93" s="87" t="b">
        <f>LicenseeSelect!AU186</f>
        <v>0</v>
      </c>
      <c r="AV93" s="36" t="b">
        <f>LicenseeSelect!AV186</f>
        <v>0</v>
      </c>
      <c r="AW93" s="35">
        <f>LicenseeSelect!AW186</f>
        <v>2</v>
      </c>
      <c r="AX93"/>
      <c r="AY93" s="38">
        <f t="shared" si="9"/>
        <v>2.5</v>
      </c>
      <c r="BA93" s="34" t="str">
        <f t="shared" ca="1" si="7"/>
        <v>VariantAllowances</v>
      </c>
      <c r="BB93" s="34" t="str">
        <f>Transform!$A$27</f>
        <v>Totex allowance</v>
      </c>
      <c r="BC93" s="34" t="str">
        <f t="shared" si="8"/>
        <v>Variant attributes (including Real Price Effects)</v>
      </c>
    </row>
    <row r="94" spans="5:55" x14ac:dyDescent="0.35">
      <c r="E94" s="33" t="str">
        <f>LicenseeSelect!E187</f>
        <v>Re-opener_London Subways and Tunnels</v>
      </c>
      <c r="F94" s="126" t="str">
        <f>LicenseeSelect!F187</f>
        <v>SpC 3.26</v>
      </c>
      <c r="G94" s="33" t="s">
        <v>236</v>
      </c>
      <c r="H94" s="33" t="str">
        <f>LicenseeSelect!H187</f>
        <v>LSTt</v>
      </c>
      <c r="AU94" s="87" t="b">
        <f>LicenseeSelect!AU187</f>
        <v>0</v>
      </c>
      <c r="AV94" s="36" t="b">
        <f>LicenseeSelect!AV187</f>
        <v>0</v>
      </c>
      <c r="AW94" s="35">
        <f>LicenseeSelect!AW187</f>
        <v>2</v>
      </c>
      <c r="AX94"/>
      <c r="AY94" s="38">
        <f t="shared" si="9"/>
        <v>2.5</v>
      </c>
      <c r="BA94" s="34" t="str">
        <f t="shared" ca="1" si="7"/>
        <v>VariantAllowances</v>
      </c>
      <c r="BB94" s="34" t="str">
        <f>Transform!$A$27</f>
        <v>Totex allowance</v>
      </c>
      <c r="BC94" s="34" t="str">
        <f t="shared" si="8"/>
        <v>Variant attributes (including Real Price Effects)</v>
      </c>
    </row>
    <row r="95" spans="5:55" x14ac:dyDescent="0.35">
      <c r="E95" s="33" t="str">
        <f>LicenseeSelect!E188</f>
        <v>Re-opener_Net Zero Pre-construction Works and Small Net Zero Projects Re-opener / Small Decarbonisation Projects Re-opener</v>
      </c>
      <c r="F95" s="126" t="str">
        <f>LicenseeSelect!F188</f>
        <v>SpC 3.4</v>
      </c>
      <c r="G95" s="33" t="s">
        <v>236</v>
      </c>
      <c r="H95" s="33" t="str">
        <f>LicenseeSelect!H188</f>
        <v>SDPt</v>
      </c>
      <c r="AU95" s="87" t="b">
        <f>LicenseeSelect!AU188</f>
        <v>0</v>
      </c>
      <c r="AV95" s="36" t="b">
        <f>LicenseeSelect!AV188</f>
        <v>0</v>
      </c>
      <c r="AW95" s="35">
        <f>LicenseeSelect!AW188</f>
        <v>2</v>
      </c>
      <c r="AX95"/>
      <c r="AY95" s="38">
        <f t="shared" si="9"/>
        <v>2.5</v>
      </c>
      <c r="BA95" s="34" t="str">
        <f t="shared" ca="1" si="7"/>
        <v>VariantAllowances</v>
      </c>
      <c r="BB95" s="34" t="str">
        <f>Transform!$A$27</f>
        <v>Totex allowance</v>
      </c>
      <c r="BC95" s="34" t="str">
        <f t="shared" ref="BC95:BC109" si="10">$B$59</f>
        <v>Variant attributes (including Real Price Effects)</v>
      </c>
    </row>
    <row r="96" spans="5:55" x14ac:dyDescent="0.35">
      <c r="E96" s="33" t="str">
        <f>LicenseeSelect!E189</f>
        <v>Re-opener_Net zero re-opener / Decarbonisation and Environmental Policy Re-opener</v>
      </c>
      <c r="F96" s="126" t="str">
        <f>LicenseeSelect!F189</f>
        <v>SpC 3.6</v>
      </c>
      <c r="G96" s="33" t="s">
        <v>236</v>
      </c>
      <c r="H96" s="33" t="str">
        <f>LicenseeSelect!H189</f>
        <v>DEPt</v>
      </c>
      <c r="AU96" s="87" t="b">
        <f>LicenseeSelect!AU189</f>
        <v>0</v>
      </c>
      <c r="AV96" s="36" t="b">
        <f>LicenseeSelect!AV189</f>
        <v>0</v>
      </c>
      <c r="AW96" s="35">
        <f>LicenseeSelect!AW189</f>
        <v>2</v>
      </c>
      <c r="AX96"/>
      <c r="AY96" s="38">
        <f t="shared" si="9"/>
        <v>2.5</v>
      </c>
      <c r="BA96" s="34" t="str">
        <f t="shared" ca="1" si="7"/>
        <v>VariantAllowances</v>
      </c>
      <c r="BB96" s="34" t="str">
        <f>Transform!$A$27</f>
        <v>Totex allowance</v>
      </c>
      <c r="BC96" s="34" t="str">
        <f t="shared" si="10"/>
        <v>Variant attributes (including Real Price Effects)</v>
      </c>
    </row>
    <row r="97" spans="2:55" x14ac:dyDescent="0.35">
      <c r="E97" s="33" t="str">
        <f>LicenseeSelect!E190</f>
        <v>Re-opener_New Large Load Connections Re-opener</v>
      </c>
      <c r="F97" s="126" t="str">
        <f>LicenseeSelect!F190</f>
        <v>SpC 3.16</v>
      </c>
      <c r="G97" s="33" t="s">
        <v>236</v>
      </c>
      <c r="H97" s="33" t="str">
        <f>LicenseeSelect!H190</f>
        <v>NLLRt</v>
      </c>
      <c r="AU97" s="87" t="b">
        <f>LicenseeSelect!AU190</f>
        <v>0</v>
      </c>
      <c r="AV97" s="36" t="b">
        <f>LicenseeSelect!AV190</f>
        <v>0</v>
      </c>
      <c r="AW97" s="35">
        <f>LicenseeSelect!AW190</f>
        <v>2</v>
      </c>
      <c r="AX97"/>
      <c r="AY97" s="38">
        <f t="shared" si="9"/>
        <v>2.5</v>
      </c>
      <c r="BA97" s="34" t="str">
        <f t="shared" ca="1" si="7"/>
        <v>VariantAllowances</v>
      </c>
      <c r="BB97" s="34" t="str">
        <f>Transform!$A$27</f>
        <v>Totex allowance</v>
      </c>
      <c r="BC97" s="34" t="str">
        <f t="shared" si="10"/>
        <v>Variant attributes (including Real Price Effects)</v>
      </c>
    </row>
    <row r="98" spans="2:55" x14ac:dyDescent="0.35">
      <c r="E98" s="33" t="str">
        <f>LicenseeSelect!E191</f>
        <v>Re-opener_Resilience re-opener / Resilience Activity Re-opener</v>
      </c>
      <c r="F98" s="126" t="str">
        <f>LicenseeSelect!F191</f>
        <v>SpC 3.3</v>
      </c>
      <c r="G98" s="33" t="s">
        <v>236</v>
      </c>
      <c r="H98" s="33" t="str">
        <f>LicenseeSelect!H191</f>
        <v>RESREt</v>
      </c>
      <c r="AU98" s="87" t="b">
        <f>LicenseeSelect!AU191</f>
        <v>0</v>
      </c>
      <c r="AV98" s="36" t="b">
        <f>LicenseeSelect!AV191</f>
        <v>0</v>
      </c>
      <c r="AW98" s="35">
        <f>LicenseeSelect!AW191</f>
        <v>2</v>
      </c>
      <c r="AX98"/>
      <c r="AY98" s="38">
        <f t="shared" si="9"/>
        <v>2.5</v>
      </c>
      <c r="BA98" s="34" t="str">
        <f t="shared" ca="1" si="7"/>
        <v>VariantAllowances</v>
      </c>
      <c r="BB98" s="34" t="str">
        <f>Transform!$A$27</f>
        <v>Totex allowance</v>
      </c>
      <c r="BC98" s="34" t="str">
        <f t="shared" si="10"/>
        <v>Variant attributes (including Real Price Effects)</v>
      </c>
    </row>
    <row r="99" spans="2:55" x14ac:dyDescent="0.35">
      <c r="E99" s="33" t="str">
        <f>LicenseeSelect!E192</f>
        <v>Re-opener_Specified Streetworks Costs Re-opener</v>
      </c>
      <c r="F99" s="126" t="str">
        <f>LicenseeSelect!F192</f>
        <v>SpC 3.17</v>
      </c>
      <c r="G99" s="33" t="s">
        <v>236</v>
      </c>
      <c r="H99" s="33" t="str">
        <f>LicenseeSelect!H192</f>
        <v>STWt</v>
      </c>
      <c r="AU99" s="87" t="b">
        <f>LicenseeSelect!AU192</f>
        <v>0</v>
      </c>
      <c r="AV99" s="36" t="b">
        <f>LicenseeSelect!AV192</f>
        <v>0</v>
      </c>
      <c r="AW99" s="35">
        <f>LicenseeSelect!AW192</f>
        <v>2</v>
      </c>
      <c r="AX99"/>
      <c r="AY99" s="38">
        <f t="shared" si="9"/>
        <v>2.5</v>
      </c>
      <c r="BA99" s="34" t="str">
        <f t="shared" ca="1" si="7"/>
        <v>VariantAllowances</v>
      </c>
      <c r="BB99" s="34" t="str">
        <f>Transform!$A$27</f>
        <v>Totex allowance</v>
      </c>
      <c r="BC99" s="34" t="str">
        <f t="shared" si="10"/>
        <v>Variant attributes (including Real Price Effects)</v>
      </c>
    </row>
    <row r="100" spans="2:55" x14ac:dyDescent="0.35">
      <c r="E100" s="33" t="str">
        <f>LicenseeSelect!E193</f>
        <v>Re-opener_Physical Security Re-opener</v>
      </c>
      <c r="F100" s="126" t="str">
        <f>LicenseeSelect!F193</f>
        <v>SpC 3.3</v>
      </c>
      <c r="G100" s="33" t="s">
        <v>236</v>
      </c>
      <c r="H100" s="33" t="str">
        <f>LicenseeSelect!H193</f>
        <v>RESREt</v>
      </c>
      <c r="AU100" s="87" t="b">
        <f>LicenseeSelect!AU193</f>
        <v>0</v>
      </c>
      <c r="AV100" s="36" t="b">
        <f>LicenseeSelect!AV193</f>
        <v>0</v>
      </c>
      <c r="AW100" s="35">
        <f>LicenseeSelect!AW193</f>
        <v>2</v>
      </c>
      <c r="AX100"/>
      <c r="AY100" s="38">
        <f t="shared" si="9"/>
        <v>2.5</v>
      </c>
      <c r="BA100" s="34" t="str">
        <f t="shared" ca="1" si="7"/>
        <v>VariantAllowances</v>
      </c>
      <c r="BB100" s="34" t="str">
        <f>Transform!$A$27</f>
        <v>Totex allowance</v>
      </c>
      <c r="BC100" s="34" t="str">
        <f t="shared" si="10"/>
        <v>Variant attributes (including Real Price Effects)</v>
      </c>
    </row>
    <row r="101" spans="2:55" x14ac:dyDescent="0.35">
      <c r="E101" s="33" t="str">
        <f>LicenseeSelect!E194</f>
        <v>Re-opener_East Coast Hydrogen NZASP Re-Opener (EoE and NGN) / GD2/GD3 Crossover Adjustment</v>
      </c>
      <c r="F101" s="126" t="str">
        <f>LicenseeSelect!F194</f>
        <v>SpC 3.32</v>
      </c>
      <c r="G101" s="33" t="s">
        <v>236</v>
      </c>
      <c r="H101" s="33" t="str">
        <f>LicenseeSelect!H194</f>
        <v xml:space="preserve">GD2ACAt </v>
      </c>
      <c r="AU101" s="87" t="b">
        <f>LicenseeSelect!AU194</f>
        <v>0</v>
      </c>
      <c r="AV101" s="36" t="b">
        <f>LicenseeSelect!AV194</f>
        <v>0</v>
      </c>
      <c r="AW101" s="35">
        <f>LicenseeSelect!AW194</f>
        <v>2</v>
      </c>
      <c r="AX101"/>
      <c r="AY101" s="38">
        <f t="shared" si="9"/>
        <v>2.5</v>
      </c>
      <c r="BA101" s="34" t="str">
        <f t="shared" ca="1" si="7"/>
        <v>VariantAllowances</v>
      </c>
      <c r="BB101" s="34" t="str">
        <f>Transform!$A$27</f>
        <v>Totex allowance</v>
      </c>
      <c r="BC101" s="34" t="str">
        <f t="shared" si="10"/>
        <v>Variant attributes (including Real Price Effects)</v>
      </c>
    </row>
    <row r="102" spans="2:55" x14ac:dyDescent="0.35">
      <c r="E102" s="33" t="str">
        <f>LicenseeSelect!E195</f>
        <v>Re-opener_Complex Distributions Systems Re-opener</v>
      </c>
      <c r="F102" s="126" t="str">
        <f>LicenseeSelect!F195</f>
        <v>SpC 3.22</v>
      </c>
      <c r="G102" s="33" t="s">
        <v>236</v>
      </c>
      <c r="H102" s="33" t="str">
        <f>LicenseeSelect!H195</f>
        <v>CDSt</v>
      </c>
      <c r="AU102" s="87" t="b">
        <f>LicenseeSelect!AU195</f>
        <v>0</v>
      </c>
      <c r="AV102" s="36" t="b">
        <f>LicenseeSelect!AV195</f>
        <v>0</v>
      </c>
      <c r="AW102" s="35">
        <f>LicenseeSelect!AW195</f>
        <v>2</v>
      </c>
      <c r="AX102"/>
      <c r="AY102" s="38">
        <f t="shared" si="9"/>
        <v>2.5</v>
      </c>
      <c r="BA102" s="34" t="str">
        <f t="shared" ca="1" si="7"/>
        <v>VariantAllowances</v>
      </c>
      <c r="BB102" s="34" t="str">
        <f>Transform!$A$27</f>
        <v>Totex allowance</v>
      </c>
      <c r="BC102" s="34" t="str">
        <f t="shared" si="10"/>
        <v>Variant attributes (including Real Price Effects)</v>
      </c>
    </row>
    <row r="103" spans="2:55" x14ac:dyDescent="0.35">
      <c r="E103" s="33" t="str">
        <f>LicenseeSelect!E196</f>
        <v>Re-opener_Mandated Category 3 Security Re-opener</v>
      </c>
      <c r="F103" s="126">
        <f>LicenseeSelect!F196</f>
        <v>0</v>
      </c>
      <c r="G103" s="33" t="s">
        <v>236</v>
      </c>
      <c r="H103" s="33">
        <f>LicenseeSelect!H196</f>
        <v>0</v>
      </c>
      <c r="AU103" s="87" t="b">
        <f>LicenseeSelect!AU196</f>
        <v>0</v>
      </c>
      <c r="AV103" s="36" t="b">
        <f>LicenseeSelect!AV196</f>
        <v>0</v>
      </c>
      <c r="AW103" s="35">
        <f>LicenseeSelect!AW196</f>
        <v>2</v>
      </c>
      <c r="AX103"/>
      <c r="AY103" s="38">
        <f t="shared" si="9"/>
        <v>2.5</v>
      </c>
      <c r="BA103" s="34" t="str">
        <f t="shared" ca="1" si="7"/>
        <v>VariantAllowances</v>
      </c>
      <c r="BB103" s="34" t="str">
        <f>Transform!$A$27</f>
        <v>Totex allowance</v>
      </c>
      <c r="BC103" s="34" t="str">
        <f t="shared" si="10"/>
        <v>Variant attributes (including Real Price Effects)</v>
      </c>
    </row>
    <row r="104" spans="2:55" x14ac:dyDescent="0.35">
      <c r="E104" s="33" t="str">
        <f>LicenseeSelect!E197</f>
        <v>Re-opener_General Reinforcement</v>
      </c>
      <c r="F104" s="126">
        <f>LicenseeSelect!F197</f>
        <v>0</v>
      </c>
      <c r="G104" s="33" t="s">
        <v>236</v>
      </c>
      <c r="H104" s="33">
        <f>LicenseeSelect!H197</f>
        <v>0</v>
      </c>
      <c r="AU104" s="87" t="b">
        <f>LicenseeSelect!AU197</f>
        <v>0</v>
      </c>
      <c r="AV104" s="36" t="b">
        <f>LicenseeSelect!AV197</f>
        <v>0</v>
      </c>
      <c r="AW104" s="35">
        <f>LicenseeSelect!AW197</f>
        <v>2</v>
      </c>
      <c r="AX104"/>
      <c r="AY104" s="38">
        <f t="shared" si="9"/>
        <v>2.5</v>
      </c>
      <c r="BA104" s="34" t="str">
        <f t="shared" ca="1" si="7"/>
        <v>VariantAllowances</v>
      </c>
      <c r="BB104" s="34" t="str">
        <f>Transform!$A$27</f>
        <v>Totex allowance</v>
      </c>
      <c r="BC104" s="34" t="str">
        <f t="shared" si="10"/>
        <v>Variant attributes (including Real Price Effects)</v>
      </c>
    </row>
    <row r="105" spans="2:55" x14ac:dyDescent="0.35">
      <c r="E105" s="33" t="str">
        <f>LicenseeSelect!E198</f>
        <v>Spare 2</v>
      </c>
      <c r="F105" s="126">
        <f>LicenseeSelect!F198</f>
        <v>0</v>
      </c>
      <c r="G105" s="33" t="s">
        <v>236</v>
      </c>
      <c r="H105" s="33">
        <f>LicenseeSelect!H198</f>
        <v>0</v>
      </c>
      <c r="AU105" s="87" t="b">
        <f>LicenseeSelect!AU198</f>
        <v>0</v>
      </c>
      <c r="AV105" s="36" t="b">
        <f>LicenseeSelect!AV198</f>
        <v>0</v>
      </c>
      <c r="AW105" s="35">
        <f>LicenseeSelect!AW198</f>
        <v>2</v>
      </c>
      <c r="AX105"/>
      <c r="AY105" s="38">
        <f t="shared" si="9"/>
        <v>2.5</v>
      </c>
      <c r="BA105" s="34" t="str">
        <f t="shared" ca="1" si="7"/>
        <v>VariantAllowances</v>
      </c>
      <c r="BB105" s="34" t="str">
        <f>Transform!$A$27</f>
        <v>Totex allowance</v>
      </c>
      <c r="BC105" s="34" t="str">
        <f t="shared" si="10"/>
        <v>Variant attributes (including Real Price Effects)</v>
      </c>
    </row>
    <row r="106" spans="2:55" x14ac:dyDescent="0.35">
      <c r="E106" s="33" t="str">
        <f>LicenseeSelect!E199</f>
        <v>Spare 3</v>
      </c>
      <c r="F106" s="126">
        <f>LicenseeSelect!F199</f>
        <v>0</v>
      </c>
      <c r="G106" s="33" t="s">
        <v>236</v>
      </c>
      <c r="H106" s="33">
        <f>LicenseeSelect!H199</f>
        <v>0</v>
      </c>
      <c r="AU106" s="87" t="b">
        <f>LicenseeSelect!AU199</f>
        <v>0</v>
      </c>
      <c r="AV106" s="36" t="b">
        <f>LicenseeSelect!AV199</f>
        <v>0</v>
      </c>
      <c r="AW106" s="35">
        <f>LicenseeSelect!AW199</f>
        <v>2</v>
      </c>
      <c r="AX106"/>
      <c r="AY106" s="38">
        <f t="shared" si="9"/>
        <v>2.5</v>
      </c>
      <c r="BA106" s="34" t="str">
        <f t="shared" ca="1" si="7"/>
        <v>VariantAllowances</v>
      </c>
      <c r="BB106" s="34" t="str">
        <f>Transform!$A$27</f>
        <v>Totex allowance</v>
      </c>
      <c r="BC106" s="34" t="str">
        <f t="shared" si="10"/>
        <v>Variant attributes (including Real Price Effects)</v>
      </c>
    </row>
    <row r="107" spans="2:55" x14ac:dyDescent="0.35">
      <c r="E107" s="33" t="str">
        <f>LicenseeSelect!E200</f>
        <v>Spare 4</v>
      </c>
      <c r="F107" s="126">
        <f>LicenseeSelect!F200</f>
        <v>0</v>
      </c>
      <c r="G107" s="33" t="s">
        <v>236</v>
      </c>
      <c r="H107" s="33">
        <f>LicenseeSelect!H200</f>
        <v>0</v>
      </c>
      <c r="AU107" s="87" t="b">
        <f>LicenseeSelect!AU200</f>
        <v>0</v>
      </c>
      <c r="AV107" s="36" t="b">
        <f>LicenseeSelect!AV200</f>
        <v>0</v>
      </c>
      <c r="AW107" s="35">
        <f>LicenseeSelect!AW200</f>
        <v>2</v>
      </c>
      <c r="AX107"/>
      <c r="AY107" s="38">
        <f t="shared" si="9"/>
        <v>2.5</v>
      </c>
      <c r="BA107" s="34" t="str">
        <f t="shared" ca="1" si="7"/>
        <v>VariantAllowances</v>
      </c>
      <c r="BB107" s="34" t="str">
        <f>Transform!$A$27</f>
        <v>Totex allowance</v>
      </c>
      <c r="BC107" s="34" t="str">
        <f t="shared" si="10"/>
        <v>Variant attributes (including Real Price Effects)</v>
      </c>
    </row>
    <row r="108" spans="2:55" x14ac:dyDescent="0.35">
      <c r="E108" s="33" t="str">
        <f>LicenseeSelect!E201</f>
        <v>Spare 5</v>
      </c>
      <c r="F108" s="126">
        <f>LicenseeSelect!F201</f>
        <v>0</v>
      </c>
      <c r="G108" s="33" t="s">
        <v>236</v>
      </c>
      <c r="H108" s="33">
        <f>LicenseeSelect!H201</f>
        <v>0</v>
      </c>
      <c r="AU108" s="87" t="b">
        <f>LicenseeSelect!AU201</f>
        <v>0</v>
      </c>
      <c r="AV108" s="36" t="b">
        <f>LicenseeSelect!AV201</f>
        <v>0</v>
      </c>
      <c r="AW108" s="35">
        <f>LicenseeSelect!AW201</f>
        <v>2</v>
      </c>
      <c r="AX108"/>
      <c r="AY108" s="38">
        <f t="shared" si="9"/>
        <v>2.5</v>
      </c>
      <c r="BA108" s="34" t="str">
        <f t="shared" ca="1" si="7"/>
        <v>VariantAllowances</v>
      </c>
      <c r="BB108" s="34" t="str">
        <f>Transform!$A$27</f>
        <v>Totex allowance</v>
      </c>
      <c r="BC108" s="34" t="str">
        <f t="shared" si="10"/>
        <v>Variant attributes (including Real Price Effects)</v>
      </c>
    </row>
    <row r="109" spans="2:55" x14ac:dyDescent="0.35">
      <c r="E109" s="33" t="str">
        <f>LicenseeSelect!E202</f>
        <v>Spare 6</v>
      </c>
      <c r="F109" s="126">
        <f>LicenseeSelect!F202</f>
        <v>0</v>
      </c>
      <c r="G109" s="33" t="s">
        <v>236</v>
      </c>
      <c r="H109" s="33">
        <f>LicenseeSelect!H202</f>
        <v>0</v>
      </c>
      <c r="AU109" s="87" t="b">
        <f>LicenseeSelect!AU202</f>
        <v>0</v>
      </c>
      <c r="AV109" s="36" t="b">
        <f>LicenseeSelect!AV202</f>
        <v>0</v>
      </c>
      <c r="AW109" s="35">
        <f>LicenseeSelect!AW202</f>
        <v>2</v>
      </c>
      <c r="AX109"/>
      <c r="AY109" s="38">
        <f t="shared" si="9"/>
        <v>2.5</v>
      </c>
      <c r="BA109" s="34" t="str">
        <f t="shared" ca="1" si="7"/>
        <v>VariantAllowances</v>
      </c>
      <c r="BB109" s="34" t="str">
        <f>Transform!$A$27</f>
        <v>Totex allowance</v>
      </c>
      <c r="BC109" s="34" t="str">
        <f t="shared" si="10"/>
        <v>Variant attributes (including Real Price Effects)</v>
      </c>
    </row>
    <row r="110" spans="2:55" x14ac:dyDescent="0.35">
      <c r="AU110"/>
      <c r="AV110"/>
      <c r="AW110"/>
      <c r="AX110"/>
      <c r="AY110"/>
      <c r="BA110" s="34"/>
    </row>
    <row r="111" spans="2:55" ht="17.5" thickBot="1" x14ac:dyDescent="0.4">
      <c r="B111" s="8" t="s">
        <v>267</v>
      </c>
      <c r="BA111" s="34"/>
    </row>
    <row r="112" spans="2:55" ht="16.5" thickTop="1" x14ac:dyDescent="0.35">
      <c r="E112" s="187" t="str">
        <f>LicenseeSelect!E205</f>
        <v>PCD_Baseline Network Risk Output</v>
      </c>
      <c r="F112" s="201">
        <f>LicenseeSelect!F205</f>
        <v>0</v>
      </c>
      <c r="G112" s="188" t="s">
        <v>109</v>
      </c>
      <c r="H112" s="188" t="str">
        <f>LicenseeSelect!H205</f>
        <v>Load related capex</v>
      </c>
      <c r="I112" s="188"/>
      <c r="J112" s="188"/>
      <c r="K112" s="188"/>
      <c r="L112" s="188"/>
      <c r="M112" s="188"/>
      <c r="N112" s="188"/>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188"/>
      <c r="AL112" s="188"/>
      <c r="AM112" s="188"/>
      <c r="AN112" s="188"/>
      <c r="AO112" s="188"/>
      <c r="AP112" s="188"/>
      <c r="AQ112" s="188"/>
      <c r="AR112" s="188"/>
      <c r="AS112" s="188"/>
      <c r="AT112" s="202"/>
      <c r="AU112" s="203">
        <f>LicenseeSelect!AU205</f>
        <v>0</v>
      </c>
      <c r="AV112" s="204">
        <f>LicenseeSelect!AV205</f>
        <v>0</v>
      </c>
      <c r="AW112" s="204">
        <f>LicenseeSelect!AW205</f>
        <v>0</v>
      </c>
      <c r="AX112" s="204">
        <f>LicenseeSelect!AX205</f>
        <v>0</v>
      </c>
      <c r="AY112" s="205">
        <f>LicenseeSelect!AY205</f>
        <v>0</v>
      </c>
      <c r="BA112" s="34" t="str">
        <f t="shared" ref="BA112:BA181" ca="1" si="11">$A$1</f>
        <v>VariantAllowances</v>
      </c>
      <c r="BB112" s="34" t="str">
        <f>$A$363</f>
        <v>Variant allowances detailed calculation</v>
      </c>
      <c r="BC112" s="34" t="str">
        <f t="shared" ref="BC112:BC230" si="12">$B$111</f>
        <v>Variant allowances percentage allocation</v>
      </c>
    </row>
    <row r="113" spans="5:55" x14ac:dyDescent="0.35">
      <c r="E113" s="193" t="str">
        <f>LicenseeSelect!E206</f>
        <v>PCD_Baseline Network Risk Output</v>
      </c>
      <c r="F113" s="126">
        <f>LicenseeSelect!F206</f>
        <v>0</v>
      </c>
      <c r="G113" s="33" t="s">
        <v>109</v>
      </c>
      <c r="H113" s="33" t="str">
        <f>LicenseeSelect!H206</f>
        <v>Non-load related capex - other</v>
      </c>
      <c r="AU113" s="162">
        <f>LicenseeSelect!AU206</f>
        <v>0.28212543924181549</v>
      </c>
      <c r="AV113" s="41">
        <f>LicenseeSelect!AV206</f>
        <v>0.28212543924181549</v>
      </c>
      <c r="AW113" s="41">
        <f>LicenseeSelect!AW206</f>
        <v>0.28212543924181549</v>
      </c>
      <c r="AX113" s="41">
        <f>LicenseeSelect!AX206</f>
        <v>0.28212543924181549</v>
      </c>
      <c r="AY113" s="206">
        <f>LicenseeSelect!AY206</f>
        <v>0.28212543924181549</v>
      </c>
      <c r="BA113" s="34" t="str">
        <f t="shared" ca="1" si="11"/>
        <v>VariantAllowances</v>
      </c>
      <c r="BB113" s="34" t="str">
        <f>$A$363</f>
        <v>Variant allowances detailed calculation</v>
      </c>
      <c r="BC113" s="34" t="str">
        <f t="shared" si="12"/>
        <v>Variant allowances percentage allocation</v>
      </c>
    </row>
    <row r="114" spans="5:55" x14ac:dyDescent="0.35">
      <c r="E114" s="193" t="str">
        <f>LicenseeSelect!E207</f>
        <v>PCD_Baseline Network Risk Output</v>
      </c>
      <c r="F114" s="126">
        <f>LicenseeSelect!F207</f>
        <v>0</v>
      </c>
      <c r="G114" s="33" t="s">
        <v>109</v>
      </c>
      <c r="H114" s="33" t="str">
        <f>LicenseeSelect!H207</f>
        <v>Business support (opex)</v>
      </c>
      <c r="AU114" s="162">
        <f>LicenseeSelect!AU207</f>
        <v>0</v>
      </c>
      <c r="AV114" s="41">
        <f>LicenseeSelect!AV207</f>
        <v>0</v>
      </c>
      <c r="AW114" s="41">
        <f>LicenseeSelect!AW207</f>
        <v>0</v>
      </c>
      <c r="AX114" s="41">
        <f>LicenseeSelect!AX207</f>
        <v>0</v>
      </c>
      <c r="AY114" s="206">
        <f>LicenseeSelect!AY207</f>
        <v>0</v>
      </c>
      <c r="BA114" s="34" t="str">
        <f t="shared" ca="1" si="11"/>
        <v>VariantAllowances</v>
      </c>
      <c r="BB114" s="34" t="str">
        <f>$A$363</f>
        <v>Variant allowances detailed calculation</v>
      </c>
      <c r="BC114" s="34" t="str">
        <f t="shared" si="12"/>
        <v>Variant allowances percentage allocation</v>
      </c>
    </row>
    <row r="115" spans="5:55" x14ac:dyDescent="0.35">
      <c r="E115" s="193" t="str">
        <f>LicenseeSelect!E208</f>
        <v>PCD_Baseline Network Risk Output</v>
      </c>
      <c r="F115" s="126">
        <f>LicenseeSelect!F208</f>
        <v>0</v>
      </c>
      <c r="G115" s="33" t="s">
        <v>109</v>
      </c>
      <c r="H115" s="33" t="str">
        <f>LicenseeSelect!H208</f>
        <v>Directs opex</v>
      </c>
      <c r="AU115" s="162">
        <f>LicenseeSelect!AU208</f>
        <v>0</v>
      </c>
      <c r="AV115" s="41">
        <f>LicenseeSelect!AV208</f>
        <v>0</v>
      </c>
      <c r="AW115" s="41">
        <f>LicenseeSelect!AW208</f>
        <v>0</v>
      </c>
      <c r="AX115" s="41">
        <f>LicenseeSelect!AX208</f>
        <v>0</v>
      </c>
      <c r="AY115" s="206">
        <f>LicenseeSelect!AY208</f>
        <v>0</v>
      </c>
      <c r="BA115" s="34" t="str">
        <f t="shared" ca="1" si="11"/>
        <v>VariantAllowances</v>
      </c>
      <c r="BB115" s="34" t="str">
        <f>$A$363</f>
        <v>Variant allowances detailed calculation</v>
      </c>
      <c r="BC115" s="34" t="str">
        <f t="shared" si="12"/>
        <v>Variant allowances percentage allocation</v>
      </c>
    </row>
    <row r="116" spans="5:55" x14ac:dyDescent="0.35">
      <c r="E116" s="195" t="str">
        <f>LicenseeSelect!E209</f>
        <v>PCD_Baseline Network Risk Output</v>
      </c>
      <c r="F116" s="207">
        <f>LicenseeSelect!F209</f>
        <v>0</v>
      </c>
      <c r="G116" s="196" t="s">
        <v>109</v>
      </c>
      <c r="H116" s="196" t="str">
        <f>LicenseeSelect!H209</f>
        <v>Repex</v>
      </c>
      <c r="I116" s="196"/>
      <c r="J116" s="196"/>
      <c r="K116" s="196"/>
      <c r="L116" s="196"/>
      <c r="M116" s="196"/>
      <c r="N116" s="196"/>
      <c r="O116" s="196"/>
      <c r="P116" s="196"/>
      <c r="Q116" s="196"/>
      <c r="R116" s="196"/>
      <c r="S116" s="196"/>
      <c r="T116" s="196"/>
      <c r="U116" s="196"/>
      <c r="V116" s="196"/>
      <c r="W116" s="196"/>
      <c r="X116" s="196"/>
      <c r="Y116" s="196"/>
      <c r="Z116" s="196"/>
      <c r="AA116" s="196"/>
      <c r="AB116" s="196"/>
      <c r="AC116" s="196"/>
      <c r="AD116" s="196"/>
      <c r="AE116" s="196"/>
      <c r="AF116" s="196"/>
      <c r="AG116" s="196"/>
      <c r="AH116" s="196"/>
      <c r="AI116" s="196"/>
      <c r="AJ116" s="196"/>
      <c r="AK116" s="196"/>
      <c r="AL116" s="196"/>
      <c r="AM116" s="196"/>
      <c r="AN116" s="196"/>
      <c r="AO116" s="196"/>
      <c r="AP116" s="196"/>
      <c r="AQ116" s="196"/>
      <c r="AR116" s="196"/>
      <c r="AS116" s="196"/>
      <c r="AT116" s="208"/>
      <c r="AU116" s="209">
        <f>LicenseeSelect!AU209</f>
        <v>0.71787456075818457</v>
      </c>
      <c r="AV116" s="210">
        <f>LicenseeSelect!AV209</f>
        <v>0.71787456075818457</v>
      </c>
      <c r="AW116" s="210">
        <f>LicenseeSelect!AW209</f>
        <v>0.71787456075818457</v>
      </c>
      <c r="AX116" s="210">
        <f>LicenseeSelect!AX209</f>
        <v>0.71787456075818457</v>
      </c>
      <c r="AY116" s="211">
        <f>LicenseeSelect!AY209</f>
        <v>0.71787456075818457</v>
      </c>
      <c r="BA116" s="34" t="str">
        <f t="shared" ca="1" si="11"/>
        <v>VariantAllowances</v>
      </c>
      <c r="BB116" s="34" t="str">
        <f>$A$363</f>
        <v>Variant allowances detailed calculation</v>
      </c>
      <c r="BC116" s="34" t="str">
        <f t="shared" si="12"/>
        <v>Variant allowances percentage allocation</v>
      </c>
    </row>
    <row r="117" spans="5:55" x14ac:dyDescent="0.35">
      <c r="E117" s="187" t="str">
        <f>LicenseeSelect!E210</f>
        <v>PCD_Cyber PCDs</v>
      </c>
      <c r="F117" s="201">
        <f>LicenseeSelect!F210</f>
        <v>0</v>
      </c>
      <c r="G117" s="188" t="s">
        <v>109</v>
      </c>
      <c r="H117" s="188" t="str">
        <f>LicenseeSelect!H210</f>
        <v>Load related capex</v>
      </c>
      <c r="I117" s="188"/>
      <c r="J117" s="188"/>
      <c r="K117" s="188"/>
      <c r="L117" s="188"/>
      <c r="M117" s="188"/>
      <c r="N117" s="188"/>
      <c r="O117" s="188"/>
      <c r="P117" s="188"/>
      <c r="Q117" s="188"/>
      <c r="R117" s="188"/>
      <c r="S117" s="188"/>
      <c r="T117" s="188"/>
      <c r="U117" s="188"/>
      <c r="V117" s="188"/>
      <c r="W117" s="188"/>
      <c r="X117" s="188"/>
      <c r="Y117" s="188"/>
      <c r="Z117" s="188"/>
      <c r="AA117" s="188"/>
      <c r="AB117" s="188"/>
      <c r="AC117" s="188"/>
      <c r="AD117" s="188"/>
      <c r="AE117" s="188"/>
      <c r="AF117" s="188"/>
      <c r="AG117" s="188"/>
      <c r="AH117" s="188"/>
      <c r="AI117" s="188"/>
      <c r="AJ117" s="188"/>
      <c r="AK117" s="188"/>
      <c r="AL117" s="188"/>
      <c r="AM117" s="188"/>
      <c r="AN117" s="188"/>
      <c r="AO117" s="188"/>
      <c r="AP117" s="188"/>
      <c r="AQ117" s="188"/>
      <c r="AR117" s="188"/>
      <c r="AS117" s="188"/>
      <c r="AT117" s="202"/>
      <c r="AU117" s="203">
        <f>LicenseeSelect!AU210</f>
        <v>0</v>
      </c>
      <c r="AV117" s="204">
        <f>LicenseeSelect!AV210</f>
        <v>0</v>
      </c>
      <c r="AW117" s="204">
        <f>LicenseeSelect!AW210</f>
        <v>0</v>
      </c>
      <c r="AX117" s="204">
        <f>LicenseeSelect!AX210</f>
        <v>0</v>
      </c>
      <c r="AY117" s="205">
        <f>LicenseeSelect!AY210</f>
        <v>0</v>
      </c>
      <c r="BA117" s="34" t="str">
        <f t="shared" ca="1" si="11"/>
        <v>VariantAllowances</v>
      </c>
      <c r="BB117" s="34" t="str">
        <f t="shared" ref="BB117:BB172" si="13">$A$363</f>
        <v>Variant allowances detailed calculation</v>
      </c>
      <c r="BC117" s="34" t="str">
        <f t="shared" si="12"/>
        <v>Variant allowances percentage allocation</v>
      </c>
    </row>
    <row r="118" spans="5:55" x14ac:dyDescent="0.35">
      <c r="E118" s="193" t="str">
        <f>LicenseeSelect!E211</f>
        <v>PCD_Cyber PCDs</v>
      </c>
      <c r="F118" s="126">
        <f>LicenseeSelect!F211</f>
        <v>0</v>
      </c>
      <c r="G118" s="33" t="s">
        <v>109</v>
      </c>
      <c r="H118" s="33" t="str">
        <f>LicenseeSelect!H211</f>
        <v>Non-load related capex - other</v>
      </c>
      <c r="AU118" s="162">
        <f>LicenseeSelect!AU211</f>
        <v>0.282008718503301</v>
      </c>
      <c r="AV118" s="41">
        <f>LicenseeSelect!AV211</f>
        <v>0.282008718503301</v>
      </c>
      <c r="AW118" s="41">
        <f>LicenseeSelect!AW211</f>
        <v>0.282008718503301</v>
      </c>
      <c r="AX118" s="41">
        <f>LicenseeSelect!AX211</f>
        <v>0.282008718503301</v>
      </c>
      <c r="AY118" s="206">
        <f>LicenseeSelect!AY211</f>
        <v>0.282008718503301</v>
      </c>
      <c r="BA118" s="34" t="str">
        <f t="shared" ca="1" si="11"/>
        <v>VariantAllowances</v>
      </c>
      <c r="BB118" s="34" t="str">
        <f t="shared" si="13"/>
        <v>Variant allowances detailed calculation</v>
      </c>
      <c r="BC118" s="34" t="str">
        <f t="shared" si="12"/>
        <v>Variant allowances percentage allocation</v>
      </c>
    </row>
    <row r="119" spans="5:55" x14ac:dyDescent="0.35">
      <c r="E119" s="193" t="str">
        <f>LicenseeSelect!E212</f>
        <v>PCD_Cyber PCDs</v>
      </c>
      <c r="F119" s="126">
        <f>LicenseeSelect!F212</f>
        <v>0</v>
      </c>
      <c r="G119" s="33" t="s">
        <v>109</v>
      </c>
      <c r="H119" s="33" t="str">
        <f>LicenseeSelect!H212</f>
        <v>Business support (opex)</v>
      </c>
      <c r="AU119" s="162">
        <f>LicenseeSelect!AU212</f>
        <v>0.717991281496699</v>
      </c>
      <c r="AV119" s="41">
        <f>LicenseeSelect!AV212</f>
        <v>0.717991281496699</v>
      </c>
      <c r="AW119" s="41">
        <f>LicenseeSelect!AW212</f>
        <v>0.717991281496699</v>
      </c>
      <c r="AX119" s="41">
        <f>LicenseeSelect!AX212</f>
        <v>0.717991281496699</v>
      </c>
      <c r="AY119" s="206">
        <f>LicenseeSelect!AY212</f>
        <v>0.717991281496699</v>
      </c>
      <c r="BA119" s="34" t="str">
        <f t="shared" ca="1" si="11"/>
        <v>VariantAllowances</v>
      </c>
      <c r="BB119" s="34" t="str">
        <f t="shared" si="13"/>
        <v>Variant allowances detailed calculation</v>
      </c>
      <c r="BC119" s="34" t="str">
        <f t="shared" si="12"/>
        <v>Variant allowances percentage allocation</v>
      </c>
    </row>
    <row r="120" spans="5:55" x14ac:dyDescent="0.35">
      <c r="E120" s="193" t="str">
        <f>LicenseeSelect!E213</f>
        <v>PCD_Cyber PCDs</v>
      </c>
      <c r="F120" s="126">
        <f>LicenseeSelect!F213</f>
        <v>0</v>
      </c>
      <c r="G120" s="33" t="s">
        <v>109</v>
      </c>
      <c r="H120" s="33" t="str">
        <f>LicenseeSelect!H213</f>
        <v>Directs opex</v>
      </c>
      <c r="AU120" s="162">
        <f>LicenseeSelect!AU213</f>
        <v>0</v>
      </c>
      <c r="AV120" s="41">
        <f>LicenseeSelect!AV213</f>
        <v>0</v>
      </c>
      <c r="AW120" s="41">
        <f>LicenseeSelect!AW213</f>
        <v>0</v>
      </c>
      <c r="AX120" s="41">
        <f>LicenseeSelect!AX213</f>
        <v>0</v>
      </c>
      <c r="AY120" s="206">
        <f>LicenseeSelect!AY213</f>
        <v>0</v>
      </c>
      <c r="BA120" s="34" t="str">
        <f t="shared" ca="1" si="11"/>
        <v>VariantAllowances</v>
      </c>
      <c r="BB120" s="34" t="str">
        <f t="shared" si="13"/>
        <v>Variant allowances detailed calculation</v>
      </c>
      <c r="BC120" s="34" t="str">
        <f t="shared" si="12"/>
        <v>Variant allowances percentage allocation</v>
      </c>
    </row>
    <row r="121" spans="5:55" x14ac:dyDescent="0.35">
      <c r="E121" s="195" t="str">
        <f>LicenseeSelect!E214</f>
        <v>PCD_Cyber PCDs</v>
      </c>
      <c r="F121" s="207">
        <f>LicenseeSelect!F214</f>
        <v>0</v>
      </c>
      <c r="G121" s="196" t="s">
        <v>109</v>
      </c>
      <c r="H121" s="196" t="str">
        <f>LicenseeSelect!H214</f>
        <v>Repex</v>
      </c>
      <c r="I121" s="196"/>
      <c r="J121" s="196"/>
      <c r="K121" s="196"/>
      <c r="L121" s="196"/>
      <c r="M121" s="196"/>
      <c r="N121" s="196"/>
      <c r="O121" s="196"/>
      <c r="P121" s="196"/>
      <c r="Q121" s="196"/>
      <c r="R121" s="196"/>
      <c r="S121" s="196"/>
      <c r="T121" s="196"/>
      <c r="U121" s="196"/>
      <c r="V121" s="196"/>
      <c r="W121" s="196"/>
      <c r="X121" s="196"/>
      <c r="Y121" s="196"/>
      <c r="Z121" s="196"/>
      <c r="AA121" s="196"/>
      <c r="AB121" s="196"/>
      <c r="AC121" s="196"/>
      <c r="AD121" s="196"/>
      <c r="AE121" s="196"/>
      <c r="AF121" s="196"/>
      <c r="AG121" s="196"/>
      <c r="AH121" s="196"/>
      <c r="AI121" s="196"/>
      <c r="AJ121" s="196"/>
      <c r="AK121" s="196"/>
      <c r="AL121" s="196"/>
      <c r="AM121" s="196"/>
      <c r="AN121" s="196"/>
      <c r="AO121" s="196"/>
      <c r="AP121" s="196"/>
      <c r="AQ121" s="196"/>
      <c r="AR121" s="196"/>
      <c r="AS121" s="196"/>
      <c r="AT121" s="208"/>
      <c r="AU121" s="209">
        <f>LicenseeSelect!AU214</f>
        <v>0</v>
      </c>
      <c r="AV121" s="210">
        <f>LicenseeSelect!AV214</f>
        <v>0</v>
      </c>
      <c r="AW121" s="210">
        <f>LicenseeSelect!AW214</f>
        <v>0</v>
      </c>
      <c r="AX121" s="210">
        <f>LicenseeSelect!AX214</f>
        <v>0</v>
      </c>
      <c r="AY121" s="211">
        <f>LicenseeSelect!AY214</f>
        <v>0</v>
      </c>
      <c r="BA121" s="34" t="str">
        <f t="shared" ca="1" si="11"/>
        <v>VariantAllowances</v>
      </c>
      <c r="BB121" s="34" t="str">
        <f t="shared" si="13"/>
        <v>Variant allowances detailed calculation</v>
      </c>
      <c r="BC121" s="34" t="str">
        <f t="shared" si="12"/>
        <v>Variant allowances percentage allocation</v>
      </c>
    </row>
    <row r="122" spans="5:55" x14ac:dyDescent="0.35">
      <c r="E122" s="187" t="str">
        <f>LicenseeSelect!E215</f>
        <v>PCD_Flow Weighted Average Calorific Value Compliance (Cadent_all) / FWACV Compliance (Cadent_all)</v>
      </c>
      <c r="F122" s="201">
        <f>LicenseeSelect!F215</f>
        <v>0</v>
      </c>
      <c r="G122" s="188" t="s">
        <v>109</v>
      </c>
      <c r="H122" s="188" t="str">
        <f>LicenseeSelect!H215</f>
        <v>Load related capex</v>
      </c>
      <c r="I122" s="188"/>
      <c r="J122" s="188"/>
      <c r="K122" s="188"/>
      <c r="L122" s="188"/>
      <c r="M122" s="188"/>
      <c r="N122" s="188"/>
      <c r="O122" s="188"/>
      <c r="P122" s="188"/>
      <c r="Q122" s="188"/>
      <c r="R122" s="188"/>
      <c r="S122" s="188"/>
      <c r="T122" s="188"/>
      <c r="U122" s="188"/>
      <c r="V122" s="188"/>
      <c r="W122" s="188"/>
      <c r="X122" s="188"/>
      <c r="Y122" s="188"/>
      <c r="Z122" s="188"/>
      <c r="AA122" s="188"/>
      <c r="AB122" s="188"/>
      <c r="AC122" s="188"/>
      <c r="AD122" s="188"/>
      <c r="AE122" s="188"/>
      <c r="AF122" s="188"/>
      <c r="AG122" s="188"/>
      <c r="AH122" s="188"/>
      <c r="AI122" s="188"/>
      <c r="AJ122" s="188"/>
      <c r="AK122" s="188"/>
      <c r="AL122" s="188"/>
      <c r="AM122" s="188"/>
      <c r="AN122" s="188"/>
      <c r="AO122" s="188"/>
      <c r="AP122" s="188"/>
      <c r="AQ122" s="188"/>
      <c r="AR122" s="188"/>
      <c r="AS122" s="188"/>
      <c r="AT122" s="202"/>
      <c r="AU122" s="203">
        <f>LicenseeSelect!AU215</f>
        <v>0</v>
      </c>
      <c r="AV122" s="204">
        <f>LicenseeSelect!AV215</f>
        <v>0</v>
      </c>
      <c r="AW122" s="204">
        <f>LicenseeSelect!AW215</f>
        <v>0</v>
      </c>
      <c r="AX122" s="204">
        <f>LicenseeSelect!AX215</f>
        <v>0</v>
      </c>
      <c r="AY122" s="205">
        <f>LicenseeSelect!AY215</f>
        <v>0</v>
      </c>
      <c r="BA122" s="34" t="str">
        <f t="shared" ca="1" si="11"/>
        <v>VariantAllowances</v>
      </c>
      <c r="BB122" s="34" t="str">
        <f t="shared" si="13"/>
        <v>Variant allowances detailed calculation</v>
      </c>
      <c r="BC122" s="34" t="str">
        <f t="shared" si="12"/>
        <v>Variant allowances percentage allocation</v>
      </c>
    </row>
    <row r="123" spans="5:55" x14ac:dyDescent="0.35">
      <c r="E123" s="193" t="str">
        <f>LicenseeSelect!E216</f>
        <v>PCD_Flow Weighted Average Calorific Value Compliance (Cadent_all) / FWACV Compliance (Cadent_all)</v>
      </c>
      <c r="F123" s="126">
        <f>LicenseeSelect!F216</f>
        <v>0</v>
      </c>
      <c r="G123" s="33" t="s">
        <v>109</v>
      </c>
      <c r="H123" s="33" t="str">
        <f>LicenseeSelect!H216</f>
        <v>Non-load related capex - other</v>
      </c>
      <c r="AU123" s="162">
        <f>LicenseeSelect!AU216</f>
        <v>1</v>
      </c>
      <c r="AV123" s="41">
        <f>LicenseeSelect!AV216</f>
        <v>1</v>
      </c>
      <c r="AW123" s="41">
        <f>LicenseeSelect!AW216</f>
        <v>1</v>
      </c>
      <c r="AX123" s="41">
        <f>LicenseeSelect!AX216</f>
        <v>1</v>
      </c>
      <c r="AY123" s="206">
        <f>LicenseeSelect!AY216</f>
        <v>1</v>
      </c>
      <c r="BA123" s="34" t="str">
        <f t="shared" ca="1" si="11"/>
        <v>VariantAllowances</v>
      </c>
      <c r="BB123" s="34" t="str">
        <f t="shared" si="13"/>
        <v>Variant allowances detailed calculation</v>
      </c>
      <c r="BC123" s="34" t="str">
        <f t="shared" si="12"/>
        <v>Variant allowances percentage allocation</v>
      </c>
    </row>
    <row r="124" spans="5:55" x14ac:dyDescent="0.35">
      <c r="E124" s="193" t="str">
        <f>LicenseeSelect!E217</f>
        <v>PCD_Flow Weighted Average Calorific Value Compliance (Cadent_all) / FWACV Compliance (Cadent_all)</v>
      </c>
      <c r="F124" s="126">
        <f>LicenseeSelect!F217</f>
        <v>0</v>
      </c>
      <c r="G124" s="33" t="s">
        <v>109</v>
      </c>
      <c r="H124" s="33" t="str">
        <f>LicenseeSelect!H217</f>
        <v>Business support (opex)</v>
      </c>
      <c r="AU124" s="162">
        <f>LicenseeSelect!AU217</f>
        <v>0</v>
      </c>
      <c r="AV124" s="41">
        <f>LicenseeSelect!AV217</f>
        <v>0</v>
      </c>
      <c r="AW124" s="41">
        <f>LicenseeSelect!AW217</f>
        <v>0</v>
      </c>
      <c r="AX124" s="41">
        <f>LicenseeSelect!AX217</f>
        <v>0</v>
      </c>
      <c r="AY124" s="206">
        <f>LicenseeSelect!AY217</f>
        <v>0</v>
      </c>
      <c r="BA124" s="34" t="str">
        <f t="shared" ca="1" si="11"/>
        <v>VariantAllowances</v>
      </c>
      <c r="BB124" s="34" t="str">
        <f t="shared" si="13"/>
        <v>Variant allowances detailed calculation</v>
      </c>
      <c r="BC124" s="34" t="str">
        <f t="shared" si="12"/>
        <v>Variant allowances percentage allocation</v>
      </c>
    </row>
    <row r="125" spans="5:55" x14ac:dyDescent="0.35">
      <c r="E125" s="193" t="str">
        <f>LicenseeSelect!E218</f>
        <v>PCD_Flow Weighted Average Calorific Value Compliance (Cadent_all) / FWACV Compliance (Cadent_all)</v>
      </c>
      <c r="F125" s="126">
        <f>LicenseeSelect!F218</f>
        <v>0</v>
      </c>
      <c r="G125" s="33" t="s">
        <v>109</v>
      </c>
      <c r="H125" s="33" t="str">
        <f>LicenseeSelect!H218</f>
        <v>Directs opex</v>
      </c>
      <c r="AU125" s="162">
        <f>LicenseeSelect!AU218</f>
        <v>0</v>
      </c>
      <c r="AV125" s="41">
        <f>LicenseeSelect!AV218</f>
        <v>0</v>
      </c>
      <c r="AW125" s="41">
        <f>LicenseeSelect!AW218</f>
        <v>0</v>
      </c>
      <c r="AX125" s="41">
        <f>LicenseeSelect!AX218</f>
        <v>0</v>
      </c>
      <c r="AY125" s="206">
        <f>LicenseeSelect!AY218</f>
        <v>0</v>
      </c>
      <c r="BA125" s="34" t="str">
        <f t="shared" ca="1" si="11"/>
        <v>VariantAllowances</v>
      </c>
      <c r="BB125" s="34" t="str">
        <f t="shared" si="13"/>
        <v>Variant allowances detailed calculation</v>
      </c>
      <c r="BC125" s="34" t="str">
        <f t="shared" si="12"/>
        <v>Variant allowances percentage allocation</v>
      </c>
    </row>
    <row r="126" spans="5:55" x14ac:dyDescent="0.35">
      <c r="E126" s="195" t="str">
        <f>LicenseeSelect!E219</f>
        <v>PCD_Flow Weighted Average Calorific Value Compliance (Cadent_all) / FWACV Compliance (Cadent_all)</v>
      </c>
      <c r="F126" s="207">
        <f>LicenseeSelect!F219</f>
        <v>0</v>
      </c>
      <c r="G126" s="196" t="s">
        <v>109</v>
      </c>
      <c r="H126" s="196" t="str">
        <f>LicenseeSelect!H219</f>
        <v>Repex</v>
      </c>
      <c r="I126" s="196"/>
      <c r="J126" s="196"/>
      <c r="K126" s="196"/>
      <c r="L126" s="196"/>
      <c r="M126" s="196"/>
      <c r="N126" s="196"/>
      <c r="O126" s="196"/>
      <c r="P126" s="196"/>
      <c r="Q126" s="196"/>
      <c r="R126" s="196"/>
      <c r="S126" s="196"/>
      <c r="T126" s="196"/>
      <c r="U126" s="196"/>
      <c r="V126" s="196"/>
      <c r="W126" s="196"/>
      <c r="X126" s="196"/>
      <c r="Y126" s="196"/>
      <c r="Z126" s="196"/>
      <c r="AA126" s="196"/>
      <c r="AB126" s="196"/>
      <c r="AC126" s="196"/>
      <c r="AD126" s="196"/>
      <c r="AE126" s="196"/>
      <c r="AF126" s="196"/>
      <c r="AG126" s="196"/>
      <c r="AH126" s="196"/>
      <c r="AI126" s="196"/>
      <c r="AJ126" s="196"/>
      <c r="AK126" s="196"/>
      <c r="AL126" s="196"/>
      <c r="AM126" s="196"/>
      <c r="AN126" s="196"/>
      <c r="AO126" s="196"/>
      <c r="AP126" s="196"/>
      <c r="AQ126" s="196"/>
      <c r="AR126" s="196"/>
      <c r="AS126" s="196"/>
      <c r="AT126" s="208"/>
      <c r="AU126" s="209">
        <f>LicenseeSelect!AU219</f>
        <v>0</v>
      </c>
      <c r="AV126" s="210">
        <f>LicenseeSelect!AV219</f>
        <v>0</v>
      </c>
      <c r="AW126" s="210">
        <f>LicenseeSelect!AW219</f>
        <v>0</v>
      </c>
      <c r="AX126" s="210">
        <f>LicenseeSelect!AX219</f>
        <v>0</v>
      </c>
      <c r="AY126" s="211">
        <f>LicenseeSelect!AY219</f>
        <v>0</v>
      </c>
      <c r="BA126" s="34" t="str">
        <f t="shared" ca="1" si="11"/>
        <v>VariantAllowances</v>
      </c>
      <c r="BB126" s="34" t="str">
        <f t="shared" si="13"/>
        <v>Variant allowances detailed calculation</v>
      </c>
      <c r="BC126" s="34" t="str">
        <f t="shared" si="12"/>
        <v>Variant allowances percentage allocation</v>
      </c>
    </row>
    <row r="127" spans="5:55" x14ac:dyDescent="0.35">
      <c r="E127" s="187" t="str">
        <f>LicenseeSelect!E220</f>
        <v>PCD_Grays medium pressure (Cadent_Lon)</v>
      </c>
      <c r="F127" s="201">
        <f>LicenseeSelect!F220</f>
        <v>0</v>
      </c>
      <c r="G127" s="188" t="s">
        <v>109</v>
      </c>
      <c r="H127" s="188" t="str">
        <f>LicenseeSelect!H220</f>
        <v>Load related capex</v>
      </c>
      <c r="I127" s="188"/>
      <c r="J127" s="188"/>
      <c r="K127" s="188"/>
      <c r="L127" s="188"/>
      <c r="M127" s="188"/>
      <c r="N127" s="188"/>
      <c r="O127" s="188"/>
      <c r="P127" s="188"/>
      <c r="Q127" s="188"/>
      <c r="R127" s="188"/>
      <c r="S127" s="188"/>
      <c r="T127" s="188"/>
      <c r="U127" s="188"/>
      <c r="V127" s="188"/>
      <c r="W127" s="188"/>
      <c r="X127" s="188"/>
      <c r="Y127" s="188"/>
      <c r="Z127" s="188"/>
      <c r="AA127" s="188"/>
      <c r="AB127" s="188"/>
      <c r="AC127" s="188"/>
      <c r="AD127" s="188"/>
      <c r="AE127" s="188"/>
      <c r="AF127" s="188"/>
      <c r="AG127" s="188"/>
      <c r="AH127" s="188"/>
      <c r="AI127" s="188"/>
      <c r="AJ127" s="188"/>
      <c r="AK127" s="188"/>
      <c r="AL127" s="188"/>
      <c r="AM127" s="188"/>
      <c r="AN127" s="188"/>
      <c r="AO127" s="188"/>
      <c r="AP127" s="188"/>
      <c r="AQ127" s="188"/>
      <c r="AR127" s="188"/>
      <c r="AS127" s="188"/>
      <c r="AT127" s="202"/>
      <c r="AU127" s="203">
        <f>LicenseeSelect!AU220</f>
        <v>0</v>
      </c>
      <c r="AV127" s="204">
        <f>LicenseeSelect!AV220</f>
        <v>0</v>
      </c>
      <c r="AW127" s="204">
        <f>LicenseeSelect!AW220</f>
        <v>0</v>
      </c>
      <c r="AX127" s="204">
        <f>LicenseeSelect!AX220</f>
        <v>0</v>
      </c>
      <c r="AY127" s="205">
        <f>LicenseeSelect!AY220</f>
        <v>0</v>
      </c>
      <c r="BA127" s="34" t="str">
        <f t="shared" ca="1" si="11"/>
        <v>VariantAllowances</v>
      </c>
      <c r="BB127" s="34" t="str">
        <f t="shared" si="13"/>
        <v>Variant allowances detailed calculation</v>
      </c>
      <c r="BC127" s="34" t="str">
        <f t="shared" si="12"/>
        <v>Variant allowances percentage allocation</v>
      </c>
    </row>
    <row r="128" spans="5:55" x14ac:dyDescent="0.35">
      <c r="E128" s="193" t="str">
        <f>LicenseeSelect!E221</f>
        <v>PCD_Grays medium pressure (Cadent_Lon)</v>
      </c>
      <c r="F128" s="126">
        <f>LicenseeSelect!F221</f>
        <v>0</v>
      </c>
      <c r="G128" s="33" t="s">
        <v>109</v>
      </c>
      <c r="H128" s="33" t="str">
        <f>LicenseeSelect!H221</f>
        <v>Non-load related capex - other</v>
      </c>
      <c r="AU128" s="162">
        <f>LicenseeSelect!AU221</f>
        <v>6.3919869632148518E-2</v>
      </c>
      <c r="AV128" s="41">
        <f>LicenseeSelect!AV221</f>
        <v>6.3919869632148518E-2</v>
      </c>
      <c r="AW128" s="41">
        <f>LicenseeSelect!AW221</f>
        <v>6.3919869632148518E-2</v>
      </c>
      <c r="AX128" s="41">
        <f>LicenseeSelect!AX221</f>
        <v>6.3919869632148518E-2</v>
      </c>
      <c r="AY128" s="206">
        <f>LicenseeSelect!AY221</f>
        <v>6.3919869632148518E-2</v>
      </c>
      <c r="BA128" s="34" t="str">
        <f t="shared" ca="1" si="11"/>
        <v>VariantAllowances</v>
      </c>
      <c r="BB128" s="34" t="str">
        <f t="shared" si="13"/>
        <v>Variant allowances detailed calculation</v>
      </c>
      <c r="BC128" s="34" t="str">
        <f t="shared" si="12"/>
        <v>Variant allowances percentage allocation</v>
      </c>
    </row>
    <row r="129" spans="5:55" x14ac:dyDescent="0.35">
      <c r="E129" s="193" t="str">
        <f>LicenseeSelect!E222</f>
        <v>PCD_Grays medium pressure (Cadent_Lon)</v>
      </c>
      <c r="F129" s="126">
        <f>LicenseeSelect!F222</f>
        <v>0</v>
      </c>
      <c r="G129" s="33" t="s">
        <v>109</v>
      </c>
      <c r="H129" s="33" t="str">
        <f>LicenseeSelect!H222</f>
        <v>Business support (opex)</v>
      </c>
      <c r="AU129" s="162">
        <f>LicenseeSelect!AU222</f>
        <v>0</v>
      </c>
      <c r="AV129" s="41">
        <f>LicenseeSelect!AV222</f>
        <v>0</v>
      </c>
      <c r="AW129" s="41">
        <f>LicenseeSelect!AW222</f>
        <v>0</v>
      </c>
      <c r="AX129" s="41">
        <f>LicenseeSelect!AX222</f>
        <v>0</v>
      </c>
      <c r="AY129" s="206">
        <f>LicenseeSelect!AY222</f>
        <v>0</v>
      </c>
      <c r="BA129" s="34" t="str">
        <f t="shared" ca="1" si="11"/>
        <v>VariantAllowances</v>
      </c>
      <c r="BB129" s="34" t="str">
        <f t="shared" si="13"/>
        <v>Variant allowances detailed calculation</v>
      </c>
      <c r="BC129" s="34" t="str">
        <f t="shared" si="12"/>
        <v>Variant allowances percentage allocation</v>
      </c>
    </row>
    <row r="130" spans="5:55" x14ac:dyDescent="0.35">
      <c r="E130" s="193" t="str">
        <f>LicenseeSelect!E223</f>
        <v>PCD_Grays medium pressure (Cadent_Lon)</v>
      </c>
      <c r="F130" s="126">
        <f>LicenseeSelect!F223</f>
        <v>0</v>
      </c>
      <c r="G130" s="33" t="s">
        <v>109</v>
      </c>
      <c r="H130" s="33" t="str">
        <f>LicenseeSelect!H223</f>
        <v>Directs opex</v>
      </c>
      <c r="AU130" s="162">
        <f>LicenseeSelect!AU223</f>
        <v>0</v>
      </c>
      <c r="AV130" s="41">
        <f>LicenseeSelect!AV223</f>
        <v>0</v>
      </c>
      <c r="AW130" s="41">
        <f>LicenseeSelect!AW223</f>
        <v>0</v>
      </c>
      <c r="AX130" s="41">
        <f>LicenseeSelect!AX223</f>
        <v>0</v>
      </c>
      <c r="AY130" s="206">
        <f>LicenseeSelect!AY223</f>
        <v>0</v>
      </c>
      <c r="BA130" s="34" t="str">
        <f t="shared" ca="1" si="11"/>
        <v>VariantAllowances</v>
      </c>
      <c r="BB130" s="34" t="str">
        <f t="shared" si="13"/>
        <v>Variant allowances detailed calculation</v>
      </c>
      <c r="BC130" s="34" t="str">
        <f t="shared" si="12"/>
        <v>Variant allowances percentage allocation</v>
      </c>
    </row>
    <row r="131" spans="5:55" x14ac:dyDescent="0.35">
      <c r="E131" s="195" t="str">
        <f>LicenseeSelect!E224</f>
        <v>PCD_Grays medium pressure (Cadent_Lon)</v>
      </c>
      <c r="F131" s="207">
        <f>LicenseeSelect!F224</f>
        <v>0</v>
      </c>
      <c r="G131" s="196" t="s">
        <v>109</v>
      </c>
      <c r="H131" s="196" t="str">
        <f>LicenseeSelect!H224</f>
        <v>Repex</v>
      </c>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208"/>
      <c r="AU131" s="209">
        <f>LicenseeSelect!AU224</f>
        <v>0.93608013036785143</v>
      </c>
      <c r="AV131" s="210">
        <f>LicenseeSelect!AV224</f>
        <v>0.93608013036785143</v>
      </c>
      <c r="AW131" s="210">
        <f>LicenseeSelect!AW224</f>
        <v>0.93608013036785143</v>
      </c>
      <c r="AX131" s="210">
        <f>LicenseeSelect!AX224</f>
        <v>0.93608013036785143</v>
      </c>
      <c r="AY131" s="211">
        <f>LicenseeSelect!AY224</f>
        <v>0.93608013036785143</v>
      </c>
      <c r="BA131" s="34" t="str">
        <f t="shared" ca="1" si="11"/>
        <v>VariantAllowances</v>
      </c>
      <c r="BB131" s="34" t="str">
        <f t="shared" si="13"/>
        <v>Variant allowances detailed calculation</v>
      </c>
      <c r="BC131" s="34" t="str">
        <f t="shared" si="12"/>
        <v>Variant allowances percentage allocation</v>
      </c>
    </row>
    <row r="132" spans="5:55" x14ac:dyDescent="0.35">
      <c r="E132" s="187" t="str">
        <f>LicenseeSelect!E225</f>
        <v>PCD_Welling PRS - Full Site Rebuild  (SGN_So) / Full site and system rebuilds PCD (SGN)</v>
      </c>
      <c r="F132" s="201">
        <f>LicenseeSelect!F225</f>
        <v>0</v>
      </c>
      <c r="G132" s="188" t="s">
        <v>109</v>
      </c>
      <c r="H132" s="188" t="str">
        <f>LicenseeSelect!H225</f>
        <v>Load related capex</v>
      </c>
      <c r="I132" s="188"/>
      <c r="J132" s="188"/>
      <c r="K132" s="188"/>
      <c r="L132" s="188"/>
      <c r="M132" s="188"/>
      <c r="N132" s="188"/>
      <c r="O132" s="188"/>
      <c r="P132" s="188"/>
      <c r="Q132" s="188"/>
      <c r="R132" s="188"/>
      <c r="S132" s="188"/>
      <c r="T132" s="188"/>
      <c r="U132" s="188"/>
      <c r="V132" s="188"/>
      <c r="W132" s="188"/>
      <c r="X132" s="188"/>
      <c r="Y132" s="188"/>
      <c r="Z132" s="188"/>
      <c r="AA132" s="188"/>
      <c r="AB132" s="188"/>
      <c r="AC132" s="188"/>
      <c r="AD132" s="188"/>
      <c r="AE132" s="188"/>
      <c r="AF132" s="188"/>
      <c r="AG132" s="188"/>
      <c r="AH132" s="188"/>
      <c r="AI132" s="188"/>
      <c r="AJ132" s="188"/>
      <c r="AK132" s="188"/>
      <c r="AL132" s="188"/>
      <c r="AM132" s="188"/>
      <c r="AN132" s="188"/>
      <c r="AO132" s="188"/>
      <c r="AP132" s="188"/>
      <c r="AQ132" s="188"/>
      <c r="AR132" s="188"/>
      <c r="AS132" s="188"/>
      <c r="AT132" s="202"/>
      <c r="AU132" s="203">
        <f>LicenseeSelect!AU225</f>
        <v>0</v>
      </c>
      <c r="AV132" s="204">
        <f>LicenseeSelect!AV225</f>
        <v>0</v>
      </c>
      <c r="AW132" s="204">
        <f>LicenseeSelect!AW225</f>
        <v>0</v>
      </c>
      <c r="AX132" s="204">
        <f>LicenseeSelect!AX225</f>
        <v>0</v>
      </c>
      <c r="AY132" s="205">
        <f>LicenseeSelect!AY225</f>
        <v>0</v>
      </c>
      <c r="BA132" s="34" t="str">
        <f t="shared" ca="1" si="11"/>
        <v>VariantAllowances</v>
      </c>
      <c r="BB132" s="34" t="str">
        <f t="shared" si="13"/>
        <v>Variant allowances detailed calculation</v>
      </c>
      <c r="BC132" s="34" t="str">
        <f t="shared" si="12"/>
        <v>Variant allowances percentage allocation</v>
      </c>
    </row>
    <row r="133" spans="5:55" x14ac:dyDescent="0.35">
      <c r="E133" s="193" t="str">
        <f>LicenseeSelect!E226</f>
        <v>PCD_Welling PRS - Full Site Rebuild  (SGN_So) / Full site and system rebuilds PCD (SGN)</v>
      </c>
      <c r="F133" s="126">
        <f>LicenseeSelect!F226</f>
        <v>0</v>
      </c>
      <c r="G133" s="33" t="s">
        <v>109</v>
      </c>
      <c r="H133" s="33" t="str">
        <f>LicenseeSelect!H226</f>
        <v>Non-load related capex - other</v>
      </c>
      <c r="AU133" s="162">
        <f>LicenseeSelect!AU226</f>
        <v>1</v>
      </c>
      <c r="AV133" s="41">
        <f>LicenseeSelect!AV226</f>
        <v>1</v>
      </c>
      <c r="AW133" s="41">
        <f>LicenseeSelect!AW226</f>
        <v>1</v>
      </c>
      <c r="AX133" s="41">
        <f>LicenseeSelect!AX226</f>
        <v>1</v>
      </c>
      <c r="AY133" s="206">
        <f>LicenseeSelect!AY226</f>
        <v>1</v>
      </c>
      <c r="BA133" s="34" t="str">
        <f t="shared" ca="1" si="11"/>
        <v>VariantAllowances</v>
      </c>
      <c r="BB133" s="34" t="str">
        <f t="shared" si="13"/>
        <v>Variant allowances detailed calculation</v>
      </c>
      <c r="BC133" s="34" t="str">
        <f t="shared" si="12"/>
        <v>Variant allowances percentage allocation</v>
      </c>
    </row>
    <row r="134" spans="5:55" x14ac:dyDescent="0.35">
      <c r="E134" s="193" t="str">
        <f>LicenseeSelect!E227</f>
        <v>PCD_Welling PRS - Full Site Rebuild  (SGN_So) / Full site and system rebuilds PCD (SGN)</v>
      </c>
      <c r="F134" s="126">
        <f>LicenseeSelect!F227</f>
        <v>0</v>
      </c>
      <c r="G134" s="33" t="s">
        <v>109</v>
      </c>
      <c r="H134" s="33" t="str">
        <f>LicenseeSelect!H227</f>
        <v>Business support (opex)</v>
      </c>
      <c r="AU134" s="162">
        <f>LicenseeSelect!AU227</f>
        <v>0</v>
      </c>
      <c r="AV134" s="41">
        <f>LicenseeSelect!AV227</f>
        <v>0</v>
      </c>
      <c r="AW134" s="41">
        <f>LicenseeSelect!AW227</f>
        <v>0</v>
      </c>
      <c r="AX134" s="41">
        <f>LicenseeSelect!AX227</f>
        <v>0</v>
      </c>
      <c r="AY134" s="206">
        <f>LicenseeSelect!AY227</f>
        <v>0</v>
      </c>
      <c r="BA134" s="34" t="str">
        <f t="shared" ca="1" si="11"/>
        <v>VariantAllowances</v>
      </c>
      <c r="BB134" s="34" t="str">
        <f t="shared" si="13"/>
        <v>Variant allowances detailed calculation</v>
      </c>
      <c r="BC134" s="34" t="str">
        <f t="shared" si="12"/>
        <v>Variant allowances percentage allocation</v>
      </c>
    </row>
    <row r="135" spans="5:55" x14ac:dyDescent="0.35">
      <c r="E135" s="193" t="str">
        <f>LicenseeSelect!E228</f>
        <v>PCD_Welling PRS - Full Site Rebuild  (SGN_So) / Full site and system rebuilds PCD (SGN)</v>
      </c>
      <c r="F135" s="126">
        <f>LicenseeSelect!F228</f>
        <v>0</v>
      </c>
      <c r="G135" s="33" t="s">
        <v>109</v>
      </c>
      <c r="H135" s="33" t="str">
        <f>LicenseeSelect!H228</f>
        <v>Directs opex</v>
      </c>
      <c r="AU135" s="162">
        <f>LicenseeSelect!AU228</f>
        <v>0</v>
      </c>
      <c r="AV135" s="41">
        <f>LicenseeSelect!AV228</f>
        <v>0</v>
      </c>
      <c r="AW135" s="41">
        <f>LicenseeSelect!AW228</f>
        <v>0</v>
      </c>
      <c r="AX135" s="41">
        <f>LicenseeSelect!AX228</f>
        <v>0</v>
      </c>
      <c r="AY135" s="206">
        <f>LicenseeSelect!AY228</f>
        <v>0</v>
      </c>
      <c r="BA135" s="34" t="str">
        <f t="shared" ca="1" si="11"/>
        <v>VariantAllowances</v>
      </c>
      <c r="BB135" s="34" t="str">
        <f t="shared" si="13"/>
        <v>Variant allowances detailed calculation</v>
      </c>
      <c r="BC135" s="34" t="str">
        <f t="shared" si="12"/>
        <v>Variant allowances percentage allocation</v>
      </c>
    </row>
    <row r="136" spans="5:55" x14ac:dyDescent="0.35">
      <c r="E136" s="195" t="str">
        <f>LicenseeSelect!E229</f>
        <v>PCD_Welling PRS - Full Site Rebuild  (SGN_So) / Full site and system rebuilds PCD (SGN)</v>
      </c>
      <c r="F136" s="207">
        <f>LicenseeSelect!F229</f>
        <v>0</v>
      </c>
      <c r="G136" s="196" t="s">
        <v>109</v>
      </c>
      <c r="H136" s="196" t="str">
        <f>LicenseeSelect!H229</f>
        <v>Repex</v>
      </c>
      <c r="I136" s="196"/>
      <c r="J136" s="196"/>
      <c r="K136" s="196"/>
      <c r="L136" s="196"/>
      <c r="M136" s="196"/>
      <c r="N136" s="196"/>
      <c r="O136" s="196"/>
      <c r="P136" s="196"/>
      <c r="Q136" s="196"/>
      <c r="R136" s="196"/>
      <c r="S136" s="196"/>
      <c r="T136" s="196"/>
      <c r="U136" s="196"/>
      <c r="V136" s="196"/>
      <c r="W136" s="196"/>
      <c r="X136" s="196"/>
      <c r="Y136" s="196"/>
      <c r="Z136" s="196"/>
      <c r="AA136" s="196"/>
      <c r="AB136" s="196"/>
      <c r="AC136" s="196"/>
      <c r="AD136" s="196"/>
      <c r="AE136" s="196"/>
      <c r="AF136" s="196"/>
      <c r="AG136" s="196"/>
      <c r="AH136" s="196"/>
      <c r="AI136" s="196"/>
      <c r="AJ136" s="196"/>
      <c r="AK136" s="196"/>
      <c r="AL136" s="196"/>
      <c r="AM136" s="196"/>
      <c r="AN136" s="196"/>
      <c r="AO136" s="196"/>
      <c r="AP136" s="196"/>
      <c r="AQ136" s="196"/>
      <c r="AR136" s="196"/>
      <c r="AS136" s="196"/>
      <c r="AT136" s="208"/>
      <c r="AU136" s="209">
        <f>LicenseeSelect!AU229</f>
        <v>0</v>
      </c>
      <c r="AV136" s="210">
        <f>LicenseeSelect!AV229</f>
        <v>0</v>
      </c>
      <c r="AW136" s="210">
        <f>LicenseeSelect!AW229</f>
        <v>0</v>
      </c>
      <c r="AX136" s="210">
        <f>LicenseeSelect!AX229</f>
        <v>0</v>
      </c>
      <c r="AY136" s="211">
        <f>LicenseeSelect!AY229</f>
        <v>0</v>
      </c>
      <c r="BA136" s="34" t="str">
        <f t="shared" ca="1" si="11"/>
        <v>VariantAllowances</v>
      </c>
      <c r="BB136" s="34" t="str">
        <f t="shared" si="13"/>
        <v>Variant allowances detailed calculation</v>
      </c>
      <c r="BC136" s="34" t="str">
        <f t="shared" si="12"/>
        <v>Variant allowances percentage allocation</v>
      </c>
    </row>
    <row r="137" spans="5:55" x14ac:dyDescent="0.35">
      <c r="E137" s="187" t="str">
        <f>LicenseeSelect!E230</f>
        <v>PCD_London Medium Pressure PCD (Cadent_Lon)</v>
      </c>
      <c r="F137" s="201">
        <f>LicenseeSelect!F230</f>
        <v>0</v>
      </c>
      <c r="G137" s="188" t="s">
        <v>109</v>
      </c>
      <c r="H137" s="188" t="str">
        <f>LicenseeSelect!H230</f>
        <v>Load related capex</v>
      </c>
      <c r="I137" s="188"/>
      <c r="J137" s="188"/>
      <c r="K137" s="188"/>
      <c r="L137" s="188"/>
      <c r="M137" s="188"/>
      <c r="N137" s="188"/>
      <c r="O137" s="188"/>
      <c r="P137" s="188"/>
      <c r="Q137" s="188"/>
      <c r="R137" s="188"/>
      <c r="S137" s="188"/>
      <c r="T137" s="188"/>
      <c r="U137" s="188"/>
      <c r="V137" s="188"/>
      <c r="W137" s="188"/>
      <c r="X137" s="188"/>
      <c r="Y137" s="188"/>
      <c r="Z137" s="188"/>
      <c r="AA137" s="188"/>
      <c r="AB137" s="188"/>
      <c r="AC137" s="188"/>
      <c r="AD137" s="188"/>
      <c r="AE137" s="188"/>
      <c r="AF137" s="188"/>
      <c r="AG137" s="188"/>
      <c r="AH137" s="188"/>
      <c r="AI137" s="188"/>
      <c r="AJ137" s="188"/>
      <c r="AK137" s="188"/>
      <c r="AL137" s="188"/>
      <c r="AM137" s="188"/>
      <c r="AN137" s="188"/>
      <c r="AO137" s="188"/>
      <c r="AP137" s="188"/>
      <c r="AQ137" s="188"/>
      <c r="AR137" s="188"/>
      <c r="AS137" s="188"/>
      <c r="AT137" s="202"/>
      <c r="AU137" s="203">
        <f>LicenseeSelect!AU230</f>
        <v>0</v>
      </c>
      <c r="AV137" s="204">
        <f>LicenseeSelect!AV230</f>
        <v>0</v>
      </c>
      <c r="AW137" s="204">
        <f>LicenseeSelect!AW230</f>
        <v>0</v>
      </c>
      <c r="AX137" s="204">
        <f>LicenseeSelect!AX230</f>
        <v>0</v>
      </c>
      <c r="AY137" s="205">
        <f>LicenseeSelect!AY230</f>
        <v>0</v>
      </c>
      <c r="BA137" s="34" t="str">
        <f t="shared" ca="1" si="11"/>
        <v>VariantAllowances</v>
      </c>
      <c r="BB137" s="34" t="str">
        <f t="shared" si="13"/>
        <v>Variant allowances detailed calculation</v>
      </c>
      <c r="BC137" s="34" t="str">
        <f t="shared" si="12"/>
        <v>Variant allowances percentage allocation</v>
      </c>
    </row>
    <row r="138" spans="5:55" x14ac:dyDescent="0.35">
      <c r="E138" s="193" t="str">
        <f>LicenseeSelect!E231</f>
        <v>PCD_London Medium Pressure PCD (Cadent_Lon)</v>
      </c>
      <c r="F138" s="126">
        <f>LicenseeSelect!F231</f>
        <v>0</v>
      </c>
      <c r="G138" s="33" t="s">
        <v>109</v>
      </c>
      <c r="H138" s="33" t="str">
        <f>LicenseeSelect!H231</f>
        <v>Non-load related capex - other</v>
      </c>
      <c r="AU138" s="162">
        <f>LicenseeSelect!AU231</f>
        <v>0.25237712677134183</v>
      </c>
      <c r="AV138" s="41">
        <f>LicenseeSelect!AV231</f>
        <v>0.25237712677134183</v>
      </c>
      <c r="AW138" s="41">
        <f>LicenseeSelect!AW231</f>
        <v>0.25237712677134183</v>
      </c>
      <c r="AX138" s="41">
        <f>LicenseeSelect!AX231</f>
        <v>0.25237712677134183</v>
      </c>
      <c r="AY138" s="206">
        <f>LicenseeSelect!AY231</f>
        <v>0.25237712677134183</v>
      </c>
      <c r="BA138" s="34" t="str">
        <f t="shared" ca="1" si="11"/>
        <v>VariantAllowances</v>
      </c>
      <c r="BB138" s="34" t="str">
        <f t="shared" si="13"/>
        <v>Variant allowances detailed calculation</v>
      </c>
      <c r="BC138" s="34" t="str">
        <f t="shared" si="12"/>
        <v>Variant allowances percentage allocation</v>
      </c>
    </row>
    <row r="139" spans="5:55" x14ac:dyDescent="0.35">
      <c r="E139" s="193" t="str">
        <f>LicenseeSelect!E232</f>
        <v>PCD_London Medium Pressure PCD (Cadent_Lon)</v>
      </c>
      <c r="F139" s="126">
        <f>LicenseeSelect!F232</f>
        <v>0</v>
      </c>
      <c r="G139" s="33" t="s">
        <v>109</v>
      </c>
      <c r="H139" s="33" t="str">
        <f>LicenseeSelect!H232</f>
        <v>Business support (opex)</v>
      </c>
      <c r="AU139" s="162">
        <f>LicenseeSelect!AU232</f>
        <v>0</v>
      </c>
      <c r="AV139" s="41">
        <f>LicenseeSelect!AV232</f>
        <v>0</v>
      </c>
      <c r="AW139" s="41">
        <f>LicenseeSelect!AW232</f>
        <v>0</v>
      </c>
      <c r="AX139" s="41">
        <f>LicenseeSelect!AX232</f>
        <v>0</v>
      </c>
      <c r="AY139" s="206">
        <f>LicenseeSelect!AY232</f>
        <v>0</v>
      </c>
      <c r="BA139" s="34" t="str">
        <f t="shared" ca="1" si="11"/>
        <v>VariantAllowances</v>
      </c>
      <c r="BB139" s="34" t="str">
        <f t="shared" si="13"/>
        <v>Variant allowances detailed calculation</v>
      </c>
      <c r="BC139" s="34" t="str">
        <f t="shared" si="12"/>
        <v>Variant allowances percentage allocation</v>
      </c>
    </row>
    <row r="140" spans="5:55" x14ac:dyDescent="0.35">
      <c r="E140" s="193" t="str">
        <f>LicenseeSelect!E233</f>
        <v>PCD_London Medium Pressure PCD (Cadent_Lon)</v>
      </c>
      <c r="F140" s="126">
        <f>LicenseeSelect!F233</f>
        <v>0</v>
      </c>
      <c r="G140" s="33" t="s">
        <v>109</v>
      </c>
      <c r="H140" s="33" t="str">
        <f>LicenseeSelect!H233</f>
        <v>Directs opex</v>
      </c>
      <c r="AU140" s="162">
        <f>LicenseeSelect!AU233</f>
        <v>0</v>
      </c>
      <c r="AV140" s="41">
        <f>LicenseeSelect!AV233</f>
        <v>0</v>
      </c>
      <c r="AW140" s="41">
        <f>LicenseeSelect!AW233</f>
        <v>0</v>
      </c>
      <c r="AX140" s="41">
        <f>LicenseeSelect!AX233</f>
        <v>0</v>
      </c>
      <c r="AY140" s="206">
        <f>LicenseeSelect!AY233</f>
        <v>0</v>
      </c>
      <c r="BA140" s="34" t="str">
        <f t="shared" ca="1" si="11"/>
        <v>VariantAllowances</v>
      </c>
      <c r="BB140" s="34" t="str">
        <f t="shared" si="13"/>
        <v>Variant allowances detailed calculation</v>
      </c>
      <c r="BC140" s="34" t="str">
        <f t="shared" si="12"/>
        <v>Variant allowances percentage allocation</v>
      </c>
    </row>
    <row r="141" spans="5:55" x14ac:dyDescent="0.35">
      <c r="E141" s="195" t="str">
        <f>LicenseeSelect!E234</f>
        <v>PCD_London Medium Pressure PCD (Cadent_Lon)</v>
      </c>
      <c r="F141" s="207">
        <f>LicenseeSelect!F234</f>
        <v>0</v>
      </c>
      <c r="G141" s="196" t="s">
        <v>109</v>
      </c>
      <c r="H141" s="196" t="str">
        <f>LicenseeSelect!H234</f>
        <v>Repex</v>
      </c>
      <c r="I141" s="196"/>
      <c r="J141" s="196"/>
      <c r="K141" s="196"/>
      <c r="L141" s="196"/>
      <c r="M141" s="196"/>
      <c r="N141" s="196"/>
      <c r="O141" s="196"/>
      <c r="P141" s="196"/>
      <c r="Q141" s="196"/>
      <c r="R141" s="196"/>
      <c r="S141" s="196"/>
      <c r="T141" s="196"/>
      <c r="U141" s="196"/>
      <c r="V141" s="196"/>
      <c r="W141" s="196"/>
      <c r="X141" s="196"/>
      <c r="Y141" s="196"/>
      <c r="Z141" s="196"/>
      <c r="AA141" s="196"/>
      <c r="AB141" s="196"/>
      <c r="AC141" s="196"/>
      <c r="AD141" s="196"/>
      <c r="AE141" s="196"/>
      <c r="AF141" s="196"/>
      <c r="AG141" s="196"/>
      <c r="AH141" s="196"/>
      <c r="AI141" s="196"/>
      <c r="AJ141" s="196"/>
      <c r="AK141" s="196"/>
      <c r="AL141" s="196"/>
      <c r="AM141" s="196"/>
      <c r="AN141" s="196"/>
      <c r="AO141" s="196"/>
      <c r="AP141" s="196"/>
      <c r="AQ141" s="196"/>
      <c r="AR141" s="196"/>
      <c r="AS141" s="196"/>
      <c r="AT141" s="208"/>
      <c r="AU141" s="209">
        <f>LicenseeSelect!AU234</f>
        <v>0.74762287322865806</v>
      </c>
      <c r="AV141" s="210">
        <f>LicenseeSelect!AV234</f>
        <v>0.74762287322865806</v>
      </c>
      <c r="AW141" s="210">
        <f>LicenseeSelect!AW234</f>
        <v>0.74762287322865806</v>
      </c>
      <c r="AX141" s="210">
        <f>LicenseeSelect!AX234</f>
        <v>0.74762287322865806</v>
      </c>
      <c r="AY141" s="211">
        <f>LicenseeSelect!AY234</f>
        <v>0.74762287322865806</v>
      </c>
      <c r="BA141" s="34" t="str">
        <f t="shared" ca="1" si="11"/>
        <v>VariantAllowances</v>
      </c>
      <c r="BB141" s="34" t="str">
        <f t="shared" si="13"/>
        <v>Variant allowances detailed calculation</v>
      </c>
      <c r="BC141" s="34" t="str">
        <f t="shared" si="12"/>
        <v>Variant allowances percentage allocation</v>
      </c>
    </row>
    <row r="142" spans="5:55" x14ac:dyDescent="0.35">
      <c r="E142" s="187" t="str">
        <f>LicenseeSelect!E235</f>
        <v>PCD_Tier 1 Mains Decommissioned PCD</v>
      </c>
      <c r="F142" s="201">
        <f>LicenseeSelect!F235</f>
        <v>0</v>
      </c>
      <c r="G142" s="188" t="s">
        <v>109</v>
      </c>
      <c r="H142" s="188" t="str">
        <f>LicenseeSelect!H235</f>
        <v>Load related capex</v>
      </c>
      <c r="I142" s="188"/>
      <c r="J142" s="188"/>
      <c r="K142" s="188"/>
      <c r="L142" s="188"/>
      <c r="M142" s="188"/>
      <c r="N142" s="188"/>
      <c r="O142" s="188"/>
      <c r="P142" s="188"/>
      <c r="Q142" s="188"/>
      <c r="R142" s="188"/>
      <c r="S142" s="188"/>
      <c r="T142" s="188"/>
      <c r="U142" s="188"/>
      <c r="V142" s="188"/>
      <c r="W142" s="188"/>
      <c r="X142" s="188"/>
      <c r="Y142" s="188"/>
      <c r="Z142" s="188"/>
      <c r="AA142" s="188"/>
      <c r="AB142" s="188"/>
      <c r="AC142" s="188"/>
      <c r="AD142" s="188"/>
      <c r="AE142" s="188"/>
      <c r="AF142" s="188"/>
      <c r="AG142" s="188"/>
      <c r="AH142" s="188"/>
      <c r="AI142" s="188"/>
      <c r="AJ142" s="188"/>
      <c r="AK142" s="188"/>
      <c r="AL142" s="188"/>
      <c r="AM142" s="188"/>
      <c r="AN142" s="188"/>
      <c r="AO142" s="188"/>
      <c r="AP142" s="188"/>
      <c r="AQ142" s="188"/>
      <c r="AR142" s="188"/>
      <c r="AS142" s="188"/>
      <c r="AT142" s="202"/>
      <c r="AU142" s="203">
        <f>LicenseeSelect!AU235</f>
        <v>0</v>
      </c>
      <c r="AV142" s="204">
        <f>LicenseeSelect!AV235</f>
        <v>0</v>
      </c>
      <c r="AW142" s="204">
        <f>LicenseeSelect!AW235</f>
        <v>0</v>
      </c>
      <c r="AX142" s="204">
        <f>LicenseeSelect!AX235</f>
        <v>0</v>
      </c>
      <c r="AY142" s="205">
        <f>LicenseeSelect!AY235</f>
        <v>0</v>
      </c>
      <c r="BA142" s="34" t="str">
        <f t="shared" ca="1" si="11"/>
        <v>VariantAllowances</v>
      </c>
      <c r="BB142" s="34" t="str">
        <f t="shared" si="13"/>
        <v>Variant allowances detailed calculation</v>
      </c>
      <c r="BC142" s="34" t="str">
        <f t="shared" si="12"/>
        <v>Variant allowances percentage allocation</v>
      </c>
    </row>
    <row r="143" spans="5:55" x14ac:dyDescent="0.35">
      <c r="E143" s="193" t="str">
        <f>LicenseeSelect!E236</f>
        <v>PCD_Tier 1 Mains Decommissioned PCD</v>
      </c>
      <c r="F143" s="126">
        <f>LicenseeSelect!F236</f>
        <v>0</v>
      </c>
      <c r="G143" s="33" t="s">
        <v>109</v>
      </c>
      <c r="H143" s="33" t="str">
        <f>LicenseeSelect!H236</f>
        <v>Non-load related capex - other</v>
      </c>
      <c r="AU143" s="162">
        <f>LicenseeSelect!AU236</f>
        <v>0</v>
      </c>
      <c r="AV143" s="41">
        <f>LicenseeSelect!AV236</f>
        <v>0</v>
      </c>
      <c r="AW143" s="41">
        <f>LicenseeSelect!AW236</f>
        <v>0</v>
      </c>
      <c r="AX143" s="41">
        <f>LicenseeSelect!AX236</f>
        <v>0</v>
      </c>
      <c r="AY143" s="206">
        <f>LicenseeSelect!AY236</f>
        <v>0</v>
      </c>
      <c r="BA143" s="34" t="str">
        <f t="shared" ca="1" si="11"/>
        <v>VariantAllowances</v>
      </c>
      <c r="BB143" s="34" t="str">
        <f t="shared" si="13"/>
        <v>Variant allowances detailed calculation</v>
      </c>
      <c r="BC143" s="34" t="str">
        <f t="shared" si="12"/>
        <v>Variant allowances percentage allocation</v>
      </c>
    </row>
    <row r="144" spans="5:55" x14ac:dyDescent="0.35">
      <c r="E144" s="193" t="str">
        <f>LicenseeSelect!E237</f>
        <v>PCD_Tier 1 Mains Decommissioned PCD</v>
      </c>
      <c r="F144" s="126">
        <f>LicenseeSelect!F237</f>
        <v>0</v>
      </c>
      <c r="G144" s="33" t="s">
        <v>109</v>
      </c>
      <c r="H144" s="33" t="str">
        <f>LicenseeSelect!H237</f>
        <v>Business support (opex)</v>
      </c>
      <c r="AU144" s="162">
        <f>LicenseeSelect!AU237</f>
        <v>0</v>
      </c>
      <c r="AV144" s="41">
        <f>LicenseeSelect!AV237</f>
        <v>0</v>
      </c>
      <c r="AW144" s="41">
        <f>LicenseeSelect!AW237</f>
        <v>0</v>
      </c>
      <c r="AX144" s="41">
        <f>LicenseeSelect!AX237</f>
        <v>0</v>
      </c>
      <c r="AY144" s="206">
        <f>LicenseeSelect!AY237</f>
        <v>0</v>
      </c>
      <c r="BA144" s="34" t="str">
        <f t="shared" ca="1" si="11"/>
        <v>VariantAllowances</v>
      </c>
      <c r="BB144" s="34" t="str">
        <f t="shared" si="13"/>
        <v>Variant allowances detailed calculation</v>
      </c>
      <c r="BC144" s="34" t="str">
        <f t="shared" si="12"/>
        <v>Variant allowances percentage allocation</v>
      </c>
    </row>
    <row r="145" spans="5:55" x14ac:dyDescent="0.35">
      <c r="E145" s="193" t="str">
        <f>LicenseeSelect!E238</f>
        <v>PCD_Tier 1 Mains Decommissioned PCD</v>
      </c>
      <c r="F145" s="126">
        <f>LicenseeSelect!F238</f>
        <v>0</v>
      </c>
      <c r="G145" s="33" t="s">
        <v>109</v>
      </c>
      <c r="H145" s="33" t="str">
        <f>LicenseeSelect!H238</f>
        <v>Directs opex</v>
      </c>
      <c r="AU145" s="162">
        <f>LicenseeSelect!AU238</f>
        <v>0</v>
      </c>
      <c r="AV145" s="41">
        <f>LicenseeSelect!AV238</f>
        <v>0</v>
      </c>
      <c r="AW145" s="41">
        <f>LicenseeSelect!AW238</f>
        <v>0</v>
      </c>
      <c r="AX145" s="41">
        <f>LicenseeSelect!AX238</f>
        <v>0</v>
      </c>
      <c r="AY145" s="206">
        <f>LicenseeSelect!AY238</f>
        <v>0</v>
      </c>
      <c r="BA145" s="34" t="str">
        <f t="shared" ca="1" si="11"/>
        <v>VariantAllowances</v>
      </c>
      <c r="BB145" s="34" t="str">
        <f t="shared" si="13"/>
        <v>Variant allowances detailed calculation</v>
      </c>
      <c r="BC145" s="34" t="str">
        <f t="shared" si="12"/>
        <v>Variant allowances percentage allocation</v>
      </c>
    </row>
    <row r="146" spans="5:55" x14ac:dyDescent="0.35">
      <c r="E146" s="195" t="str">
        <f>LicenseeSelect!E239</f>
        <v>PCD_Tier 1 Mains Decommissioned PCD</v>
      </c>
      <c r="F146" s="207">
        <f>LicenseeSelect!F239</f>
        <v>0</v>
      </c>
      <c r="G146" s="196" t="s">
        <v>109</v>
      </c>
      <c r="H146" s="196" t="str">
        <f>LicenseeSelect!H239</f>
        <v>Repex</v>
      </c>
      <c r="I146" s="196"/>
      <c r="J146" s="196"/>
      <c r="K146" s="196"/>
      <c r="L146" s="196"/>
      <c r="M146" s="196"/>
      <c r="N146" s="196"/>
      <c r="O146" s="196"/>
      <c r="P146" s="196"/>
      <c r="Q146" s="196"/>
      <c r="R146" s="196"/>
      <c r="S146" s="196"/>
      <c r="T146" s="196"/>
      <c r="U146" s="196"/>
      <c r="V146" s="196"/>
      <c r="W146" s="196"/>
      <c r="X146" s="196"/>
      <c r="Y146" s="196"/>
      <c r="Z146" s="196"/>
      <c r="AA146" s="196"/>
      <c r="AB146" s="196"/>
      <c r="AC146" s="196"/>
      <c r="AD146" s="196"/>
      <c r="AE146" s="196"/>
      <c r="AF146" s="196"/>
      <c r="AG146" s="196"/>
      <c r="AH146" s="196"/>
      <c r="AI146" s="196"/>
      <c r="AJ146" s="196"/>
      <c r="AK146" s="196"/>
      <c r="AL146" s="196"/>
      <c r="AM146" s="196"/>
      <c r="AN146" s="196"/>
      <c r="AO146" s="196"/>
      <c r="AP146" s="196"/>
      <c r="AQ146" s="196"/>
      <c r="AR146" s="196"/>
      <c r="AS146" s="196"/>
      <c r="AT146" s="208"/>
      <c r="AU146" s="209">
        <f>LicenseeSelect!AU239</f>
        <v>1</v>
      </c>
      <c r="AV146" s="210">
        <f>LicenseeSelect!AV239</f>
        <v>1</v>
      </c>
      <c r="AW146" s="210">
        <f>LicenseeSelect!AW239</f>
        <v>1</v>
      </c>
      <c r="AX146" s="210">
        <f>LicenseeSelect!AX239</f>
        <v>1</v>
      </c>
      <c r="AY146" s="211">
        <f>LicenseeSelect!AY239</f>
        <v>1</v>
      </c>
      <c r="BA146" s="34" t="str">
        <f t="shared" ca="1" si="11"/>
        <v>VariantAllowances</v>
      </c>
      <c r="BB146" s="34" t="str">
        <f t="shared" si="13"/>
        <v>Variant allowances detailed calculation</v>
      </c>
      <c r="BC146" s="34" t="str">
        <f t="shared" si="12"/>
        <v>Variant allowances percentage allocation</v>
      </c>
    </row>
    <row r="147" spans="5:55" x14ac:dyDescent="0.35">
      <c r="E147" s="187" t="str">
        <f>LicenseeSelect!E240</f>
        <v>PCD_Tier 1 Services PCD / Tier 1 Services Repex PCD</v>
      </c>
      <c r="F147" s="201">
        <f>LicenseeSelect!F240</f>
        <v>0</v>
      </c>
      <c r="G147" s="188" t="s">
        <v>109</v>
      </c>
      <c r="H147" s="188" t="str">
        <f>LicenseeSelect!H240</f>
        <v>Load related capex</v>
      </c>
      <c r="I147" s="188"/>
      <c r="J147" s="188"/>
      <c r="K147" s="188"/>
      <c r="L147" s="188"/>
      <c r="M147" s="188"/>
      <c r="N147" s="188"/>
      <c r="O147" s="188"/>
      <c r="P147" s="188"/>
      <c r="Q147" s="188"/>
      <c r="R147" s="188"/>
      <c r="S147" s="188"/>
      <c r="T147" s="188"/>
      <c r="U147" s="188"/>
      <c r="V147" s="188"/>
      <c r="W147" s="188"/>
      <c r="X147" s="188"/>
      <c r="Y147" s="188"/>
      <c r="Z147" s="188"/>
      <c r="AA147" s="188"/>
      <c r="AB147" s="188"/>
      <c r="AC147" s="188"/>
      <c r="AD147" s="188"/>
      <c r="AE147" s="188"/>
      <c r="AF147" s="188"/>
      <c r="AG147" s="188"/>
      <c r="AH147" s="188"/>
      <c r="AI147" s="188"/>
      <c r="AJ147" s="188"/>
      <c r="AK147" s="188"/>
      <c r="AL147" s="188"/>
      <c r="AM147" s="188"/>
      <c r="AN147" s="188"/>
      <c r="AO147" s="188"/>
      <c r="AP147" s="188"/>
      <c r="AQ147" s="188"/>
      <c r="AR147" s="188"/>
      <c r="AS147" s="188"/>
      <c r="AT147" s="202"/>
      <c r="AU147" s="203">
        <f>LicenseeSelect!AU240</f>
        <v>0</v>
      </c>
      <c r="AV147" s="204">
        <f>LicenseeSelect!AV240</f>
        <v>0</v>
      </c>
      <c r="AW147" s="204">
        <f>LicenseeSelect!AW240</f>
        <v>0</v>
      </c>
      <c r="AX147" s="204">
        <f>LicenseeSelect!AX240</f>
        <v>0</v>
      </c>
      <c r="AY147" s="205">
        <f>LicenseeSelect!AY240</f>
        <v>0</v>
      </c>
      <c r="BA147" s="34" t="str">
        <f t="shared" ca="1" si="11"/>
        <v>VariantAllowances</v>
      </c>
      <c r="BB147" s="34" t="str">
        <f t="shared" si="13"/>
        <v>Variant allowances detailed calculation</v>
      </c>
      <c r="BC147" s="34" t="str">
        <f t="shared" si="12"/>
        <v>Variant allowances percentage allocation</v>
      </c>
    </row>
    <row r="148" spans="5:55" x14ac:dyDescent="0.35">
      <c r="E148" s="193" t="str">
        <f>LicenseeSelect!E241</f>
        <v>PCD_Tier 1 Services PCD / Tier 1 Services Repex PCD</v>
      </c>
      <c r="F148" s="126">
        <f>LicenseeSelect!F241</f>
        <v>0</v>
      </c>
      <c r="G148" s="33" t="s">
        <v>109</v>
      </c>
      <c r="H148" s="33" t="str">
        <f>LicenseeSelect!H241</f>
        <v>Non-load related capex - other</v>
      </c>
      <c r="AU148" s="162">
        <f>LicenseeSelect!AU241</f>
        <v>0</v>
      </c>
      <c r="AV148" s="41">
        <f>LicenseeSelect!AV241</f>
        <v>0</v>
      </c>
      <c r="AW148" s="41">
        <f>LicenseeSelect!AW241</f>
        <v>0</v>
      </c>
      <c r="AX148" s="41">
        <f>LicenseeSelect!AX241</f>
        <v>0</v>
      </c>
      <c r="AY148" s="206">
        <f>LicenseeSelect!AY241</f>
        <v>0</v>
      </c>
      <c r="BA148" s="34" t="str">
        <f t="shared" ca="1" si="11"/>
        <v>VariantAllowances</v>
      </c>
      <c r="BB148" s="34" t="str">
        <f t="shared" si="13"/>
        <v>Variant allowances detailed calculation</v>
      </c>
      <c r="BC148" s="34" t="str">
        <f t="shared" si="12"/>
        <v>Variant allowances percentage allocation</v>
      </c>
    </row>
    <row r="149" spans="5:55" x14ac:dyDescent="0.35">
      <c r="E149" s="193" t="str">
        <f>LicenseeSelect!E242</f>
        <v>PCD_Tier 1 Services PCD / Tier 1 Services Repex PCD</v>
      </c>
      <c r="F149" s="126">
        <f>LicenseeSelect!F242</f>
        <v>0</v>
      </c>
      <c r="G149" s="33" t="s">
        <v>109</v>
      </c>
      <c r="H149" s="33" t="str">
        <f>LicenseeSelect!H242</f>
        <v>Business support (opex)</v>
      </c>
      <c r="AU149" s="162">
        <f>LicenseeSelect!AU242</f>
        <v>0</v>
      </c>
      <c r="AV149" s="41">
        <f>LicenseeSelect!AV242</f>
        <v>0</v>
      </c>
      <c r="AW149" s="41">
        <f>LicenseeSelect!AW242</f>
        <v>0</v>
      </c>
      <c r="AX149" s="41">
        <f>LicenseeSelect!AX242</f>
        <v>0</v>
      </c>
      <c r="AY149" s="206">
        <f>LicenseeSelect!AY242</f>
        <v>0</v>
      </c>
      <c r="BA149" s="34" t="str">
        <f t="shared" ca="1" si="11"/>
        <v>VariantAllowances</v>
      </c>
      <c r="BB149" s="34" t="str">
        <f t="shared" si="13"/>
        <v>Variant allowances detailed calculation</v>
      </c>
      <c r="BC149" s="34" t="str">
        <f t="shared" si="12"/>
        <v>Variant allowances percentage allocation</v>
      </c>
    </row>
    <row r="150" spans="5:55" x14ac:dyDescent="0.35">
      <c r="E150" s="193" t="str">
        <f>LicenseeSelect!E243</f>
        <v>PCD_Tier 1 Services PCD / Tier 1 Services Repex PCD</v>
      </c>
      <c r="F150" s="126">
        <f>LicenseeSelect!F243</f>
        <v>0</v>
      </c>
      <c r="G150" s="33" t="s">
        <v>109</v>
      </c>
      <c r="H150" s="33" t="str">
        <f>LicenseeSelect!H243</f>
        <v>Directs opex</v>
      </c>
      <c r="AU150" s="162">
        <f>LicenseeSelect!AU243</f>
        <v>0</v>
      </c>
      <c r="AV150" s="41">
        <f>LicenseeSelect!AV243</f>
        <v>0</v>
      </c>
      <c r="AW150" s="41">
        <f>LicenseeSelect!AW243</f>
        <v>0</v>
      </c>
      <c r="AX150" s="41">
        <f>LicenseeSelect!AX243</f>
        <v>0</v>
      </c>
      <c r="AY150" s="206">
        <f>LicenseeSelect!AY243</f>
        <v>0</v>
      </c>
      <c r="BA150" s="34" t="str">
        <f t="shared" ca="1" si="11"/>
        <v>VariantAllowances</v>
      </c>
      <c r="BB150" s="34" t="str">
        <f t="shared" si="13"/>
        <v>Variant allowances detailed calculation</v>
      </c>
      <c r="BC150" s="34" t="str">
        <f t="shared" si="12"/>
        <v>Variant allowances percentage allocation</v>
      </c>
    </row>
    <row r="151" spans="5:55" x14ac:dyDescent="0.35">
      <c r="E151" s="195" t="str">
        <f>LicenseeSelect!E244</f>
        <v>PCD_Tier 1 Services PCD / Tier 1 Services Repex PCD</v>
      </c>
      <c r="F151" s="207">
        <f>LicenseeSelect!F244</f>
        <v>0</v>
      </c>
      <c r="G151" s="196" t="s">
        <v>109</v>
      </c>
      <c r="H151" s="196" t="str">
        <f>LicenseeSelect!H244</f>
        <v>Repex</v>
      </c>
      <c r="I151" s="196"/>
      <c r="J151" s="196"/>
      <c r="K151" s="196"/>
      <c r="L151" s="196"/>
      <c r="M151" s="196"/>
      <c r="N151" s="196"/>
      <c r="O151" s="196"/>
      <c r="P151" s="196"/>
      <c r="Q151" s="196"/>
      <c r="R151" s="196"/>
      <c r="S151" s="196"/>
      <c r="T151" s="196"/>
      <c r="U151" s="196"/>
      <c r="V151" s="196"/>
      <c r="W151" s="196"/>
      <c r="X151" s="196"/>
      <c r="Y151" s="196"/>
      <c r="Z151" s="196"/>
      <c r="AA151" s="196"/>
      <c r="AB151" s="196"/>
      <c r="AC151" s="196"/>
      <c r="AD151" s="196"/>
      <c r="AE151" s="196"/>
      <c r="AF151" s="196"/>
      <c r="AG151" s="196"/>
      <c r="AH151" s="196"/>
      <c r="AI151" s="196"/>
      <c r="AJ151" s="196"/>
      <c r="AK151" s="196"/>
      <c r="AL151" s="196"/>
      <c r="AM151" s="196"/>
      <c r="AN151" s="196"/>
      <c r="AO151" s="196"/>
      <c r="AP151" s="196"/>
      <c r="AQ151" s="196"/>
      <c r="AR151" s="196"/>
      <c r="AS151" s="196"/>
      <c r="AT151" s="208"/>
      <c r="AU151" s="209">
        <f>LicenseeSelect!AU244</f>
        <v>1</v>
      </c>
      <c r="AV151" s="210">
        <f>LicenseeSelect!AV244</f>
        <v>1</v>
      </c>
      <c r="AW151" s="210">
        <f>LicenseeSelect!AW244</f>
        <v>1</v>
      </c>
      <c r="AX151" s="210">
        <f>LicenseeSelect!AX244</f>
        <v>1</v>
      </c>
      <c r="AY151" s="211">
        <f>LicenseeSelect!AY244</f>
        <v>1</v>
      </c>
      <c r="BA151" s="34" t="str">
        <f t="shared" ca="1" si="11"/>
        <v>VariantAllowances</v>
      </c>
      <c r="BB151" s="34" t="str">
        <f t="shared" si="13"/>
        <v>Variant allowances detailed calculation</v>
      </c>
      <c r="BC151" s="34" t="str">
        <f t="shared" si="12"/>
        <v>Variant allowances percentage allocation</v>
      </c>
    </row>
    <row r="152" spans="5:55" x14ac:dyDescent="0.35">
      <c r="E152" s="187" t="str">
        <f>LicenseeSelect!E245</f>
        <v>PCD_Tinsley viaduct diversion (Cadent_EoE)</v>
      </c>
      <c r="F152" s="201">
        <f>LicenseeSelect!F245</f>
        <v>0</v>
      </c>
      <c r="G152" s="188" t="s">
        <v>109</v>
      </c>
      <c r="H152" s="188" t="str">
        <f>LicenseeSelect!H245</f>
        <v>Load related capex</v>
      </c>
      <c r="I152" s="188"/>
      <c r="J152" s="188"/>
      <c r="K152" s="188"/>
      <c r="L152" s="188"/>
      <c r="M152" s="188"/>
      <c r="N152" s="188"/>
      <c r="O152" s="188"/>
      <c r="P152" s="188"/>
      <c r="Q152" s="188"/>
      <c r="R152" s="188"/>
      <c r="S152" s="188"/>
      <c r="T152" s="188"/>
      <c r="U152" s="188"/>
      <c r="V152" s="188"/>
      <c r="W152" s="188"/>
      <c r="X152" s="188"/>
      <c r="Y152" s="188"/>
      <c r="Z152" s="188"/>
      <c r="AA152" s="188"/>
      <c r="AB152" s="188"/>
      <c r="AC152" s="188"/>
      <c r="AD152" s="188"/>
      <c r="AE152" s="188"/>
      <c r="AF152" s="188"/>
      <c r="AG152" s="188"/>
      <c r="AH152" s="188"/>
      <c r="AI152" s="188"/>
      <c r="AJ152" s="188"/>
      <c r="AK152" s="188"/>
      <c r="AL152" s="188"/>
      <c r="AM152" s="188"/>
      <c r="AN152" s="188"/>
      <c r="AO152" s="188"/>
      <c r="AP152" s="188"/>
      <c r="AQ152" s="188"/>
      <c r="AR152" s="188"/>
      <c r="AS152" s="188"/>
      <c r="AT152" s="202"/>
      <c r="AU152" s="203">
        <f>LicenseeSelect!AU245</f>
        <v>0</v>
      </c>
      <c r="AV152" s="204">
        <f>LicenseeSelect!AV245</f>
        <v>0</v>
      </c>
      <c r="AW152" s="204">
        <f>LicenseeSelect!AW245</f>
        <v>0</v>
      </c>
      <c r="AX152" s="204">
        <f>LicenseeSelect!AX245</f>
        <v>0</v>
      </c>
      <c r="AY152" s="205">
        <f>LicenseeSelect!AY245</f>
        <v>0</v>
      </c>
      <c r="BA152" s="34" t="str">
        <f t="shared" ca="1" si="11"/>
        <v>VariantAllowances</v>
      </c>
      <c r="BB152" s="34" t="str">
        <f t="shared" si="13"/>
        <v>Variant allowances detailed calculation</v>
      </c>
      <c r="BC152" s="34" t="str">
        <f t="shared" si="12"/>
        <v>Variant allowances percentage allocation</v>
      </c>
    </row>
    <row r="153" spans="5:55" x14ac:dyDescent="0.35">
      <c r="E153" s="193" t="str">
        <f>LicenseeSelect!E246</f>
        <v>PCD_Tinsley viaduct diversion (Cadent_EoE)</v>
      </c>
      <c r="F153" s="126">
        <f>LicenseeSelect!F246</f>
        <v>0</v>
      </c>
      <c r="G153" s="33" t="s">
        <v>109</v>
      </c>
      <c r="H153" s="33" t="str">
        <f>LicenseeSelect!H246</f>
        <v>Non-load related capex - other</v>
      </c>
      <c r="AU153" s="162">
        <f>LicenseeSelect!AU246</f>
        <v>1</v>
      </c>
      <c r="AV153" s="41">
        <f>LicenseeSelect!AV246</f>
        <v>1</v>
      </c>
      <c r="AW153" s="41">
        <f>LicenseeSelect!AW246</f>
        <v>1</v>
      </c>
      <c r="AX153" s="41">
        <f>LicenseeSelect!AX246</f>
        <v>1</v>
      </c>
      <c r="AY153" s="206">
        <f>LicenseeSelect!AY246</f>
        <v>1</v>
      </c>
      <c r="BA153" s="34" t="str">
        <f t="shared" ca="1" si="11"/>
        <v>VariantAllowances</v>
      </c>
      <c r="BB153" s="34" t="str">
        <f t="shared" si="13"/>
        <v>Variant allowances detailed calculation</v>
      </c>
      <c r="BC153" s="34" t="str">
        <f t="shared" si="12"/>
        <v>Variant allowances percentage allocation</v>
      </c>
    </row>
    <row r="154" spans="5:55" x14ac:dyDescent="0.35">
      <c r="E154" s="193" t="str">
        <f>LicenseeSelect!E247</f>
        <v>PCD_Tinsley viaduct diversion (Cadent_EoE)</v>
      </c>
      <c r="F154" s="126">
        <f>LicenseeSelect!F247</f>
        <v>0</v>
      </c>
      <c r="G154" s="33" t="s">
        <v>109</v>
      </c>
      <c r="H154" s="33" t="str">
        <f>LicenseeSelect!H247</f>
        <v>Business support (opex)</v>
      </c>
      <c r="AU154" s="162">
        <f>LicenseeSelect!AU247</f>
        <v>0</v>
      </c>
      <c r="AV154" s="41">
        <f>LicenseeSelect!AV247</f>
        <v>0</v>
      </c>
      <c r="AW154" s="41">
        <f>LicenseeSelect!AW247</f>
        <v>0</v>
      </c>
      <c r="AX154" s="41">
        <f>LicenseeSelect!AX247</f>
        <v>0</v>
      </c>
      <c r="AY154" s="206">
        <f>LicenseeSelect!AY247</f>
        <v>0</v>
      </c>
      <c r="BA154" s="34" t="str">
        <f t="shared" ca="1" si="11"/>
        <v>VariantAllowances</v>
      </c>
      <c r="BB154" s="34" t="str">
        <f t="shared" si="13"/>
        <v>Variant allowances detailed calculation</v>
      </c>
      <c r="BC154" s="34" t="str">
        <f t="shared" si="12"/>
        <v>Variant allowances percentage allocation</v>
      </c>
    </row>
    <row r="155" spans="5:55" x14ac:dyDescent="0.35">
      <c r="E155" s="193" t="str">
        <f>LicenseeSelect!E248</f>
        <v>PCD_Tinsley viaduct diversion (Cadent_EoE)</v>
      </c>
      <c r="F155" s="126">
        <f>LicenseeSelect!F248</f>
        <v>0</v>
      </c>
      <c r="G155" s="33" t="s">
        <v>109</v>
      </c>
      <c r="H155" s="33" t="str">
        <f>LicenseeSelect!H248</f>
        <v>Directs opex</v>
      </c>
      <c r="AU155" s="162">
        <f>LicenseeSelect!AU248</f>
        <v>0</v>
      </c>
      <c r="AV155" s="41">
        <f>LicenseeSelect!AV248</f>
        <v>0</v>
      </c>
      <c r="AW155" s="41">
        <f>LicenseeSelect!AW248</f>
        <v>0</v>
      </c>
      <c r="AX155" s="41">
        <f>LicenseeSelect!AX248</f>
        <v>0</v>
      </c>
      <c r="AY155" s="206">
        <f>LicenseeSelect!AY248</f>
        <v>0</v>
      </c>
      <c r="BA155" s="34" t="str">
        <f t="shared" ca="1" si="11"/>
        <v>VariantAllowances</v>
      </c>
      <c r="BB155" s="34" t="str">
        <f t="shared" si="13"/>
        <v>Variant allowances detailed calculation</v>
      </c>
      <c r="BC155" s="34" t="str">
        <f t="shared" si="12"/>
        <v>Variant allowances percentage allocation</v>
      </c>
    </row>
    <row r="156" spans="5:55" x14ac:dyDescent="0.35">
      <c r="E156" s="195" t="str">
        <f>LicenseeSelect!E249</f>
        <v>PCD_Tinsley viaduct diversion (Cadent_EoE)</v>
      </c>
      <c r="F156" s="207">
        <f>LicenseeSelect!F249</f>
        <v>0</v>
      </c>
      <c r="G156" s="196" t="s">
        <v>109</v>
      </c>
      <c r="H156" s="196" t="str">
        <f>LicenseeSelect!H249</f>
        <v>Repex</v>
      </c>
      <c r="I156" s="196"/>
      <c r="J156" s="196"/>
      <c r="K156" s="196"/>
      <c r="L156" s="196"/>
      <c r="M156" s="196"/>
      <c r="N156" s="196"/>
      <c r="O156" s="196"/>
      <c r="P156" s="196"/>
      <c r="Q156" s="196"/>
      <c r="R156" s="196"/>
      <c r="S156" s="196"/>
      <c r="T156" s="196"/>
      <c r="U156" s="196"/>
      <c r="V156" s="196"/>
      <c r="W156" s="196"/>
      <c r="X156" s="196"/>
      <c r="Y156" s="196"/>
      <c r="Z156" s="196"/>
      <c r="AA156" s="196"/>
      <c r="AB156" s="196"/>
      <c r="AC156" s="196"/>
      <c r="AD156" s="196"/>
      <c r="AE156" s="196"/>
      <c r="AF156" s="196"/>
      <c r="AG156" s="196"/>
      <c r="AH156" s="196"/>
      <c r="AI156" s="196"/>
      <c r="AJ156" s="196"/>
      <c r="AK156" s="196"/>
      <c r="AL156" s="196"/>
      <c r="AM156" s="196"/>
      <c r="AN156" s="196"/>
      <c r="AO156" s="196"/>
      <c r="AP156" s="196"/>
      <c r="AQ156" s="196"/>
      <c r="AR156" s="196"/>
      <c r="AS156" s="196"/>
      <c r="AT156" s="208"/>
      <c r="AU156" s="209">
        <f>LicenseeSelect!AU249</f>
        <v>0</v>
      </c>
      <c r="AV156" s="210">
        <f>LicenseeSelect!AV249</f>
        <v>0</v>
      </c>
      <c r="AW156" s="210">
        <f>LicenseeSelect!AW249</f>
        <v>0</v>
      </c>
      <c r="AX156" s="210">
        <f>LicenseeSelect!AX249</f>
        <v>0</v>
      </c>
      <c r="AY156" s="211">
        <f>LicenseeSelect!AY249</f>
        <v>0</v>
      </c>
      <c r="BA156" s="34" t="str">
        <f t="shared" ca="1" si="11"/>
        <v>VariantAllowances</v>
      </c>
      <c r="BB156" s="34" t="str">
        <f t="shared" si="13"/>
        <v>Variant allowances detailed calculation</v>
      </c>
      <c r="BC156" s="34" t="str">
        <f t="shared" si="12"/>
        <v>Variant allowances percentage allocation</v>
      </c>
    </row>
    <row r="157" spans="5:55" x14ac:dyDescent="0.35">
      <c r="E157" s="187" t="str">
        <f>LicenseeSelect!E250</f>
        <v>PCD_Iron Stubs / Tier 1 Stubs decommissioning PCD</v>
      </c>
      <c r="F157" s="201">
        <f>LicenseeSelect!F250</f>
        <v>0</v>
      </c>
      <c r="G157" s="188" t="s">
        <v>109</v>
      </c>
      <c r="H157" s="188" t="str">
        <f>LicenseeSelect!H250</f>
        <v>Load related capex</v>
      </c>
      <c r="I157" s="188"/>
      <c r="J157" s="188"/>
      <c r="K157" s="188"/>
      <c r="L157" s="188"/>
      <c r="M157" s="188"/>
      <c r="N157" s="188"/>
      <c r="O157" s="188"/>
      <c r="P157" s="188"/>
      <c r="Q157" s="188"/>
      <c r="R157" s="188"/>
      <c r="S157" s="188"/>
      <c r="T157" s="188"/>
      <c r="U157" s="188"/>
      <c r="V157" s="188"/>
      <c r="W157" s="188"/>
      <c r="X157" s="188"/>
      <c r="Y157" s="188"/>
      <c r="Z157" s="188"/>
      <c r="AA157" s="188"/>
      <c r="AB157" s="188"/>
      <c r="AC157" s="188"/>
      <c r="AD157" s="188"/>
      <c r="AE157" s="188"/>
      <c r="AF157" s="188"/>
      <c r="AG157" s="188"/>
      <c r="AH157" s="188"/>
      <c r="AI157" s="188"/>
      <c r="AJ157" s="188"/>
      <c r="AK157" s="188"/>
      <c r="AL157" s="188"/>
      <c r="AM157" s="188"/>
      <c r="AN157" s="188"/>
      <c r="AO157" s="188"/>
      <c r="AP157" s="188"/>
      <c r="AQ157" s="188"/>
      <c r="AR157" s="188"/>
      <c r="AS157" s="188"/>
      <c r="AT157" s="202"/>
      <c r="AU157" s="203">
        <f>LicenseeSelect!AU250</f>
        <v>0</v>
      </c>
      <c r="AV157" s="204">
        <f>LicenseeSelect!AV250</f>
        <v>0</v>
      </c>
      <c r="AW157" s="204">
        <f>LicenseeSelect!AW250</f>
        <v>0</v>
      </c>
      <c r="AX157" s="204">
        <f>LicenseeSelect!AX250</f>
        <v>0</v>
      </c>
      <c r="AY157" s="205">
        <f>LicenseeSelect!AY250</f>
        <v>0</v>
      </c>
      <c r="BA157" s="34" t="str">
        <f t="shared" ca="1" si="11"/>
        <v>VariantAllowances</v>
      </c>
      <c r="BB157" s="34" t="str">
        <f t="shared" si="13"/>
        <v>Variant allowances detailed calculation</v>
      </c>
      <c r="BC157" s="34" t="str">
        <f t="shared" si="12"/>
        <v>Variant allowances percentage allocation</v>
      </c>
    </row>
    <row r="158" spans="5:55" x14ac:dyDescent="0.35">
      <c r="E158" s="193" t="str">
        <f>LicenseeSelect!E251</f>
        <v>PCD_Iron Stubs / Tier 1 Stubs decommissioning PCD</v>
      </c>
      <c r="F158" s="126">
        <f>LicenseeSelect!F251</f>
        <v>0</v>
      </c>
      <c r="G158" s="33" t="s">
        <v>109</v>
      </c>
      <c r="H158" s="33" t="str">
        <f>LicenseeSelect!H251</f>
        <v>Non-load related capex - other</v>
      </c>
      <c r="AU158" s="162">
        <f>LicenseeSelect!AU251</f>
        <v>0</v>
      </c>
      <c r="AV158" s="41">
        <f>LicenseeSelect!AV251</f>
        <v>0</v>
      </c>
      <c r="AW158" s="41">
        <f>LicenseeSelect!AW251</f>
        <v>0</v>
      </c>
      <c r="AX158" s="41">
        <f>LicenseeSelect!AX251</f>
        <v>0</v>
      </c>
      <c r="AY158" s="206">
        <f>LicenseeSelect!AY251</f>
        <v>0</v>
      </c>
      <c r="BA158" s="34" t="str">
        <f t="shared" ca="1" si="11"/>
        <v>VariantAllowances</v>
      </c>
      <c r="BB158" s="34" t="str">
        <f t="shared" si="13"/>
        <v>Variant allowances detailed calculation</v>
      </c>
      <c r="BC158" s="34" t="str">
        <f t="shared" si="12"/>
        <v>Variant allowances percentage allocation</v>
      </c>
    </row>
    <row r="159" spans="5:55" x14ac:dyDescent="0.35">
      <c r="E159" s="193" t="str">
        <f>LicenseeSelect!E252</f>
        <v>PCD_Iron Stubs / Tier 1 Stubs decommissioning PCD</v>
      </c>
      <c r="F159" s="126">
        <f>LicenseeSelect!F252</f>
        <v>0</v>
      </c>
      <c r="G159" s="33" t="s">
        <v>109</v>
      </c>
      <c r="H159" s="33" t="str">
        <f>LicenseeSelect!H252</f>
        <v>Business support (opex)</v>
      </c>
      <c r="AU159" s="162">
        <f>LicenseeSelect!AU252</f>
        <v>0</v>
      </c>
      <c r="AV159" s="41">
        <f>LicenseeSelect!AV252</f>
        <v>0</v>
      </c>
      <c r="AW159" s="41">
        <f>LicenseeSelect!AW252</f>
        <v>0</v>
      </c>
      <c r="AX159" s="41">
        <f>LicenseeSelect!AX252</f>
        <v>0</v>
      </c>
      <c r="AY159" s="206">
        <f>LicenseeSelect!AY252</f>
        <v>0</v>
      </c>
      <c r="BA159" s="34" t="str">
        <f t="shared" ca="1" si="11"/>
        <v>VariantAllowances</v>
      </c>
      <c r="BB159" s="34" t="str">
        <f t="shared" si="13"/>
        <v>Variant allowances detailed calculation</v>
      </c>
      <c r="BC159" s="34" t="str">
        <f t="shared" si="12"/>
        <v>Variant allowances percentage allocation</v>
      </c>
    </row>
    <row r="160" spans="5:55" x14ac:dyDescent="0.35">
      <c r="E160" s="193" t="str">
        <f>LicenseeSelect!E253</f>
        <v>PCD_Iron Stubs / Tier 1 Stubs decommissioning PCD</v>
      </c>
      <c r="F160" s="126">
        <f>LicenseeSelect!F253</f>
        <v>0</v>
      </c>
      <c r="G160" s="33" t="s">
        <v>109</v>
      </c>
      <c r="H160" s="33" t="str">
        <f>LicenseeSelect!H253</f>
        <v>Directs opex</v>
      </c>
      <c r="AU160" s="162">
        <f>LicenseeSelect!AU253</f>
        <v>0</v>
      </c>
      <c r="AV160" s="41">
        <f>LicenseeSelect!AV253</f>
        <v>0</v>
      </c>
      <c r="AW160" s="41">
        <f>LicenseeSelect!AW253</f>
        <v>0</v>
      </c>
      <c r="AX160" s="41">
        <f>LicenseeSelect!AX253</f>
        <v>0</v>
      </c>
      <c r="AY160" s="206">
        <f>LicenseeSelect!AY253</f>
        <v>0</v>
      </c>
      <c r="BA160" s="34" t="str">
        <f t="shared" ca="1" si="11"/>
        <v>VariantAllowances</v>
      </c>
      <c r="BB160" s="34" t="str">
        <f t="shared" si="13"/>
        <v>Variant allowances detailed calculation</v>
      </c>
      <c r="BC160" s="34" t="str">
        <f t="shared" si="12"/>
        <v>Variant allowances percentage allocation</v>
      </c>
    </row>
    <row r="161" spans="5:55" x14ac:dyDescent="0.35">
      <c r="E161" s="195" t="str">
        <f>LicenseeSelect!E254</f>
        <v>PCD_Iron Stubs / Tier 1 Stubs decommissioning PCD</v>
      </c>
      <c r="F161" s="207">
        <f>LicenseeSelect!F254</f>
        <v>0</v>
      </c>
      <c r="G161" s="196" t="s">
        <v>109</v>
      </c>
      <c r="H161" s="196" t="str">
        <f>LicenseeSelect!H254</f>
        <v>Repex</v>
      </c>
      <c r="I161" s="196"/>
      <c r="J161" s="196"/>
      <c r="K161" s="196"/>
      <c r="L161" s="196"/>
      <c r="M161" s="196"/>
      <c r="N161" s="196"/>
      <c r="O161" s="196"/>
      <c r="P161" s="196"/>
      <c r="Q161" s="196"/>
      <c r="R161" s="196"/>
      <c r="S161" s="196"/>
      <c r="T161" s="196"/>
      <c r="U161" s="196"/>
      <c r="V161" s="196"/>
      <c r="W161" s="196"/>
      <c r="X161" s="196"/>
      <c r="Y161" s="196"/>
      <c r="Z161" s="196"/>
      <c r="AA161" s="196"/>
      <c r="AB161" s="196"/>
      <c r="AC161" s="196"/>
      <c r="AD161" s="196"/>
      <c r="AE161" s="196"/>
      <c r="AF161" s="196"/>
      <c r="AG161" s="196"/>
      <c r="AH161" s="196"/>
      <c r="AI161" s="196"/>
      <c r="AJ161" s="196"/>
      <c r="AK161" s="196"/>
      <c r="AL161" s="196"/>
      <c r="AM161" s="196"/>
      <c r="AN161" s="196"/>
      <c r="AO161" s="196"/>
      <c r="AP161" s="196"/>
      <c r="AQ161" s="196"/>
      <c r="AR161" s="196"/>
      <c r="AS161" s="196"/>
      <c r="AT161" s="208"/>
      <c r="AU161" s="209">
        <f>LicenseeSelect!AU254</f>
        <v>1</v>
      </c>
      <c r="AV161" s="210">
        <f>LicenseeSelect!AV254</f>
        <v>1</v>
      </c>
      <c r="AW161" s="210">
        <f>LicenseeSelect!AW254</f>
        <v>1</v>
      </c>
      <c r="AX161" s="210">
        <f>LicenseeSelect!AX254</f>
        <v>1</v>
      </c>
      <c r="AY161" s="211">
        <f>LicenseeSelect!AY254</f>
        <v>1</v>
      </c>
      <c r="BA161" s="34" t="str">
        <f t="shared" ca="1" si="11"/>
        <v>VariantAllowances</v>
      </c>
      <c r="BB161" s="34" t="str">
        <f t="shared" si="13"/>
        <v>Variant allowances detailed calculation</v>
      </c>
      <c r="BC161" s="34" t="str">
        <f t="shared" si="12"/>
        <v>Variant allowances percentage allocation</v>
      </c>
    </row>
    <row r="162" spans="5:55" x14ac:dyDescent="0.35">
      <c r="E162" s="187" t="str">
        <f>LicenseeSelect!E255</f>
        <v>PCD_Full Site and System Rebuilds (SGN_all)</v>
      </c>
      <c r="F162" s="201">
        <f>LicenseeSelect!F255</f>
        <v>0</v>
      </c>
      <c r="G162" s="188" t="s">
        <v>109</v>
      </c>
      <c r="H162" s="188" t="str">
        <f>LicenseeSelect!H255</f>
        <v>Load related capex</v>
      </c>
      <c r="I162" s="188"/>
      <c r="J162" s="188"/>
      <c r="K162" s="188"/>
      <c r="L162" s="188"/>
      <c r="M162" s="188"/>
      <c r="N162" s="188"/>
      <c r="O162" s="188"/>
      <c r="P162" s="188"/>
      <c r="Q162" s="188"/>
      <c r="R162" s="188"/>
      <c r="S162" s="188"/>
      <c r="T162" s="188"/>
      <c r="U162" s="188"/>
      <c r="V162" s="188"/>
      <c r="W162" s="188"/>
      <c r="X162" s="188"/>
      <c r="Y162" s="188"/>
      <c r="Z162" s="188"/>
      <c r="AA162" s="188"/>
      <c r="AB162" s="188"/>
      <c r="AC162" s="188"/>
      <c r="AD162" s="188"/>
      <c r="AE162" s="188"/>
      <c r="AF162" s="188"/>
      <c r="AG162" s="188"/>
      <c r="AH162" s="188"/>
      <c r="AI162" s="188"/>
      <c r="AJ162" s="188"/>
      <c r="AK162" s="188"/>
      <c r="AL162" s="188"/>
      <c r="AM162" s="188"/>
      <c r="AN162" s="188"/>
      <c r="AO162" s="188"/>
      <c r="AP162" s="188"/>
      <c r="AQ162" s="188"/>
      <c r="AR162" s="188"/>
      <c r="AS162" s="188"/>
      <c r="AT162" s="202"/>
      <c r="AU162" s="203">
        <f>LicenseeSelect!AU255</f>
        <v>0</v>
      </c>
      <c r="AV162" s="204">
        <f>LicenseeSelect!AV255</f>
        <v>0</v>
      </c>
      <c r="AW162" s="204">
        <f>LicenseeSelect!AW255</f>
        <v>0</v>
      </c>
      <c r="AX162" s="204">
        <f>LicenseeSelect!AX255</f>
        <v>0</v>
      </c>
      <c r="AY162" s="205">
        <f>LicenseeSelect!AY255</f>
        <v>0</v>
      </c>
      <c r="BA162" s="34" t="str">
        <f t="shared" ca="1" si="11"/>
        <v>VariantAllowances</v>
      </c>
      <c r="BB162" s="34" t="str">
        <f t="shared" si="13"/>
        <v>Variant allowances detailed calculation</v>
      </c>
      <c r="BC162" s="34" t="str">
        <f t="shared" si="12"/>
        <v>Variant allowances percentage allocation</v>
      </c>
    </row>
    <row r="163" spans="5:55" x14ac:dyDescent="0.35">
      <c r="E163" s="193" t="str">
        <f>LicenseeSelect!E256</f>
        <v>PCD_Full Site and System Rebuilds (SGN_all)</v>
      </c>
      <c r="F163" s="126">
        <f>LicenseeSelect!F256</f>
        <v>0</v>
      </c>
      <c r="G163" s="33" t="s">
        <v>109</v>
      </c>
      <c r="H163" s="33" t="str">
        <f>LicenseeSelect!H256</f>
        <v>Non-load related capex - other</v>
      </c>
      <c r="AU163" s="162">
        <f>LicenseeSelect!AU256</f>
        <v>1</v>
      </c>
      <c r="AV163" s="41">
        <f>LicenseeSelect!AV256</f>
        <v>1</v>
      </c>
      <c r="AW163" s="41">
        <f>LicenseeSelect!AW256</f>
        <v>1</v>
      </c>
      <c r="AX163" s="41">
        <f>LicenseeSelect!AX256</f>
        <v>1</v>
      </c>
      <c r="AY163" s="206">
        <f>LicenseeSelect!AY256</f>
        <v>1</v>
      </c>
      <c r="BA163" s="34" t="str">
        <f t="shared" ca="1" si="11"/>
        <v>VariantAllowances</v>
      </c>
      <c r="BB163" s="34" t="str">
        <f t="shared" si="13"/>
        <v>Variant allowances detailed calculation</v>
      </c>
      <c r="BC163" s="34" t="str">
        <f t="shared" si="12"/>
        <v>Variant allowances percentage allocation</v>
      </c>
    </row>
    <row r="164" spans="5:55" x14ac:dyDescent="0.35">
      <c r="E164" s="193" t="str">
        <f>LicenseeSelect!E257</f>
        <v>PCD_Full Site and System Rebuilds (SGN_all)</v>
      </c>
      <c r="F164" s="126">
        <f>LicenseeSelect!F257</f>
        <v>0</v>
      </c>
      <c r="G164" s="33" t="s">
        <v>109</v>
      </c>
      <c r="H164" s="33" t="str">
        <f>LicenseeSelect!H257</f>
        <v>Business support (opex)</v>
      </c>
      <c r="AU164" s="162">
        <f>LicenseeSelect!AU257</f>
        <v>0</v>
      </c>
      <c r="AV164" s="41">
        <f>LicenseeSelect!AV257</f>
        <v>0</v>
      </c>
      <c r="AW164" s="41">
        <f>LicenseeSelect!AW257</f>
        <v>0</v>
      </c>
      <c r="AX164" s="41">
        <f>LicenseeSelect!AX257</f>
        <v>0</v>
      </c>
      <c r="AY164" s="206">
        <f>LicenseeSelect!AY257</f>
        <v>0</v>
      </c>
      <c r="BA164" s="34" t="str">
        <f t="shared" ca="1" si="11"/>
        <v>VariantAllowances</v>
      </c>
      <c r="BB164" s="34" t="str">
        <f t="shared" si="13"/>
        <v>Variant allowances detailed calculation</v>
      </c>
      <c r="BC164" s="34" t="str">
        <f t="shared" si="12"/>
        <v>Variant allowances percentage allocation</v>
      </c>
    </row>
    <row r="165" spans="5:55" x14ac:dyDescent="0.35">
      <c r="E165" s="193" t="str">
        <f>LicenseeSelect!E258</f>
        <v>PCD_Full Site and System Rebuilds (SGN_all)</v>
      </c>
      <c r="F165" s="126">
        <f>LicenseeSelect!F258</f>
        <v>0</v>
      </c>
      <c r="G165" s="33" t="s">
        <v>109</v>
      </c>
      <c r="H165" s="33" t="str">
        <f>LicenseeSelect!H258</f>
        <v>Directs opex</v>
      </c>
      <c r="AU165" s="162">
        <f>LicenseeSelect!AU258</f>
        <v>0</v>
      </c>
      <c r="AV165" s="41">
        <f>LicenseeSelect!AV258</f>
        <v>0</v>
      </c>
      <c r="AW165" s="41">
        <f>LicenseeSelect!AW258</f>
        <v>0</v>
      </c>
      <c r="AX165" s="41">
        <f>LicenseeSelect!AX258</f>
        <v>0</v>
      </c>
      <c r="AY165" s="206">
        <f>LicenseeSelect!AY258</f>
        <v>0</v>
      </c>
      <c r="BA165" s="34" t="str">
        <f t="shared" ca="1" si="11"/>
        <v>VariantAllowances</v>
      </c>
      <c r="BB165" s="34" t="str">
        <f t="shared" si="13"/>
        <v>Variant allowances detailed calculation</v>
      </c>
      <c r="BC165" s="34" t="str">
        <f t="shared" si="12"/>
        <v>Variant allowances percentage allocation</v>
      </c>
    </row>
    <row r="166" spans="5:55" x14ac:dyDescent="0.35">
      <c r="E166" s="195" t="str">
        <f>LicenseeSelect!E259</f>
        <v>PCD_Full Site and System Rebuilds (SGN_all)</v>
      </c>
      <c r="F166" s="207">
        <f>LicenseeSelect!F259</f>
        <v>0</v>
      </c>
      <c r="G166" s="196" t="s">
        <v>109</v>
      </c>
      <c r="H166" s="196" t="str">
        <f>LicenseeSelect!H259</f>
        <v>Repex</v>
      </c>
      <c r="I166" s="196"/>
      <c r="J166" s="196"/>
      <c r="K166" s="196"/>
      <c r="L166" s="196"/>
      <c r="M166" s="196"/>
      <c r="N166" s="196"/>
      <c r="O166" s="196"/>
      <c r="P166" s="196"/>
      <c r="Q166" s="196"/>
      <c r="R166" s="196"/>
      <c r="S166" s="196"/>
      <c r="T166" s="196"/>
      <c r="U166" s="196"/>
      <c r="V166" s="196"/>
      <c r="W166" s="196"/>
      <c r="X166" s="196"/>
      <c r="Y166" s="196"/>
      <c r="Z166" s="196"/>
      <c r="AA166" s="196"/>
      <c r="AB166" s="196"/>
      <c r="AC166" s="196"/>
      <c r="AD166" s="196"/>
      <c r="AE166" s="196"/>
      <c r="AF166" s="196"/>
      <c r="AG166" s="196"/>
      <c r="AH166" s="196"/>
      <c r="AI166" s="196"/>
      <c r="AJ166" s="196"/>
      <c r="AK166" s="196"/>
      <c r="AL166" s="196"/>
      <c r="AM166" s="196"/>
      <c r="AN166" s="196"/>
      <c r="AO166" s="196"/>
      <c r="AP166" s="196"/>
      <c r="AQ166" s="196"/>
      <c r="AR166" s="196"/>
      <c r="AS166" s="196"/>
      <c r="AT166" s="208"/>
      <c r="AU166" s="209">
        <f>LicenseeSelect!AU259</f>
        <v>0</v>
      </c>
      <c r="AV166" s="210">
        <f>LicenseeSelect!AV259</f>
        <v>0</v>
      </c>
      <c r="AW166" s="210">
        <f>LicenseeSelect!AW259</f>
        <v>0</v>
      </c>
      <c r="AX166" s="210">
        <f>LicenseeSelect!AX259</f>
        <v>0</v>
      </c>
      <c r="AY166" s="211">
        <f>LicenseeSelect!AY259</f>
        <v>0</v>
      </c>
      <c r="BA166" s="34" t="str">
        <f t="shared" ca="1" si="11"/>
        <v>VariantAllowances</v>
      </c>
      <c r="BB166" s="34" t="str">
        <f t="shared" si="13"/>
        <v>Variant allowances detailed calculation</v>
      </c>
      <c r="BC166" s="34" t="str">
        <f t="shared" si="12"/>
        <v>Variant allowances percentage allocation</v>
      </c>
    </row>
    <row r="167" spans="5:55" x14ac:dyDescent="0.35">
      <c r="E167" s="187" t="str">
        <f>LicenseeSelect!E260</f>
        <v>PCD_Glenmavis (Offtake) (SGN_Sc) / Full site and system rebuilds PCD (SGN)</v>
      </c>
      <c r="F167" s="201">
        <f>LicenseeSelect!F260</f>
        <v>0</v>
      </c>
      <c r="G167" s="188" t="s">
        <v>109</v>
      </c>
      <c r="H167" s="188" t="str">
        <f>LicenseeSelect!H260</f>
        <v>Load related capex</v>
      </c>
      <c r="I167" s="188"/>
      <c r="J167" s="188"/>
      <c r="K167" s="188"/>
      <c r="L167" s="188"/>
      <c r="M167" s="188"/>
      <c r="N167" s="188"/>
      <c r="O167" s="188"/>
      <c r="P167" s="188"/>
      <c r="Q167" s="188"/>
      <c r="R167" s="188"/>
      <c r="S167" s="188"/>
      <c r="T167" s="188"/>
      <c r="U167" s="188"/>
      <c r="V167" s="188"/>
      <c r="W167" s="188"/>
      <c r="X167" s="188"/>
      <c r="Y167" s="188"/>
      <c r="Z167" s="188"/>
      <c r="AA167" s="188"/>
      <c r="AB167" s="188"/>
      <c r="AC167" s="188"/>
      <c r="AD167" s="188"/>
      <c r="AE167" s="188"/>
      <c r="AF167" s="188"/>
      <c r="AG167" s="188"/>
      <c r="AH167" s="188"/>
      <c r="AI167" s="188"/>
      <c r="AJ167" s="188"/>
      <c r="AK167" s="188"/>
      <c r="AL167" s="188"/>
      <c r="AM167" s="188"/>
      <c r="AN167" s="188"/>
      <c r="AO167" s="188"/>
      <c r="AP167" s="188"/>
      <c r="AQ167" s="188"/>
      <c r="AR167" s="188"/>
      <c r="AS167" s="188"/>
      <c r="AT167" s="202"/>
      <c r="AU167" s="203">
        <f>LicenseeSelect!AU260</f>
        <v>0</v>
      </c>
      <c r="AV167" s="204">
        <f>LicenseeSelect!AV260</f>
        <v>0</v>
      </c>
      <c r="AW167" s="204">
        <f>LicenseeSelect!AW260</f>
        <v>0</v>
      </c>
      <c r="AX167" s="204">
        <f>LicenseeSelect!AX260</f>
        <v>0</v>
      </c>
      <c r="AY167" s="205">
        <f>LicenseeSelect!AY260</f>
        <v>0</v>
      </c>
      <c r="BA167" s="34" t="str">
        <f t="shared" ca="1" si="11"/>
        <v>VariantAllowances</v>
      </c>
      <c r="BB167" s="34" t="str">
        <f t="shared" si="13"/>
        <v>Variant allowances detailed calculation</v>
      </c>
      <c r="BC167" s="34" t="str">
        <f t="shared" si="12"/>
        <v>Variant allowances percentage allocation</v>
      </c>
    </row>
    <row r="168" spans="5:55" x14ac:dyDescent="0.35">
      <c r="E168" s="193" t="str">
        <f>LicenseeSelect!E261</f>
        <v>PCD_Glenmavis (Offtake) (SGN_Sc) / Full site and system rebuilds PCD (SGN)</v>
      </c>
      <c r="F168" s="126">
        <f>LicenseeSelect!F261</f>
        <v>0</v>
      </c>
      <c r="G168" s="33" t="s">
        <v>109</v>
      </c>
      <c r="H168" s="33" t="str">
        <f>LicenseeSelect!H261</f>
        <v>Non-load related capex - other</v>
      </c>
      <c r="AU168" s="162">
        <f>LicenseeSelect!AU261</f>
        <v>1</v>
      </c>
      <c r="AV168" s="41">
        <f>LicenseeSelect!AV261</f>
        <v>1</v>
      </c>
      <c r="AW168" s="41">
        <f>LicenseeSelect!AW261</f>
        <v>1</v>
      </c>
      <c r="AX168" s="41">
        <f>LicenseeSelect!AX261</f>
        <v>1</v>
      </c>
      <c r="AY168" s="206">
        <f>LicenseeSelect!AY261</f>
        <v>1</v>
      </c>
      <c r="BA168" s="34" t="str">
        <f t="shared" ca="1" si="11"/>
        <v>VariantAllowances</v>
      </c>
      <c r="BB168" s="34" t="str">
        <f t="shared" si="13"/>
        <v>Variant allowances detailed calculation</v>
      </c>
      <c r="BC168" s="34" t="str">
        <f t="shared" si="12"/>
        <v>Variant allowances percentage allocation</v>
      </c>
    </row>
    <row r="169" spans="5:55" x14ac:dyDescent="0.35">
      <c r="E169" s="193" t="str">
        <f>LicenseeSelect!E262</f>
        <v>PCD_Glenmavis (Offtake) (SGN_Sc) / Full site and system rebuilds PCD (SGN)</v>
      </c>
      <c r="F169" s="126">
        <f>LicenseeSelect!F262</f>
        <v>0</v>
      </c>
      <c r="G169" s="33" t="s">
        <v>109</v>
      </c>
      <c r="H169" s="33" t="str">
        <f>LicenseeSelect!H262</f>
        <v>Business support (opex)</v>
      </c>
      <c r="AU169" s="162">
        <f>LicenseeSelect!AU262</f>
        <v>0</v>
      </c>
      <c r="AV169" s="41">
        <f>LicenseeSelect!AV262</f>
        <v>0</v>
      </c>
      <c r="AW169" s="41">
        <f>LicenseeSelect!AW262</f>
        <v>0</v>
      </c>
      <c r="AX169" s="41">
        <f>LicenseeSelect!AX262</f>
        <v>0</v>
      </c>
      <c r="AY169" s="206">
        <f>LicenseeSelect!AY262</f>
        <v>0</v>
      </c>
      <c r="BA169" s="34" t="str">
        <f t="shared" ca="1" si="11"/>
        <v>VariantAllowances</v>
      </c>
      <c r="BB169" s="34" t="str">
        <f t="shared" si="13"/>
        <v>Variant allowances detailed calculation</v>
      </c>
      <c r="BC169" s="34" t="str">
        <f t="shared" si="12"/>
        <v>Variant allowances percentage allocation</v>
      </c>
    </row>
    <row r="170" spans="5:55" x14ac:dyDescent="0.35">
      <c r="E170" s="193" t="str">
        <f>LicenseeSelect!E263</f>
        <v>PCD_Glenmavis (Offtake) (SGN_Sc) / Full site and system rebuilds PCD (SGN)</v>
      </c>
      <c r="F170" s="126">
        <f>LicenseeSelect!F263</f>
        <v>0</v>
      </c>
      <c r="G170" s="33" t="s">
        <v>109</v>
      </c>
      <c r="H170" s="33" t="str">
        <f>LicenseeSelect!H263</f>
        <v>Directs opex</v>
      </c>
      <c r="AU170" s="162">
        <f>LicenseeSelect!AU263</f>
        <v>0</v>
      </c>
      <c r="AV170" s="41">
        <f>LicenseeSelect!AV263</f>
        <v>0</v>
      </c>
      <c r="AW170" s="41">
        <f>LicenseeSelect!AW263</f>
        <v>0</v>
      </c>
      <c r="AX170" s="41">
        <f>LicenseeSelect!AX263</f>
        <v>0</v>
      </c>
      <c r="AY170" s="206">
        <f>LicenseeSelect!AY263</f>
        <v>0</v>
      </c>
      <c r="BA170" s="34" t="str">
        <f t="shared" ca="1" si="11"/>
        <v>VariantAllowances</v>
      </c>
      <c r="BB170" s="34" t="str">
        <f t="shared" si="13"/>
        <v>Variant allowances detailed calculation</v>
      </c>
      <c r="BC170" s="34" t="str">
        <f t="shared" si="12"/>
        <v>Variant allowances percentage allocation</v>
      </c>
    </row>
    <row r="171" spans="5:55" x14ac:dyDescent="0.35">
      <c r="E171" s="195" t="str">
        <f>LicenseeSelect!E264</f>
        <v>PCD_Glenmavis (Offtake) (SGN_Sc) / Full site and system rebuilds PCD (SGN)</v>
      </c>
      <c r="F171" s="207">
        <f>LicenseeSelect!F264</f>
        <v>0</v>
      </c>
      <c r="G171" s="196" t="s">
        <v>109</v>
      </c>
      <c r="H171" s="196" t="str">
        <f>LicenseeSelect!H264</f>
        <v>Repex</v>
      </c>
      <c r="I171" s="196"/>
      <c r="J171" s="196"/>
      <c r="K171" s="196"/>
      <c r="L171" s="196"/>
      <c r="M171" s="196"/>
      <c r="N171" s="196"/>
      <c r="O171" s="196"/>
      <c r="P171" s="196"/>
      <c r="Q171" s="196"/>
      <c r="R171" s="196"/>
      <c r="S171" s="196"/>
      <c r="T171" s="196"/>
      <c r="U171" s="196"/>
      <c r="V171" s="196"/>
      <c r="W171" s="196"/>
      <c r="X171" s="196"/>
      <c r="Y171" s="196"/>
      <c r="Z171" s="196"/>
      <c r="AA171" s="196"/>
      <c r="AB171" s="196"/>
      <c r="AC171" s="196"/>
      <c r="AD171" s="196"/>
      <c r="AE171" s="196"/>
      <c r="AF171" s="196"/>
      <c r="AG171" s="196"/>
      <c r="AH171" s="196"/>
      <c r="AI171" s="196"/>
      <c r="AJ171" s="196"/>
      <c r="AK171" s="196"/>
      <c r="AL171" s="196"/>
      <c r="AM171" s="196"/>
      <c r="AN171" s="196"/>
      <c r="AO171" s="196"/>
      <c r="AP171" s="196"/>
      <c r="AQ171" s="196"/>
      <c r="AR171" s="196"/>
      <c r="AS171" s="196"/>
      <c r="AT171" s="208"/>
      <c r="AU171" s="209">
        <f>LicenseeSelect!AU264</f>
        <v>0</v>
      </c>
      <c r="AV171" s="210">
        <f>LicenseeSelect!AV264</f>
        <v>0</v>
      </c>
      <c r="AW171" s="210">
        <f>LicenseeSelect!AW264</f>
        <v>0</v>
      </c>
      <c r="AX171" s="210">
        <f>LicenseeSelect!AX264</f>
        <v>0</v>
      </c>
      <c r="AY171" s="211">
        <f>LicenseeSelect!AY264</f>
        <v>0</v>
      </c>
      <c r="BA171" s="34" t="str">
        <f t="shared" ca="1" si="11"/>
        <v>VariantAllowances</v>
      </c>
      <c r="BB171" s="34" t="str">
        <f t="shared" si="13"/>
        <v>Variant allowances detailed calculation</v>
      </c>
      <c r="BC171" s="34" t="str">
        <f t="shared" si="12"/>
        <v>Variant allowances percentage allocation</v>
      </c>
    </row>
    <row r="172" spans="5:55" x14ac:dyDescent="0.35">
      <c r="E172" s="187" t="str">
        <f>LicenseeSelect!E265</f>
        <v>PCD_Isle of Grain (SGN_So) / Full site and system rebuilds PCD (SGN)</v>
      </c>
      <c r="F172" s="201">
        <f>LicenseeSelect!F265</f>
        <v>0</v>
      </c>
      <c r="G172" s="188" t="s">
        <v>109</v>
      </c>
      <c r="H172" s="188" t="str">
        <f>LicenseeSelect!H265</f>
        <v>Load related capex</v>
      </c>
      <c r="I172" s="188"/>
      <c r="J172" s="188"/>
      <c r="K172" s="188"/>
      <c r="L172" s="188"/>
      <c r="M172" s="188"/>
      <c r="N172" s="188"/>
      <c r="O172" s="188"/>
      <c r="P172" s="188"/>
      <c r="Q172" s="188"/>
      <c r="R172" s="188"/>
      <c r="S172" s="188"/>
      <c r="T172" s="188"/>
      <c r="U172" s="188"/>
      <c r="V172" s="188"/>
      <c r="W172" s="188"/>
      <c r="X172" s="188"/>
      <c r="Y172" s="188"/>
      <c r="Z172" s="188"/>
      <c r="AA172" s="188"/>
      <c r="AB172" s="188"/>
      <c r="AC172" s="188"/>
      <c r="AD172" s="188"/>
      <c r="AE172" s="188"/>
      <c r="AF172" s="188"/>
      <c r="AG172" s="188"/>
      <c r="AH172" s="188"/>
      <c r="AI172" s="188"/>
      <c r="AJ172" s="188"/>
      <c r="AK172" s="188"/>
      <c r="AL172" s="188"/>
      <c r="AM172" s="188"/>
      <c r="AN172" s="188"/>
      <c r="AO172" s="188"/>
      <c r="AP172" s="188"/>
      <c r="AQ172" s="188"/>
      <c r="AR172" s="188"/>
      <c r="AS172" s="188"/>
      <c r="AT172" s="202"/>
      <c r="AU172" s="203">
        <f>LicenseeSelect!AU265</f>
        <v>0</v>
      </c>
      <c r="AV172" s="204">
        <f>LicenseeSelect!AV265</f>
        <v>0</v>
      </c>
      <c r="AW172" s="204">
        <f>LicenseeSelect!AW265</f>
        <v>0</v>
      </c>
      <c r="AX172" s="204">
        <f>LicenseeSelect!AX265</f>
        <v>0</v>
      </c>
      <c r="AY172" s="205">
        <f>LicenseeSelect!AY265</f>
        <v>0</v>
      </c>
      <c r="BA172" s="34" t="str">
        <f t="shared" ca="1" si="11"/>
        <v>VariantAllowances</v>
      </c>
      <c r="BB172" s="34" t="str">
        <f t="shared" si="13"/>
        <v>Variant allowances detailed calculation</v>
      </c>
      <c r="BC172" s="34" t="str">
        <f t="shared" si="12"/>
        <v>Variant allowances percentage allocation</v>
      </c>
    </row>
    <row r="173" spans="5:55" x14ac:dyDescent="0.35">
      <c r="E173" s="193" t="str">
        <f>LicenseeSelect!E266</f>
        <v>PCD_Isle of Grain (SGN_So) / Full site and system rebuilds PCD (SGN)</v>
      </c>
      <c r="F173" s="126">
        <f>LicenseeSelect!F266</f>
        <v>0</v>
      </c>
      <c r="G173" s="33" t="s">
        <v>109</v>
      </c>
      <c r="H173" s="33" t="str">
        <f>LicenseeSelect!H266</f>
        <v>Non-load related capex - other</v>
      </c>
      <c r="AU173" s="162">
        <f>LicenseeSelect!AU266</f>
        <v>1</v>
      </c>
      <c r="AV173" s="41">
        <f>LicenseeSelect!AV266</f>
        <v>1</v>
      </c>
      <c r="AW173" s="41">
        <f>LicenseeSelect!AW266</f>
        <v>1</v>
      </c>
      <c r="AX173" s="41">
        <f>LicenseeSelect!AX266</f>
        <v>1</v>
      </c>
      <c r="AY173" s="206">
        <f>LicenseeSelect!AY266</f>
        <v>1</v>
      </c>
      <c r="BA173" s="34" t="str">
        <f t="shared" ca="1" si="11"/>
        <v>VariantAllowances</v>
      </c>
      <c r="BB173" s="34" t="str">
        <f t="shared" ref="BB173:BB203" si="14">$A$363</f>
        <v>Variant allowances detailed calculation</v>
      </c>
      <c r="BC173" s="34" t="str">
        <f t="shared" si="12"/>
        <v>Variant allowances percentage allocation</v>
      </c>
    </row>
    <row r="174" spans="5:55" x14ac:dyDescent="0.35">
      <c r="E174" s="193" t="str">
        <f>LicenseeSelect!E267</f>
        <v>PCD_Isle of Grain (SGN_So) / Full site and system rebuilds PCD (SGN)</v>
      </c>
      <c r="F174" s="126">
        <f>LicenseeSelect!F267</f>
        <v>0</v>
      </c>
      <c r="G174" s="33" t="s">
        <v>109</v>
      </c>
      <c r="H174" s="33" t="str">
        <f>LicenseeSelect!H267</f>
        <v>Business support (opex)</v>
      </c>
      <c r="AU174" s="162">
        <f>LicenseeSelect!AU267</f>
        <v>0</v>
      </c>
      <c r="AV174" s="41">
        <f>LicenseeSelect!AV267</f>
        <v>0</v>
      </c>
      <c r="AW174" s="41">
        <f>LicenseeSelect!AW267</f>
        <v>0</v>
      </c>
      <c r="AX174" s="41">
        <f>LicenseeSelect!AX267</f>
        <v>0</v>
      </c>
      <c r="AY174" s="206">
        <f>LicenseeSelect!AY267</f>
        <v>0</v>
      </c>
      <c r="BA174" s="34" t="str">
        <f t="shared" ca="1" si="11"/>
        <v>VariantAllowances</v>
      </c>
      <c r="BB174" s="34" t="str">
        <f t="shared" si="14"/>
        <v>Variant allowances detailed calculation</v>
      </c>
      <c r="BC174" s="34" t="str">
        <f t="shared" si="12"/>
        <v>Variant allowances percentage allocation</v>
      </c>
    </row>
    <row r="175" spans="5:55" x14ac:dyDescent="0.35">
      <c r="E175" s="193" t="str">
        <f>LicenseeSelect!E268</f>
        <v>PCD_Isle of Grain (SGN_So) / Full site and system rebuilds PCD (SGN)</v>
      </c>
      <c r="F175" s="126">
        <f>LicenseeSelect!F268</f>
        <v>0</v>
      </c>
      <c r="G175" s="33" t="s">
        <v>109</v>
      </c>
      <c r="H175" s="33" t="str">
        <f>LicenseeSelect!H268</f>
        <v>Directs opex</v>
      </c>
      <c r="AU175" s="162">
        <f>LicenseeSelect!AU268</f>
        <v>0</v>
      </c>
      <c r="AV175" s="41">
        <f>LicenseeSelect!AV268</f>
        <v>0</v>
      </c>
      <c r="AW175" s="41">
        <f>LicenseeSelect!AW268</f>
        <v>0</v>
      </c>
      <c r="AX175" s="41">
        <f>LicenseeSelect!AX268</f>
        <v>0</v>
      </c>
      <c r="AY175" s="206">
        <f>LicenseeSelect!AY268</f>
        <v>0</v>
      </c>
      <c r="BA175" s="34" t="str">
        <f t="shared" ca="1" si="11"/>
        <v>VariantAllowances</v>
      </c>
      <c r="BB175" s="34" t="str">
        <f t="shared" si="14"/>
        <v>Variant allowances detailed calculation</v>
      </c>
      <c r="BC175" s="34" t="str">
        <f t="shared" si="12"/>
        <v>Variant allowances percentage allocation</v>
      </c>
    </row>
    <row r="176" spans="5:55" x14ac:dyDescent="0.35">
      <c r="E176" s="195" t="str">
        <f>LicenseeSelect!E269</f>
        <v>PCD_Isle of Grain (SGN_So) / Full site and system rebuilds PCD (SGN)</v>
      </c>
      <c r="F176" s="207">
        <f>LicenseeSelect!F269</f>
        <v>0</v>
      </c>
      <c r="G176" s="196" t="s">
        <v>109</v>
      </c>
      <c r="H176" s="196" t="str">
        <f>LicenseeSelect!H269</f>
        <v>Repex</v>
      </c>
      <c r="I176" s="196"/>
      <c r="J176" s="196"/>
      <c r="K176" s="196"/>
      <c r="L176" s="196"/>
      <c r="M176" s="196"/>
      <c r="N176" s="196"/>
      <c r="O176" s="196"/>
      <c r="P176" s="196"/>
      <c r="Q176" s="196"/>
      <c r="R176" s="196"/>
      <c r="S176" s="196"/>
      <c r="T176" s="196"/>
      <c r="U176" s="196"/>
      <c r="V176" s="196"/>
      <c r="W176" s="196"/>
      <c r="X176" s="196"/>
      <c r="Y176" s="196"/>
      <c r="Z176" s="196"/>
      <c r="AA176" s="196"/>
      <c r="AB176" s="196"/>
      <c r="AC176" s="196"/>
      <c r="AD176" s="196"/>
      <c r="AE176" s="196"/>
      <c r="AF176" s="196"/>
      <c r="AG176" s="196"/>
      <c r="AH176" s="196"/>
      <c r="AI176" s="196"/>
      <c r="AJ176" s="196"/>
      <c r="AK176" s="196"/>
      <c r="AL176" s="196"/>
      <c r="AM176" s="196"/>
      <c r="AN176" s="196"/>
      <c r="AO176" s="196"/>
      <c r="AP176" s="196"/>
      <c r="AQ176" s="196"/>
      <c r="AR176" s="196"/>
      <c r="AS176" s="196"/>
      <c r="AT176" s="208"/>
      <c r="AU176" s="209">
        <f>LicenseeSelect!AU269</f>
        <v>0</v>
      </c>
      <c r="AV176" s="210">
        <f>LicenseeSelect!AV269</f>
        <v>0</v>
      </c>
      <c r="AW176" s="210">
        <f>LicenseeSelect!AW269</f>
        <v>0</v>
      </c>
      <c r="AX176" s="210">
        <f>LicenseeSelect!AX269</f>
        <v>0</v>
      </c>
      <c r="AY176" s="211">
        <f>LicenseeSelect!AY269</f>
        <v>0</v>
      </c>
      <c r="BA176" s="34" t="str">
        <f t="shared" ca="1" si="11"/>
        <v>VariantAllowances</v>
      </c>
      <c r="BB176" s="34" t="str">
        <f t="shared" si="14"/>
        <v>Variant allowances detailed calculation</v>
      </c>
      <c r="BC176" s="34" t="str">
        <f t="shared" si="12"/>
        <v>Variant allowances percentage allocation</v>
      </c>
    </row>
    <row r="177" spans="5:55" x14ac:dyDescent="0.35">
      <c r="E177" s="187" t="str">
        <f>LicenseeSelect!E270</f>
        <v>PCD_EVs  / Operational Transport Emissions Reduction PCD</v>
      </c>
      <c r="F177" s="201">
        <f>LicenseeSelect!F270</f>
        <v>0</v>
      </c>
      <c r="G177" s="188" t="s">
        <v>109</v>
      </c>
      <c r="H177" s="188" t="str">
        <f>LicenseeSelect!H270</f>
        <v>Load related capex</v>
      </c>
      <c r="I177" s="188"/>
      <c r="J177" s="188"/>
      <c r="K177" s="188"/>
      <c r="L177" s="188"/>
      <c r="M177" s="188"/>
      <c r="N177" s="188"/>
      <c r="O177" s="188"/>
      <c r="P177" s="188"/>
      <c r="Q177" s="188"/>
      <c r="R177" s="188"/>
      <c r="S177" s="188"/>
      <c r="T177" s="188"/>
      <c r="U177" s="188"/>
      <c r="V177" s="188"/>
      <c r="W177" s="188"/>
      <c r="X177" s="188"/>
      <c r="Y177" s="188"/>
      <c r="Z177" s="188"/>
      <c r="AA177" s="188"/>
      <c r="AB177" s="188"/>
      <c r="AC177" s="188"/>
      <c r="AD177" s="188"/>
      <c r="AE177" s="188"/>
      <c r="AF177" s="188"/>
      <c r="AG177" s="188"/>
      <c r="AH177" s="188"/>
      <c r="AI177" s="188"/>
      <c r="AJ177" s="188"/>
      <c r="AK177" s="188"/>
      <c r="AL177" s="188"/>
      <c r="AM177" s="188"/>
      <c r="AN177" s="188"/>
      <c r="AO177" s="188"/>
      <c r="AP177" s="188"/>
      <c r="AQ177" s="188"/>
      <c r="AR177" s="188"/>
      <c r="AS177" s="188"/>
      <c r="AT177" s="202"/>
      <c r="AU177" s="203">
        <f>LicenseeSelect!AU270</f>
        <v>0</v>
      </c>
      <c r="AV177" s="204">
        <f>LicenseeSelect!AV270</f>
        <v>0</v>
      </c>
      <c r="AW177" s="204">
        <f>LicenseeSelect!AW270</f>
        <v>0</v>
      </c>
      <c r="AX177" s="204">
        <f>LicenseeSelect!AX270</f>
        <v>0</v>
      </c>
      <c r="AY177" s="205">
        <f>LicenseeSelect!AY270</f>
        <v>0</v>
      </c>
      <c r="BA177" s="34" t="str">
        <f t="shared" ca="1" si="11"/>
        <v>VariantAllowances</v>
      </c>
      <c r="BB177" s="34" t="str">
        <f t="shared" si="14"/>
        <v>Variant allowances detailed calculation</v>
      </c>
      <c r="BC177" s="34" t="str">
        <f t="shared" si="12"/>
        <v>Variant allowances percentage allocation</v>
      </c>
    </row>
    <row r="178" spans="5:55" x14ac:dyDescent="0.35">
      <c r="E178" s="193" t="str">
        <f>LicenseeSelect!E271</f>
        <v>PCD_EVs  / Operational Transport Emissions Reduction PCD</v>
      </c>
      <c r="F178" s="126">
        <f>LicenseeSelect!F271</f>
        <v>0</v>
      </c>
      <c r="G178" s="33" t="s">
        <v>109</v>
      </c>
      <c r="H178" s="33" t="str">
        <f>LicenseeSelect!H271</f>
        <v>Non-load related capex - other</v>
      </c>
      <c r="AU178" s="162">
        <f>LicenseeSelect!AU271</f>
        <v>0</v>
      </c>
      <c r="AV178" s="41">
        <f>LicenseeSelect!AV271</f>
        <v>0</v>
      </c>
      <c r="AW178" s="41">
        <f>LicenseeSelect!AW271</f>
        <v>0</v>
      </c>
      <c r="AX178" s="41">
        <f>LicenseeSelect!AX271</f>
        <v>0</v>
      </c>
      <c r="AY178" s="206">
        <f>LicenseeSelect!AY271</f>
        <v>0</v>
      </c>
      <c r="BA178" s="34" t="str">
        <f t="shared" ca="1" si="11"/>
        <v>VariantAllowances</v>
      </c>
      <c r="BB178" s="34" t="str">
        <f t="shared" si="14"/>
        <v>Variant allowances detailed calculation</v>
      </c>
      <c r="BC178" s="34" t="str">
        <f t="shared" si="12"/>
        <v>Variant allowances percentage allocation</v>
      </c>
    </row>
    <row r="179" spans="5:55" x14ac:dyDescent="0.35">
      <c r="E179" s="193" t="str">
        <f>LicenseeSelect!E272</f>
        <v>PCD_EVs  / Operational Transport Emissions Reduction PCD</v>
      </c>
      <c r="F179" s="126">
        <f>LicenseeSelect!F272</f>
        <v>0</v>
      </c>
      <c r="G179" s="33" t="s">
        <v>109</v>
      </c>
      <c r="H179" s="33" t="str">
        <f>LicenseeSelect!H272</f>
        <v>Business support (opex)</v>
      </c>
      <c r="AU179" s="162">
        <f>LicenseeSelect!AU272</f>
        <v>0</v>
      </c>
      <c r="AV179" s="41">
        <f>LicenseeSelect!AV272</f>
        <v>0</v>
      </c>
      <c r="AW179" s="41">
        <f>LicenseeSelect!AW272</f>
        <v>0</v>
      </c>
      <c r="AX179" s="41">
        <f>LicenseeSelect!AX272</f>
        <v>0</v>
      </c>
      <c r="AY179" s="206">
        <f>LicenseeSelect!AY272</f>
        <v>0</v>
      </c>
      <c r="BA179" s="34" t="str">
        <f t="shared" ca="1" si="11"/>
        <v>VariantAllowances</v>
      </c>
      <c r="BB179" s="34" t="str">
        <f t="shared" si="14"/>
        <v>Variant allowances detailed calculation</v>
      </c>
      <c r="BC179" s="34" t="str">
        <f t="shared" si="12"/>
        <v>Variant allowances percentage allocation</v>
      </c>
    </row>
    <row r="180" spans="5:55" x14ac:dyDescent="0.35">
      <c r="E180" s="193" t="str">
        <f>LicenseeSelect!E273</f>
        <v>PCD_EVs  / Operational Transport Emissions Reduction PCD</v>
      </c>
      <c r="F180" s="126">
        <f>LicenseeSelect!F273</f>
        <v>0</v>
      </c>
      <c r="G180" s="33" t="s">
        <v>109</v>
      </c>
      <c r="H180" s="33" t="str">
        <f>LicenseeSelect!H273</f>
        <v>Directs opex</v>
      </c>
      <c r="AU180" s="162">
        <f>LicenseeSelect!AU273</f>
        <v>1</v>
      </c>
      <c r="AV180" s="41">
        <f>LicenseeSelect!AV273</f>
        <v>1</v>
      </c>
      <c r="AW180" s="41">
        <f>LicenseeSelect!AW273</f>
        <v>1</v>
      </c>
      <c r="AX180" s="41">
        <f>LicenseeSelect!AX273</f>
        <v>1</v>
      </c>
      <c r="AY180" s="206">
        <f>LicenseeSelect!AY273</f>
        <v>1</v>
      </c>
      <c r="BA180" s="34" t="str">
        <f t="shared" ca="1" si="11"/>
        <v>VariantAllowances</v>
      </c>
      <c r="BB180" s="34" t="str">
        <f t="shared" si="14"/>
        <v>Variant allowances detailed calculation</v>
      </c>
      <c r="BC180" s="34" t="str">
        <f t="shared" si="12"/>
        <v>Variant allowances percentage allocation</v>
      </c>
    </row>
    <row r="181" spans="5:55" x14ac:dyDescent="0.35">
      <c r="E181" s="195" t="str">
        <f>LicenseeSelect!E274</f>
        <v>PCD_EVs  / Operational Transport Emissions Reduction PCD</v>
      </c>
      <c r="F181" s="207">
        <f>LicenseeSelect!F274</f>
        <v>0</v>
      </c>
      <c r="G181" s="196" t="s">
        <v>109</v>
      </c>
      <c r="H181" s="196" t="str">
        <f>LicenseeSelect!H274</f>
        <v>Repex</v>
      </c>
      <c r="I181" s="196"/>
      <c r="J181" s="196"/>
      <c r="K181" s="196"/>
      <c r="L181" s="196"/>
      <c r="M181" s="196"/>
      <c r="N181" s="196"/>
      <c r="O181" s="196"/>
      <c r="P181" s="196"/>
      <c r="Q181" s="196"/>
      <c r="R181" s="196"/>
      <c r="S181" s="196"/>
      <c r="T181" s="196"/>
      <c r="U181" s="196"/>
      <c r="V181" s="196"/>
      <c r="W181" s="196"/>
      <c r="X181" s="196"/>
      <c r="Y181" s="196"/>
      <c r="Z181" s="196"/>
      <c r="AA181" s="196"/>
      <c r="AB181" s="196"/>
      <c r="AC181" s="196"/>
      <c r="AD181" s="196"/>
      <c r="AE181" s="196"/>
      <c r="AF181" s="196"/>
      <c r="AG181" s="196"/>
      <c r="AH181" s="196"/>
      <c r="AI181" s="196"/>
      <c r="AJ181" s="196"/>
      <c r="AK181" s="196"/>
      <c r="AL181" s="196"/>
      <c r="AM181" s="196"/>
      <c r="AN181" s="196"/>
      <c r="AO181" s="196"/>
      <c r="AP181" s="196"/>
      <c r="AQ181" s="196"/>
      <c r="AR181" s="196"/>
      <c r="AS181" s="196"/>
      <c r="AT181" s="208"/>
      <c r="AU181" s="209">
        <f>LicenseeSelect!AU274</f>
        <v>0</v>
      </c>
      <c r="AV181" s="210">
        <f>LicenseeSelect!AV274</f>
        <v>0</v>
      </c>
      <c r="AW181" s="210">
        <f>LicenseeSelect!AW274</f>
        <v>0</v>
      </c>
      <c r="AX181" s="210">
        <f>LicenseeSelect!AX274</f>
        <v>0</v>
      </c>
      <c r="AY181" s="211">
        <f>LicenseeSelect!AY274</f>
        <v>0</v>
      </c>
      <c r="BA181" s="34" t="str">
        <f t="shared" ca="1" si="11"/>
        <v>VariantAllowances</v>
      </c>
      <c r="BB181" s="34" t="str">
        <f t="shared" si="14"/>
        <v>Variant allowances detailed calculation</v>
      </c>
      <c r="BC181" s="34" t="str">
        <f t="shared" si="12"/>
        <v>Variant allowances percentage allocation</v>
      </c>
    </row>
    <row r="182" spans="5:55" x14ac:dyDescent="0.35">
      <c r="E182" s="187" t="str">
        <f>LicenseeSelect!E275</f>
        <v>PCD_South London Mains (SGN_So)</v>
      </c>
      <c r="F182" s="201">
        <f>LicenseeSelect!F275</f>
        <v>0</v>
      </c>
      <c r="G182" s="188" t="s">
        <v>109</v>
      </c>
      <c r="H182" s="188" t="str">
        <f>LicenseeSelect!H275</f>
        <v>Load related capex</v>
      </c>
      <c r="I182" s="188"/>
      <c r="J182" s="188"/>
      <c r="K182" s="188"/>
      <c r="L182" s="188"/>
      <c r="M182" s="188"/>
      <c r="N182" s="188"/>
      <c r="O182" s="188"/>
      <c r="P182" s="188"/>
      <c r="Q182" s="188"/>
      <c r="R182" s="188"/>
      <c r="S182" s="188"/>
      <c r="T182" s="188"/>
      <c r="U182" s="188"/>
      <c r="V182" s="188"/>
      <c r="W182" s="188"/>
      <c r="X182" s="188"/>
      <c r="Y182" s="188"/>
      <c r="Z182" s="188"/>
      <c r="AA182" s="188"/>
      <c r="AB182" s="188"/>
      <c r="AC182" s="188"/>
      <c r="AD182" s="188"/>
      <c r="AE182" s="188"/>
      <c r="AF182" s="188"/>
      <c r="AG182" s="188"/>
      <c r="AH182" s="188"/>
      <c r="AI182" s="188"/>
      <c r="AJ182" s="188"/>
      <c r="AK182" s="188"/>
      <c r="AL182" s="188"/>
      <c r="AM182" s="188"/>
      <c r="AN182" s="188"/>
      <c r="AO182" s="188"/>
      <c r="AP182" s="188"/>
      <c r="AQ182" s="188"/>
      <c r="AR182" s="188"/>
      <c r="AS182" s="188"/>
      <c r="AT182" s="202"/>
      <c r="AU182" s="203">
        <f>LicenseeSelect!AU275</f>
        <v>0</v>
      </c>
      <c r="AV182" s="204">
        <f>LicenseeSelect!AV275</f>
        <v>0</v>
      </c>
      <c r="AW182" s="204">
        <f>LicenseeSelect!AW275</f>
        <v>0</v>
      </c>
      <c r="AX182" s="204">
        <f>LicenseeSelect!AX275</f>
        <v>0</v>
      </c>
      <c r="AY182" s="205">
        <f>LicenseeSelect!AY275</f>
        <v>0</v>
      </c>
      <c r="BA182" s="34" t="str">
        <f t="shared" ref="BA182:BA245" ca="1" si="15">$A$1</f>
        <v>VariantAllowances</v>
      </c>
      <c r="BB182" s="34" t="str">
        <f t="shared" si="14"/>
        <v>Variant allowances detailed calculation</v>
      </c>
      <c r="BC182" s="34" t="str">
        <f t="shared" si="12"/>
        <v>Variant allowances percentage allocation</v>
      </c>
    </row>
    <row r="183" spans="5:55" x14ac:dyDescent="0.35">
      <c r="E183" s="193" t="str">
        <f>LicenseeSelect!E276</f>
        <v>PCD_South London Mains (SGN_So)</v>
      </c>
      <c r="F183" s="126">
        <f>LicenseeSelect!F276</f>
        <v>0</v>
      </c>
      <c r="G183" s="33" t="s">
        <v>109</v>
      </c>
      <c r="H183" s="33" t="str">
        <f>LicenseeSelect!H276</f>
        <v>Non-load related capex - other</v>
      </c>
      <c r="AU183" s="162">
        <f>LicenseeSelect!AU276</f>
        <v>0</v>
      </c>
      <c r="AV183" s="41">
        <f>LicenseeSelect!AV276</f>
        <v>0</v>
      </c>
      <c r="AW183" s="41">
        <f>LicenseeSelect!AW276</f>
        <v>0</v>
      </c>
      <c r="AX183" s="41">
        <f>LicenseeSelect!AX276</f>
        <v>0</v>
      </c>
      <c r="AY183" s="206">
        <f>LicenseeSelect!AY276</f>
        <v>0</v>
      </c>
      <c r="BA183" s="34" t="str">
        <f t="shared" ca="1" si="15"/>
        <v>VariantAllowances</v>
      </c>
      <c r="BB183" s="34" t="str">
        <f t="shared" si="14"/>
        <v>Variant allowances detailed calculation</v>
      </c>
      <c r="BC183" s="34" t="str">
        <f t="shared" si="12"/>
        <v>Variant allowances percentage allocation</v>
      </c>
    </row>
    <row r="184" spans="5:55" x14ac:dyDescent="0.35">
      <c r="E184" s="193" t="str">
        <f>LicenseeSelect!E277</f>
        <v>PCD_South London Mains (SGN_So)</v>
      </c>
      <c r="F184" s="126">
        <f>LicenseeSelect!F277</f>
        <v>0</v>
      </c>
      <c r="G184" s="33" t="s">
        <v>109</v>
      </c>
      <c r="H184" s="33" t="str">
        <f>LicenseeSelect!H277</f>
        <v>Business support (opex)</v>
      </c>
      <c r="AU184" s="162">
        <f>LicenseeSelect!AU277</f>
        <v>0</v>
      </c>
      <c r="AV184" s="41">
        <f>LicenseeSelect!AV277</f>
        <v>0</v>
      </c>
      <c r="AW184" s="41">
        <f>LicenseeSelect!AW277</f>
        <v>0</v>
      </c>
      <c r="AX184" s="41">
        <f>LicenseeSelect!AX277</f>
        <v>0</v>
      </c>
      <c r="AY184" s="206">
        <f>LicenseeSelect!AY277</f>
        <v>0</v>
      </c>
      <c r="BA184" s="34" t="str">
        <f t="shared" ca="1" si="15"/>
        <v>VariantAllowances</v>
      </c>
      <c r="BB184" s="34" t="str">
        <f t="shared" si="14"/>
        <v>Variant allowances detailed calculation</v>
      </c>
      <c r="BC184" s="34" t="str">
        <f t="shared" si="12"/>
        <v>Variant allowances percentage allocation</v>
      </c>
    </row>
    <row r="185" spans="5:55" x14ac:dyDescent="0.35">
      <c r="E185" s="193" t="str">
        <f>LicenseeSelect!E278</f>
        <v>PCD_South London Mains (SGN_So)</v>
      </c>
      <c r="F185" s="126">
        <f>LicenseeSelect!F278</f>
        <v>0</v>
      </c>
      <c r="G185" s="33" t="s">
        <v>109</v>
      </c>
      <c r="H185" s="33" t="str">
        <f>LicenseeSelect!H278</f>
        <v>Directs opex</v>
      </c>
      <c r="AU185" s="162">
        <f>LicenseeSelect!AU278</f>
        <v>0</v>
      </c>
      <c r="AV185" s="41">
        <f>LicenseeSelect!AV278</f>
        <v>0</v>
      </c>
      <c r="AW185" s="41">
        <f>LicenseeSelect!AW278</f>
        <v>0</v>
      </c>
      <c r="AX185" s="41">
        <f>LicenseeSelect!AX278</f>
        <v>0</v>
      </c>
      <c r="AY185" s="206">
        <f>LicenseeSelect!AY278</f>
        <v>0</v>
      </c>
      <c r="BA185" s="34" t="str">
        <f t="shared" ca="1" si="15"/>
        <v>VariantAllowances</v>
      </c>
      <c r="BB185" s="34" t="str">
        <f t="shared" si="14"/>
        <v>Variant allowances detailed calculation</v>
      </c>
      <c r="BC185" s="34" t="str">
        <f t="shared" si="12"/>
        <v>Variant allowances percentage allocation</v>
      </c>
    </row>
    <row r="186" spans="5:55" x14ac:dyDescent="0.35">
      <c r="E186" s="195" t="str">
        <f>LicenseeSelect!E279</f>
        <v>PCD_South London Mains (SGN_So)</v>
      </c>
      <c r="F186" s="207">
        <f>LicenseeSelect!F279</f>
        <v>0</v>
      </c>
      <c r="G186" s="196" t="s">
        <v>109</v>
      </c>
      <c r="H186" s="196" t="str">
        <f>LicenseeSelect!H279</f>
        <v>Repex</v>
      </c>
      <c r="I186" s="196"/>
      <c r="J186" s="196"/>
      <c r="K186" s="196"/>
      <c r="L186" s="196"/>
      <c r="M186" s="196"/>
      <c r="N186" s="196"/>
      <c r="O186" s="196"/>
      <c r="P186" s="196"/>
      <c r="Q186" s="196"/>
      <c r="R186" s="196"/>
      <c r="S186" s="196"/>
      <c r="T186" s="196"/>
      <c r="U186" s="196"/>
      <c r="V186" s="196"/>
      <c r="W186" s="196"/>
      <c r="X186" s="196"/>
      <c r="Y186" s="196"/>
      <c r="Z186" s="196"/>
      <c r="AA186" s="196"/>
      <c r="AB186" s="196"/>
      <c r="AC186" s="196"/>
      <c r="AD186" s="196"/>
      <c r="AE186" s="196"/>
      <c r="AF186" s="196"/>
      <c r="AG186" s="196"/>
      <c r="AH186" s="196"/>
      <c r="AI186" s="196"/>
      <c r="AJ186" s="196"/>
      <c r="AK186" s="196"/>
      <c r="AL186" s="196"/>
      <c r="AM186" s="196"/>
      <c r="AN186" s="196"/>
      <c r="AO186" s="196"/>
      <c r="AP186" s="196"/>
      <c r="AQ186" s="196"/>
      <c r="AR186" s="196"/>
      <c r="AS186" s="196"/>
      <c r="AT186" s="208"/>
      <c r="AU186" s="209">
        <f>LicenseeSelect!AU279</f>
        <v>1</v>
      </c>
      <c r="AV186" s="210">
        <f>LicenseeSelect!AV279</f>
        <v>1</v>
      </c>
      <c r="AW186" s="210">
        <f>LicenseeSelect!AW279</f>
        <v>1</v>
      </c>
      <c r="AX186" s="210">
        <f>LicenseeSelect!AX279</f>
        <v>1</v>
      </c>
      <c r="AY186" s="211">
        <f>LicenseeSelect!AY279</f>
        <v>1</v>
      </c>
      <c r="BA186" s="34" t="str">
        <f t="shared" ca="1" si="15"/>
        <v>VariantAllowances</v>
      </c>
      <c r="BB186" s="34" t="str">
        <f t="shared" si="14"/>
        <v>Variant allowances detailed calculation</v>
      </c>
      <c r="BC186" s="34" t="str">
        <f t="shared" si="12"/>
        <v>Variant allowances percentage allocation</v>
      </c>
    </row>
    <row r="187" spans="5:55" x14ac:dyDescent="0.35">
      <c r="E187" s="187" t="str">
        <f>LicenseeSelect!E280</f>
        <v>PCD_WWU.7 - HS007 (WWU_WWU) / Pipeline Replacements PCD (WWU)</v>
      </c>
      <c r="F187" s="201">
        <f>LicenseeSelect!F280</f>
        <v>0</v>
      </c>
      <c r="G187" s="188" t="s">
        <v>109</v>
      </c>
      <c r="H187" s="188" t="str">
        <f>LicenseeSelect!H280</f>
        <v>Load related capex</v>
      </c>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202"/>
      <c r="AU187" s="203">
        <f>LicenseeSelect!AU280</f>
        <v>0</v>
      </c>
      <c r="AV187" s="204">
        <f>LicenseeSelect!AV280</f>
        <v>0</v>
      </c>
      <c r="AW187" s="204">
        <f>LicenseeSelect!AW280</f>
        <v>0</v>
      </c>
      <c r="AX187" s="204">
        <f>LicenseeSelect!AX280</f>
        <v>0</v>
      </c>
      <c r="AY187" s="205">
        <f>LicenseeSelect!AY280</f>
        <v>0</v>
      </c>
      <c r="BA187" s="34" t="str">
        <f t="shared" ca="1" si="15"/>
        <v>VariantAllowances</v>
      </c>
      <c r="BB187" s="34" t="str">
        <f t="shared" si="14"/>
        <v>Variant allowances detailed calculation</v>
      </c>
      <c r="BC187" s="34" t="str">
        <f t="shared" si="12"/>
        <v>Variant allowances percentage allocation</v>
      </c>
    </row>
    <row r="188" spans="5:55" x14ac:dyDescent="0.35">
      <c r="E188" s="193" t="str">
        <f>LicenseeSelect!E281</f>
        <v>PCD_WWU.7 - HS007 (WWU_WWU) / Pipeline Replacements PCD (WWU)</v>
      </c>
      <c r="F188" s="126">
        <f>LicenseeSelect!F281</f>
        <v>0</v>
      </c>
      <c r="G188" s="33" t="s">
        <v>109</v>
      </c>
      <c r="H188" s="33" t="str">
        <f>LicenseeSelect!H281</f>
        <v>Non-load related capex - other</v>
      </c>
      <c r="AU188" s="162">
        <f>LicenseeSelect!AU281</f>
        <v>1</v>
      </c>
      <c r="AV188" s="41">
        <f>LicenseeSelect!AV281</f>
        <v>1</v>
      </c>
      <c r="AW188" s="41">
        <f>LicenseeSelect!AW281</f>
        <v>1</v>
      </c>
      <c r="AX188" s="41">
        <f>LicenseeSelect!AX281</f>
        <v>1</v>
      </c>
      <c r="AY188" s="206">
        <f>LicenseeSelect!AY281</f>
        <v>1</v>
      </c>
      <c r="BA188" s="34" t="str">
        <f t="shared" ca="1" si="15"/>
        <v>VariantAllowances</v>
      </c>
      <c r="BB188" s="34" t="str">
        <f t="shared" si="14"/>
        <v>Variant allowances detailed calculation</v>
      </c>
      <c r="BC188" s="34" t="str">
        <f t="shared" si="12"/>
        <v>Variant allowances percentage allocation</v>
      </c>
    </row>
    <row r="189" spans="5:55" x14ac:dyDescent="0.35">
      <c r="E189" s="193" t="str">
        <f>LicenseeSelect!E282</f>
        <v>PCD_WWU.7 - HS007 (WWU_WWU) / Pipeline Replacements PCD (WWU)</v>
      </c>
      <c r="F189" s="126">
        <f>LicenseeSelect!F282</f>
        <v>0</v>
      </c>
      <c r="G189" s="33" t="s">
        <v>109</v>
      </c>
      <c r="H189" s="33" t="str">
        <f>LicenseeSelect!H282</f>
        <v>Business support (opex)</v>
      </c>
      <c r="AU189" s="162">
        <f>LicenseeSelect!AU282</f>
        <v>0</v>
      </c>
      <c r="AV189" s="41">
        <f>LicenseeSelect!AV282</f>
        <v>0</v>
      </c>
      <c r="AW189" s="41">
        <f>LicenseeSelect!AW282</f>
        <v>0</v>
      </c>
      <c r="AX189" s="41">
        <f>LicenseeSelect!AX282</f>
        <v>0</v>
      </c>
      <c r="AY189" s="206">
        <f>LicenseeSelect!AY282</f>
        <v>0</v>
      </c>
      <c r="BA189" s="34" t="str">
        <f t="shared" ca="1" si="15"/>
        <v>VariantAllowances</v>
      </c>
      <c r="BB189" s="34" t="str">
        <f t="shared" si="14"/>
        <v>Variant allowances detailed calculation</v>
      </c>
      <c r="BC189" s="34" t="str">
        <f t="shared" si="12"/>
        <v>Variant allowances percentage allocation</v>
      </c>
    </row>
    <row r="190" spans="5:55" x14ac:dyDescent="0.35">
      <c r="E190" s="193" t="str">
        <f>LicenseeSelect!E283</f>
        <v>PCD_WWU.7 - HS007 (WWU_WWU) / Pipeline Replacements PCD (WWU)</v>
      </c>
      <c r="F190" s="126">
        <f>LicenseeSelect!F283</f>
        <v>0</v>
      </c>
      <c r="G190" s="33" t="s">
        <v>109</v>
      </c>
      <c r="H190" s="33" t="str">
        <f>LicenseeSelect!H283</f>
        <v>Directs opex</v>
      </c>
      <c r="AU190" s="162">
        <f>LicenseeSelect!AU283</f>
        <v>0</v>
      </c>
      <c r="AV190" s="41">
        <f>LicenseeSelect!AV283</f>
        <v>0</v>
      </c>
      <c r="AW190" s="41">
        <f>LicenseeSelect!AW283</f>
        <v>0</v>
      </c>
      <c r="AX190" s="41">
        <f>LicenseeSelect!AX283</f>
        <v>0</v>
      </c>
      <c r="AY190" s="206">
        <f>LicenseeSelect!AY283</f>
        <v>0</v>
      </c>
      <c r="BA190" s="34" t="str">
        <f t="shared" ca="1" si="15"/>
        <v>VariantAllowances</v>
      </c>
      <c r="BB190" s="34" t="str">
        <f t="shared" si="14"/>
        <v>Variant allowances detailed calculation</v>
      </c>
      <c r="BC190" s="34" t="str">
        <f t="shared" si="12"/>
        <v>Variant allowances percentage allocation</v>
      </c>
    </row>
    <row r="191" spans="5:55" x14ac:dyDescent="0.35">
      <c r="E191" s="195" t="str">
        <f>LicenseeSelect!E284</f>
        <v>PCD_WWU.7 - HS007 (WWU_WWU) / Pipeline Replacements PCD (WWU)</v>
      </c>
      <c r="F191" s="207">
        <f>LicenseeSelect!F284</f>
        <v>0</v>
      </c>
      <c r="G191" s="196" t="s">
        <v>109</v>
      </c>
      <c r="H191" s="196" t="str">
        <f>LicenseeSelect!H284</f>
        <v>Repex</v>
      </c>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208"/>
      <c r="AU191" s="209">
        <f>LicenseeSelect!AU284</f>
        <v>0</v>
      </c>
      <c r="AV191" s="210">
        <f>LicenseeSelect!AV284</f>
        <v>0</v>
      </c>
      <c r="AW191" s="210">
        <f>LicenseeSelect!AW284</f>
        <v>0</v>
      </c>
      <c r="AX191" s="210">
        <f>LicenseeSelect!AX284</f>
        <v>0</v>
      </c>
      <c r="AY191" s="211">
        <f>LicenseeSelect!AY284</f>
        <v>0</v>
      </c>
      <c r="BA191" s="34" t="str">
        <f t="shared" ca="1" si="15"/>
        <v>VariantAllowances</v>
      </c>
      <c r="BB191" s="34" t="str">
        <f t="shared" si="14"/>
        <v>Variant allowances detailed calculation</v>
      </c>
      <c r="BC191" s="34" t="str">
        <f t="shared" si="12"/>
        <v>Variant allowances percentage allocation</v>
      </c>
    </row>
    <row r="192" spans="5:55" x14ac:dyDescent="0.35">
      <c r="E192" s="187" t="str">
        <f>LicenseeSelect!E285</f>
        <v>PCD_WWU.9 - HS009 (WWU_WWU) / Pipeline Replacements PCD (WWU)</v>
      </c>
      <c r="F192" s="201">
        <f>LicenseeSelect!F285</f>
        <v>0</v>
      </c>
      <c r="G192" s="188" t="s">
        <v>109</v>
      </c>
      <c r="H192" s="188" t="str">
        <f>LicenseeSelect!H285</f>
        <v>Load related capex</v>
      </c>
      <c r="I192" s="188"/>
      <c r="J192" s="188"/>
      <c r="K192" s="188"/>
      <c r="L192" s="188"/>
      <c r="M192" s="188"/>
      <c r="N192" s="188"/>
      <c r="O192" s="188"/>
      <c r="P192" s="188"/>
      <c r="Q192" s="188"/>
      <c r="R192" s="188"/>
      <c r="S192" s="188"/>
      <c r="T192" s="188"/>
      <c r="U192" s="188"/>
      <c r="V192" s="188"/>
      <c r="W192" s="188"/>
      <c r="X192" s="188"/>
      <c r="Y192" s="188"/>
      <c r="Z192" s="188"/>
      <c r="AA192" s="188"/>
      <c r="AB192" s="188"/>
      <c r="AC192" s="188"/>
      <c r="AD192" s="188"/>
      <c r="AE192" s="188"/>
      <c r="AF192" s="188"/>
      <c r="AG192" s="188"/>
      <c r="AH192" s="188"/>
      <c r="AI192" s="188"/>
      <c r="AJ192" s="188"/>
      <c r="AK192" s="188"/>
      <c r="AL192" s="188"/>
      <c r="AM192" s="188"/>
      <c r="AN192" s="188"/>
      <c r="AO192" s="188"/>
      <c r="AP192" s="188"/>
      <c r="AQ192" s="188"/>
      <c r="AR192" s="188"/>
      <c r="AS192" s="188"/>
      <c r="AT192" s="202"/>
      <c r="AU192" s="203">
        <f>LicenseeSelect!AU285</f>
        <v>0</v>
      </c>
      <c r="AV192" s="204">
        <f>LicenseeSelect!AV285</f>
        <v>0</v>
      </c>
      <c r="AW192" s="204">
        <f>LicenseeSelect!AW285</f>
        <v>0</v>
      </c>
      <c r="AX192" s="204">
        <f>LicenseeSelect!AX285</f>
        <v>0</v>
      </c>
      <c r="AY192" s="205">
        <f>LicenseeSelect!AY285</f>
        <v>0</v>
      </c>
      <c r="BA192" s="34" t="str">
        <f t="shared" ca="1" si="15"/>
        <v>VariantAllowances</v>
      </c>
      <c r="BB192" s="34" t="str">
        <f t="shared" si="14"/>
        <v>Variant allowances detailed calculation</v>
      </c>
      <c r="BC192" s="34" t="str">
        <f t="shared" si="12"/>
        <v>Variant allowances percentage allocation</v>
      </c>
    </row>
    <row r="193" spans="5:55" x14ac:dyDescent="0.35">
      <c r="E193" s="193" t="str">
        <f>LicenseeSelect!E286</f>
        <v>PCD_WWU.9 - HS009 (WWU_WWU) / Pipeline Replacements PCD (WWU)</v>
      </c>
      <c r="F193" s="126">
        <f>LicenseeSelect!F286</f>
        <v>0</v>
      </c>
      <c r="G193" s="33" t="s">
        <v>109</v>
      </c>
      <c r="H193" s="33" t="str">
        <f>LicenseeSelect!H286</f>
        <v>Non-load related capex - other</v>
      </c>
      <c r="AU193" s="162">
        <f>LicenseeSelect!AU286</f>
        <v>1</v>
      </c>
      <c r="AV193" s="41">
        <f>LicenseeSelect!AV286</f>
        <v>1</v>
      </c>
      <c r="AW193" s="41">
        <f>LicenseeSelect!AW286</f>
        <v>1</v>
      </c>
      <c r="AX193" s="41">
        <f>LicenseeSelect!AX286</f>
        <v>1</v>
      </c>
      <c r="AY193" s="206">
        <f>LicenseeSelect!AY286</f>
        <v>1</v>
      </c>
      <c r="BA193" s="34" t="str">
        <f t="shared" ca="1" si="15"/>
        <v>VariantAllowances</v>
      </c>
      <c r="BB193" s="34" t="str">
        <f t="shared" si="14"/>
        <v>Variant allowances detailed calculation</v>
      </c>
      <c r="BC193" s="34" t="str">
        <f t="shared" si="12"/>
        <v>Variant allowances percentage allocation</v>
      </c>
    </row>
    <row r="194" spans="5:55" x14ac:dyDescent="0.35">
      <c r="E194" s="193" t="str">
        <f>LicenseeSelect!E287</f>
        <v>PCD_WWU.9 - HS009 (WWU_WWU) / Pipeline Replacements PCD (WWU)</v>
      </c>
      <c r="F194" s="126">
        <f>LicenseeSelect!F287</f>
        <v>0</v>
      </c>
      <c r="G194" s="33" t="s">
        <v>109</v>
      </c>
      <c r="H194" s="33" t="str">
        <f>LicenseeSelect!H287</f>
        <v>Business support (opex)</v>
      </c>
      <c r="AU194" s="162">
        <f>LicenseeSelect!AU287</f>
        <v>0</v>
      </c>
      <c r="AV194" s="41">
        <f>LicenseeSelect!AV287</f>
        <v>0</v>
      </c>
      <c r="AW194" s="41">
        <f>LicenseeSelect!AW287</f>
        <v>0</v>
      </c>
      <c r="AX194" s="41">
        <f>LicenseeSelect!AX287</f>
        <v>0</v>
      </c>
      <c r="AY194" s="206">
        <f>LicenseeSelect!AY287</f>
        <v>0</v>
      </c>
      <c r="BA194" s="34" t="str">
        <f t="shared" ca="1" si="15"/>
        <v>VariantAllowances</v>
      </c>
      <c r="BB194" s="34" t="str">
        <f t="shared" si="14"/>
        <v>Variant allowances detailed calculation</v>
      </c>
      <c r="BC194" s="34" t="str">
        <f t="shared" si="12"/>
        <v>Variant allowances percentage allocation</v>
      </c>
    </row>
    <row r="195" spans="5:55" x14ac:dyDescent="0.35">
      <c r="E195" s="193" t="str">
        <f>LicenseeSelect!E288</f>
        <v>PCD_WWU.9 - HS009 (WWU_WWU) / Pipeline Replacements PCD (WWU)</v>
      </c>
      <c r="F195" s="126">
        <f>LicenseeSelect!F288</f>
        <v>0</v>
      </c>
      <c r="G195" s="33" t="s">
        <v>109</v>
      </c>
      <c r="H195" s="33" t="str">
        <f>LicenseeSelect!H288</f>
        <v>Directs opex</v>
      </c>
      <c r="AU195" s="162">
        <f>LicenseeSelect!AU288</f>
        <v>0</v>
      </c>
      <c r="AV195" s="41">
        <f>LicenseeSelect!AV288</f>
        <v>0</v>
      </c>
      <c r="AW195" s="41">
        <f>LicenseeSelect!AW288</f>
        <v>0</v>
      </c>
      <c r="AX195" s="41">
        <f>LicenseeSelect!AX288</f>
        <v>0</v>
      </c>
      <c r="AY195" s="206">
        <f>LicenseeSelect!AY288</f>
        <v>0</v>
      </c>
      <c r="BA195" s="34" t="str">
        <f t="shared" ca="1" si="15"/>
        <v>VariantAllowances</v>
      </c>
      <c r="BB195" s="34" t="str">
        <f t="shared" si="14"/>
        <v>Variant allowances detailed calculation</v>
      </c>
      <c r="BC195" s="34" t="str">
        <f t="shared" si="12"/>
        <v>Variant allowances percentage allocation</v>
      </c>
    </row>
    <row r="196" spans="5:55" x14ac:dyDescent="0.35">
      <c r="E196" s="195" t="str">
        <f>LicenseeSelect!E289</f>
        <v>PCD_WWU.9 - HS009 (WWU_WWU) / Pipeline Replacements PCD (WWU)</v>
      </c>
      <c r="F196" s="207">
        <f>LicenseeSelect!F289</f>
        <v>0</v>
      </c>
      <c r="G196" s="196" t="s">
        <v>109</v>
      </c>
      <c r="H196" s="196" t="str">
        <f>LicenseeSelect!H289</f>
        <v>Repex</v>
      </c>
      <c r="I196" s="196"/>
      <c r="J196" s="196"/>
      <c r="K196" s="196"/>
      <c r="L196" s="196"/>
      <c r="M196" s="196"/>
      <c r="N196" s="196"/>
      <c r="O196" s="196"/>
      <c r="P196" s="196"/>
      <c r="Q196" s="196"/>
      <c r="R196" s="196"/>
      <c r="S196" s="196"/>
      <c r="T196" s="196"/>
      <c r="U196" s="196"/>
      <c r="V196" s="196"/>
      <c r="W196" s="196"/>
      <c r="X196" s="196"/>
      <c r="Y196" s="196"/>
      <c r="Z196" s="196"/>
      <c r="AA196" s="196"/>
      <c r="AB196" s="196"/>
      <c r="AC196" s="196"/>
      <c r="AD196" s="196"/>
      <c r="AE196" s="196"/>
      <c r="AF196" s="196"/>
      <c r="AG196" s="196"/>
      <c r="AH196" s="196"/>
      <c r="AI196" s="196"/>
      <c r="AJ196" s="196"/>
      <c r="AK196" s="196"/>
      <c r="AL196" s="196"/>
      <c r="AM196" s="196"/>
      <c r="AN196" s="196"/>
      <c r="AO196" s="196"/>
      <c r="AP196" s="196"/>
      <c r="AQ196" s="196"/>
      <c r="AR196" s="196"/>
      <c r="AS196" s="196"/>
      <c r="AT196" s="208"/>
      <c r="AU196" s="209">
        <f>LicenseeSelect!AU289</f>
        <v>0</v>
      </c>
      <c r="AV196" s="210">
        <f>LicenseeSelect!AV289</f>
        <v>0</v>
      </c>
      <c r="AW196" s="210">
        <f>LicenseeSelect!AW289</f>
        <v>0</v>
      </c>
      <c r="AX196" s="210">
        <f>LicenseeSelect!AX289</f>
        <v>0</v>
      </c>
      <c r="AY196" s="211">
        <f>LicenseeSelect!AY289</f>
        <v>0</v>
      </c>
      <c r="BA196" s="34" t="str">
        <f t="shared" ca="1" si="15"/>
        <v>VariantAllowances</v>
      </c>
      <c r="BB196" s="34" t="str">
        <f t="shared" si="14"/>
        <v>Variant allowances detailed calculation</v>
      </c>
      <c r="BC196" s="34" t="str">
        <f t="shared" si="12"/>
        <v>Variant allowances percentage allocation</v>
      </c>
    </row>
    <row r="197" spans="5:55" x14ac:dyDescent="0.35">
      <c r="E197" s="187" t="str">
        <f>LicenseeSelect!E290</f>
        <v>PCD_WWU.9 - HS010 (WWU_WWU) / Pipeline Replacements PCD (WWU)</v>
      </c>
      <c r="F197" s="201">
        <f>LicenseeSelect!F290</f>
        <v>0</v>
      </c>
      <c r="G197" s="188" t="s">
        <v>109</v>
      </c>
      <c r="H197" s="188" t="str">
        <f>LicenseeSelect!H290</f>
        <v>Load related capex</v>
      </c>
      <c r="I197" s="188"/>
      <c r="J197" s="188"/>
      <c r="K197" s="188"/>
      <c r="L197" s="188"/>
      <c r="M197" s="188"/>
      <c r="N197" s="188"/>
      <c r="O197" s="188"/>
      <c r="P197" s="188"/>
      <c r="Q197" s="188"/>
      <c r="R197" s="188"/>
      <c r="S197" s="188"/>
      <c r="T197" s="188"/>
      <c r="U197" s="188"/>
      <c r="V197" s="188"/>
      <c r="W197" s="188"/>
      <c r="X197" s="188"/>
      <c r="Y197" s="188"/>
      <c r="Z197" s="188"/>
      <c r="AA197" s="188"/>
      <c r="AB197" s="188"/>
      <c r="AC197" s="188"/>
      <c r="AD197" s="188"/>
      <c r="AE197" s="188"/>
      <c r="AF197" s="188"/>
      <c r="AG197" s="188"/>
      <c r="AH197" s="188"/>
      <c r="AI197" s="188"/>
      <c r="AJ197" s="188"/>
      <c r="AK197" s="188"/>
      <c r="AL197" s="188"/>
      <c r="AM197" s="188"/>
      <c r="AN197" s="188"/>
      <c r="AO197" s="188"/>
      <c r="AP197" s="188"/>
      <c r="AQ197" s="188"/>
      <c r="AR197" s="188"/>
      <c r="AS197" s="188"/>
      <c r="AT197" s="202"/>
      <c r="AU197" s="203">
        <f>LicenseeSelect!AU290</f>
        <v>0</v>
      </c>
      <c r="AV197" s="204">
        <f>LicenseeSelect!AV290</f>
        <v>0</v>
      </c>
      <c r="AW197" s="204">
        <f>LicenseeSelect!AW290</f>
        <v>0</v>
      </c>
      <c r="AX197" s="204">
        <f>LicenseeSelect!AX290</f>
        <v>0</v>
      </c>
      <c r="AY197" s="205">
        <f>LicenseeSelect!AY290</f>
        <v>0</v>
      </c>
      <c r="BA197" s="34" t="str">
        <f t="shared" ca="1" si="15"/>
        <v>VariantAllowances</v>
      </c>
      <c r="BB197" s="34" t="str">
        <f t="shared" si="14"/>
        <v>Variant allowances detailed calculation</v>
      </c>
      <c r="BC197" s="34" t="str">
        <f t="shared" si="12"/>
        <v>Variant allowances percentage allocation</v>
      </c>
    </row>
    <row r="198" spans="5:55" x14ac:dyDescent="0.35">
      <c r="E198" s="193" t="str">
        <f>LicenseeSelect!E291</f>
        <v>PCD_WWU.9 - HS010 (WWU_WWU) / Pipeline Replacements PCD (WWU)</v>
      </c>
      <c r="F198" s="126">
        <f>LicenseeSelect!F291</f>
        <v>0</v>
      </c>
      <c r="G198" s="33" t="s">
        <v>109</v>
      </c>
      <c r="H198" s="33" t="str">
        <f>LicenseeSelect!H291</f>
        <v>Non-load related capex - other</v>
      </c>
      <c r="AU198" s="162">
        <f>LicenseeSelect!AU291</f>
        <v>1</v>
      </c>
      <c r="AV198" s="41">
        <f>LicenseeSelect!AV291</f>
        <v>1</v>
      </c>
      <c r="AW198" s="41">
        <f>LicenseeSelect!AW291</f>
        <v>1</v>
      </c>
      <c r="AX198" s="41">
        <f>LicenseeSelect!AX291</f>
        <v>1</v>
      </c>
      <c r="AY198" s="206">
        <f>LicenseeSelect!AY291</f>
        <v>1</v>
      </c>
      <c r="BA198" s="34" t="str">
        <f t="shared" ca="1" si="15"/>
        <v>VariantAllowances</v>
      </c>
      <c r="BB198" s="34" t="str">
        <f t="shared" si="14"/>
        <v>Variant allowances detailed calculation</v>
      </c>
      <c r="BC198" s="34" t="str">
        <f t="shared" si="12"/>
        <v>Variant allowances percentage allocation</v>
      </c>
    </row>
    <row r="199" spans="5:55" x14ac:dyDescent="0.35">
      <c r="E199" s="193" t="str">
        <f>LicenseeSelect!E292</f>
        <v>PCD_WWU.9 - HS010 (WWU_WWU) / Pipeline Replacements PCD (WWU)</v>
      </c>
      <c r="F199" s="126">
        <f>LicenseeSelect!F292</f>
        <v>0</v>
      </c>
      <c r="G199" s="33" t="s">
        <v>109</v>
      </c>
      <c r="H199" s="33" t="str">
        <f>LicenseeSelect!H292</f>
        <v>Business support (opex)</v>
      </c>
      <c r="AU199" s="162">
        <f>LicenseeSelect!AU292</f>
        <v>0</v>
      </c>
      <c r="AV199" s="41">
        <f>LicenseeSelect!AV292</f>
        <v>0</v>
      </c>
      <c r="AW199" s="41">
        <f>LicenseeSelect!AW292</f>
        <v>0</v>
      </c>
      <c r="AX199" s="41">
        <f>LicenseeSelect!AX292</f>
        <v>0</v>
      </c>
      <c r="AY199" s="206">
        <f>LicenseeSelect!AY292</f>
        <v>0</v>
      </c>
      <c r="BA199" s="34" t="str">
        <f t="shared" ca="1" si="15"/>
        <v>VariantAllowances</v>
      </c>
      <c r="BB199" s="34" t="str">
        <f t="shared" si="14"/>
        <v>Variant allowances detailed calculation</v>
      </c>
      <c r="BC199" s="34" t="str">
        <f t="shared" si="12"/>
        <v>Variant allowances percentage allocation</v>
      </c>
    </row>
    <row r="200" spans="5:55" x14ac:dyDescent="0.35">
      <c r="E200" s="193" t="str">
        <f>LicenseeSelect!E293</f>
        <v>PCD_WWU.9 - HS010 (WWU_WWU) / Pipeline Replacements PCD (WWU)</v>
      </c>
      <c r="F200" s="126">
        <f>LicenseeSelect!F293</f>
        <v>0</v>
      </c>
      <c r="G200" s="33" t="s">
        <v>109</v>
      </c>
      <c r="H200" s="33" t="str">
        <f>LicenseeSelect!H293</f>
        <v>Directs opex</v>
      </c>
      <c r="AU200" s="162">
        <f>LicenseeSelect!AU293</f>
        <v>0</v>
      </c>
      <c r="AV200" s="41">
        <f>LicenseeSelect!AV293</f>
        <v>0</v>
      </c>
      <c r="AW200" s="41">
        <f>LicenseeSelect!AW293</f>
        <v>0</v>
      </c>
      <c r="AX200" s="41">
        <f>LicenseeSelect!AX293</f>
        <v>0</v>
      </c>
      <c r="AY200" s="206">
        <f>LicenseeSelect!AY293</f>
        <v>0</v>
      </c>
      <c r="BA200" s="34" t="str">
        <f t="shared" ca="1" si="15"/>
        <v>VariantAllowances</v>
      </c>
      <c r="BB200" s="34" t="str">
        <f t="shared" si="14"/>
        <v>Variant allowances detailed calculation</v>
      </c>
      <c r="BC200" s="34" t="str">
        <f t="shared" si="12"/>
        <v>Variant allowances percentage allocation</v>
      </c>
    </row>
    <row r="201" spans="5:55" x14ac:dyDescent="0.35">
      <c r="E201" s="195" t="str">
        <f>LicenseeSelect!E294</f>
        <v>PCD_WWU.9 - HS010 (WWU_WWU) / Pipeline Replacements PCD (WWU)</v>
      </c>
      <c r="F201" s="207">
        <f>LicenseeSelect!F294</f>
        <v>0</v>
      </c>
      <c r="G201" s="196" t="s">
        <v>109</v>
      </c>
      <c r="H201" s="196" t="str">
        <f>LicenseeSelect!H294</f>
        <v>Repex</v>
      </c>
      <c r="I201" s="196"/>
      <c r="J201" s="196"/>
      <c r="K201" s="196"/>
      <c r="L201" s="196"/>
      <c r="M201" s="196"/>
      <c r="N201" s="196"/>
      <c r="O201" s="196"/>
      <c r="P201" s="196"/>
      <c r="Q201" s="196"/>
      <c r="R201" s="196"/>
      <c r="S201" s="196"/>
      <c r="T201" s="196"/>
      <c r="U201" s="196"/>
      <c r="V201" s="196"/>
      <c r="W201" s="196"/>
      <c r="X201" s="196"/>
      <c r="Y201" s="196"/>
      <c r="Z201" s="196"/>
      <c r="AA201" s="196"/>
      <c r="AB201" s="196"/>
      <c r="AC201" s="196"/>
      <c r="AD201" s="196"/>
      <c r="AE201" s="196"/>
      <c r="AF201" s="196"/>
      <c r="AG201" s="196"/>
      <c r="AH201" s="196"/>
      <c r="AI201" s="196"/>
      <c r="AJ201" s="196"/>
      <c r="AK201" s="196"/>
      <c r="AL201" s="196"/>
      <c r="AM201" s="196"/>
      <c r="AN201" s="196"/>
      <c r="AO201" s="196"/>
      <c r="AP201" s="196"/>
      <c r="AQ201" s="196"/>
      <c r="AR201" s="196"/>
      <c r="AS201" s="196"/>
      <c r="AT201" s="208"/>
      <c r="AU201" s="209">
        <f>LicenseeSelect!AU294</f>
        <v>0</v>
      </c>
      <c r="AV201" s="210">
        <f>LicenseeSelect!AV294</f>
        <v>0</v>
      </c>
      <c r="AW201" s="210">
        <f>LicenseeSelect!AW294</f>
        <v>0</v>
      </c>
      <c r="AX201" s="210">
        <f>LicenseeSelect!AX294</f>
        <v>0</v>
      </c>
      <c r="AY201" s="211">
        <f>LicenseeSelect!AY294</f>
        <v>0</v>
      </c>
      <c r="BA201" s="34" t="str">
        <f t="shared" ca="1" si="15"/>
        <v>VariantAllowances</v>
      </c>
      <c r="BB201" s="34" t="str">
        <f t="shared" si="14"/>
        <v>Variant allowances detailed calculation</v>
      </c>
      <c r="BC201" s="34" t="str">
        <f t="shared" si="12"/>
        <v>Variant allowances percentage allocation</v>
      </c>
    </row>
    <row r="202" spans="5:55" x14ac:dyDescent="0.35">
      <c r="E202" s="187" t="str">
        <f>LicenseeSelect!E295</f>
        <v>PCD_Mandated Category 3 Security (Cadent_all)</v>
      </c>
      <c r="F202" s="201">
        <f>LicenseeSelect!F295</f>
        <v>0</v>
      </c>
      <c r="G202" s="188" t="s">
        <v>109</v>
      </c>
      <c r="H202" s="188" t="str">
        <f>LicenseeSelect!H295</f>
        <v>Load related capex</v>
      </c>
      <c r="I202" s="188"/>
      <c r="J202" s="188"/>
      <c r="K202" s="188"/>
      <c r="L202" s="188"/>
      <c r="M202" s="188"/>
      <c r="N202" s="188"/>
      <c r="O202" s="188"/>
      <c r="P202" s="188"/>
      <c r="Q202" s="188"/>
      <c r="R202" s="188"/>
      <c r="S202" s="188"/>
      <c r="T202" s="188"/>
      <c r="U202" s="188"/>
      <c r="V202" s="188"/>
      <c r="W202" s="188"/>
      <c r="X202" s="188"/>
      <c r="Y202" s="188"/>
      <c r="Z202" s="188"/>
      <c r="AA202" s="188"/>
      <c r="AB202" s="188"/>
      <c r="AC202" s="188"/>
      <c r="AD202" s="188"/>
      <c r="AE202" s="188"/>
      <c r="AF202" s="188"/>
      <c r="AG202" s="188"/>
      <c r="AH202" s="188"/>
      <c r="AI202" s="188"/>
      <c r="AJ202" s="188"/>
      <c r="AK202" s="188"/>
      <c r="AL202" s="188"/>
      <c r="AM202" s="188"/>
      <c r="AN202" s="188"/>
      <c r="AO202" s="188"/>
      <c r="AP202" s="188"/>
      <c r="AQ202" s="188"/>
      <c r="AR202" s="188"/>
      <c r="AS202" s="188"/>
      <c r="AT202" s="202"/>
      <c r="AU202" s="203">
        <f>LicenseeSelect!AU295</f>
        <v>0</v>
      </c>
      <c r="AV202" s="204">
        <f>LicenseeSelect!AV295</f>
        <v>0</v>
      </c>
      <c r="AW202" s="204">
        <f>LicenseeSelect!AW295</f>
        <v>0</v>
      </c>
      <c r="AX202" s="204">
        <f>LicenseeSelect!AX295</f>
        <v>0</v>
      </c>
      <c r="AY202" s="205">
        <f>LicenseeSelect!AY295</f>
        <v>0</v>
      </c>
      <c r="BA202" s="34" t="str">
        <f t="shared" ca="1" si="15"/>
        <v>VariantAllowances</v>
      </c>
      <c r="BB202" s="34" t="str">
        <f t="shared" si="14"/>
        <v>Variant allowances detailed calculation</v>
      </c>
      <c r="BC202" s="34" t="str">
        <f t="shared" si="12"/>
        <v>Variant allowances percentage allocation</v>
      </c>
    </row>
    <row r="203" spans="5:55" x14ac:dyDescent="0.35">
      <c r="E203" s="193" t="str">
        <f>LicenseeSelect!E296</f>
        <v>PCD_Mandated Category 3 Security (Cadent_all)</v>
      </c>
      <c r="F203" s="126">
        <f>LicenseeSelect!F296</f>
        <v>0</v>
      </c>
      <c r="G203" s="33" t="s">
        <v>109</v>
      </c>
      <c r="H203" s="33" t="str">
        <f>LicenseeSelect!H296</f>
        <v>Non-load related capex - other</v>
      </c>
      <c r="AU203" s="162">
        <f>LicenseeSelect!AU296</f>
        <v>1</v>
      </c>
      <c r="AV203" s="41">
        <f>LicenseeSelect!AV296</f>
        <v>1</v>
      </c>
      <c r="AW203" s="41">
        <f>LicenseeSelect!AW296</f>
        <v>1</v>
      </c>
      <c r="AX203" s="41">
        <f>LicenseeSelect!AX296</f>
        <v>1</v>
      </c>
      <c r="AY203" s="206">
        <f>LicenseeSelect!AY296</f>
        <v>1</v>
      </c>
      <c r="BA203" s="34" t="str">
        <f t="shared" ca="1" si="15"/>
        <v>VariantAllowances</v>
      </c>
      <c r="BB203" s="34" t="str">
        <f t="shared" si="14"/>
        <v>Variant allowances detailed calculation</v>
      </c>
      <c r="BC203" s="34" t="str">
        <f t="shared" si="12"/>
        <v>Variant allowances percentage allocation</v>
      </c>
    </row>
    <row r="204" spans="5:55" x14ac:dyDescent="0.35">
      <c r="E204" s="193" t="str">
        <f>LicenseeSelect!E297</f>
        <v>PCD_Mandated Category 3 Security (Cadent_all)</v>
      </c>
      <c r="F204" s="126">
        <f>LicenseeSelect!F297</f>
        <v>0</v>
      </c>
      <c r="G204" s="33" t="s">
        <v>109</v>
      </c>
      <c r="H204" s="33" t="str">
        <f>LicenseeSelect!H297</f>
        <v>Business support (opex)</v>
      </c>
      <c r="AU204" s="162">
        <f>LicenseeSelect!AU297</f>
        <v>0</v>
      </c>
      <c r="AV204" s="41">
        <f>LicenseeSelect!AV297</f>
        <v>0</v>
      </c>
      <c r="AW204" s="41">
        <f>LicenseeSelect!AW297</f>
        <v>0</v>
      </c>
      <c r="AX204" s="41">
        <f>LicenseeSelect!AX297</f>
        <v>0</v>
      </c>
      <c r="AY204" s="206">
        <f>LicenseeSelect!AY297</f>
        <v>0</v>
      </c>
      <c r="BA204" s="34" t="str">
        <f t="shared" ca="1" si="15"/>
        <v>VariantAllowances</v>
      </c>
      <c r="BB204" s="34" t="str">
        <f t="shared" ref="BB204:BB230" si="16">$A$363</f>
        <v>Variant allowances detailed calculation</v>
      </c>
      <c r="BC204" s="34" t="str">
        <f t="shared" si="12"/>
        <v>Variant allowances percentage allocation</v>
      </c>
    </row>
    <row r="205" spans="5:55" x14ac:dyDescent="0.35">
      <c r="E205" s="193" t="str">
        <f>LicenseeSelect!E298</f>
        <v>PCD_Mandated Category 3 Security (Cadent_all)</v>
      </c>
      <c r="F205" s="126">
        <f>LicenseeSelect!F298</f>
        <v>0</v>
      </c>
      <c r="G205" s="33" t="s">
        <v>109</v>
      </c>
      <c r="H205" s="33" t="str">
        <f>LicenseeSelect!H298</f>
        <v>Directs opex</v>
      </c>
      <c r="AU205" s="162">
        <f>LicenseeSelect!AU298</f>
        <v>0</v>
      </c>
      <c r="AV205" s="41">
        <f>LicenseeSelect!AV298</f>
        <v>0</v>
      </c>
      <c r="AW205" s="41">
        <f>LicenseeSelect!AW298</f>
        <v>0</v>
      </c>
      <c r="AX205" s="41">
        <f>LicenseeSelect!AX298</f>
        <v>0</v>
      </c>
      <c r="AY205" s="206">
        <f>LicenseeSelect!AY298</f>
        <v>0</v>
      </c>
      <c r="BA205" s="34" t="str">
        <f t="shared" ca="1" si="15"/>
        <v>VariantAllowances</v>
      </c>
      <c r="BB205" s="34" t="str">
        <f t="shared" si="16"/>
        <v>Variant allowances detailed calculation</v>
      </c>
      <c r="BC205" s="34" t="str">
        <f t="shared" si="12"/>
        <v>Variant allowances percentage allocation</v>
      </c>
    </row>
    <row r="206" spans="5:55" x14ac:dyDescent="0.35">
      <c r="E206" s="195" t="str">
        <f>LicenseeSelect!E299</f>
        <v>PCD_Mandated Category 3 Security (Cadent_all)</v>
      </c>
      <c r="F206" s="207">
        <f>LicenseeSelect!F299</f>
        <v>0</v>
      </c>
      <c r="G206" s="196" t="s">
        <v>109</v>
      </c>
      <c r="H206" s="196" t="str">
        <f>LicenseeSelect!H299</f>
        <v>Repex</v>
      </c>
      <c r="I206" s="196"/>
      <c r="J206" s="196"/>
      <c r="K206" s="196"/>
      <c r="L206" s="196"/>
      <c r="M206" s="196"/>
      <c r="N206" s="196"/>
      <c r="O206" s="196"/>
      <c r="P206" s="196"/>
      <c r="Q206" s="196"/>
      <c r="R206" s="196"/>
      <c r="S206" s="196"/>
      <c r="T206" s="196"/>
      <c r="U206" s="196"/>
      <c r="V206" s="196"/>
      <c r="W206" s="196"/>
      <c r="X206" s="196"/>
      <c r="Y206" s="196"/>
      <c r="Z206" s="196"/>
      <c r="AA206" s="196"/>
      <c r="AB206" s="196"/>
      <c r="AC206" s="196"/>
      <c r="AD206" s="196"/>
      <c r="AE206" s="196"/>
      <c r="AF206" s="196"/>
      <c r="AG206" s="196"/>
      <c r="AH206" s="196"/>
      <c r="AI206" s="196"/>
      <c r="AJ206" s="196"/>
      <c r="AK206" s="196"/>
      <c r="AL206" s="196"/>
      <c r="AM206" s="196"/>
      <c r="AN206" s="196"/>
      <c r="AO206" s="196"/>
      <c r="AP206" s="196"/>
      <c r="AQ206" s="196"/>
      <c r="AR206" s="196"/>
      <c r="AS206" s="196"/>
      <c r="AT206" s="208"/>
      <c r="AU206" s="209">
        <f>LicenseeSelect!AU299</f>
        <v>0</v>
      </c>
      <c r="AV206" s="210">
        <f>LicenseeSelect!AV299</f>
        <v>0</v>
      </c>
      <c r="AW206" s="210">
        <f>LicenseeSelect!AW299</f>
        <v>0</v>
      </c>
      <c r="AX206" s="210">
        <f>LicenseeSelect!AX299</f>
        <v>0</v>
      </c>
      <c r="AY206" s="211">
        <f>LicenseeSelect!AY299</f>
        <v>0</v>
      </c>
      <c r="BA206" s="34" t="str">
        <f t="shared" ca="1" si="15"/>
        <v>VariantAllowances</v>
      </c>
      <c r="BB206" s="34" t="str">
        <f t="shared" si="16"/>
        <v>Variant allowances detailed calculation</v>
      </c>
      <c r="BC206" s="34" t="str">
        <f t="shared" si="12"/>
        <v>Variant allowances percentage allocation</v>
      </c>
    </row>
    <row r="207" spans="5:55" x14ac:dyDescent="0.35">
      <c r="E207" s="187" t="str">
        <f>LicenseeSelect!E300</f>
        <v>VD_GSIUR Disconnections Volume Driver</v>
      </c>
      <c r="F207" s="201">
        <f>LicenseeSelect!F300</f>
        <v>0</v>
      </c>
      <c r="G207" s="188" t="s">
        <v>109</v>
      </c>
      <c r="H207" s="188" t="str">
        <f>LicenseeSelect!H300</f>
        <v>Load related capex</v>
      </c>
      <c r="I207" s="188"/>
      <c r="J207" s="188"/>
      <c r="K207" s="188"/>
      <c r="L207" s="188"/>
      <c r="M207" s="188"/>
      <c r="N207" s="188"/>
      <c r="O207" s="188"/>
      <c r="P207" s="188"/>
      <c r="Q207" s="188"/>
      <c r="R207" s="188"/>
      <c r="S207" s="188"/>
      <c r="T207" s="188"/>
      <c r="U207" s="188"/>
      <c r="V207" s="188"/>
      <c r="W207" s="188"/>
      <c r="X207" s="188"/>
      <c r="Y207" s="188"/>
      <c r="Z207" s="188"/>
      <c r="AA207" s="188"/>
      <c r="AB207" s="188"/>
      <c r="AC207" s="188"/>
      <c r="AD207" s="188"/>
      <c r="AE207" s="188"/>
      <c r="AF207" s="188"/>
      <c r="AG207" s="188"/>
      <c r="AH207" s="188"/>
      <c r="AI207" s="188"/>
      <c r="AJ207" s="188"/>
      <c r="AK207" s="188"/>
      <c r="AL207" s="188"/>
      <c r="AM207" s="188"/>
      <c r="AN207" s="188"/>
      <c r="AO207" s="188"/>
      <c r="AP207" s="188"/>
      <c r="AQ207" s="188"/>
      <c r="AR207" s="188"/>
      <c r="AS207" s="188"/>
      <c r="AT207" s="202"/>
      <c r="AU207" s="203">
        <f>LicenseeSelect!AU300</f>
        <v>0</v>
      </c>
      <c r="AV207" s="204">
        <f>LicenseeSelect!AV300</f>
        <v>0</v>
      </c>
      <c r="AW207" s="204">
        <f>LicenseeSelect!AW300</f>
        <v>0</v>
      </c>
      <c r="AX207" s="204">
        <f>LicenseeSelect!AX300</f>
        <v>0</v>
      </c>
      <c r="AY207" s="205">
        <f>LicenseeSelect!AY300</f>
        <v>0</v>
      </c>
      <c r="BA207" s="34" t="str">
        <f t="shared" ca="1" si="15"/>
        <v>VariantAllowances</v>
      </c>
      <c r="BB207" s="34" t="str">
        <f t="shared" si="16"/>
        <v>Variant allowances detailed calculation</v>
      </c>
      <c r="BC207" s="34" t="str">
        <f t="shared" si="12"/>
        <v>Variant allowances percentage allocation</v>
      </c>
    </row>
    <row r="208" spans="5:55" x14ac:dyDescent="0.35">
      <c r="E208" s="193" t="str">
        <f>LicenseeSelect!E301</f>
        <v>VD_GSIUR Disconnections Volume Driver</v>
      </c>
      <c r="F208" s="126">
        <f>LicenseeSelect!F301</f>
        <v>0</v>
      </c>
      <c r="G208" s="33" t="s">
        <v>109</v>
      </c>
      <c r="H208" s="33" t="str">
        <f>LicenseeSelect!H301</f>
        <v>Non-load related capex - other</v>
      </c>
      <c r="AU208" s="162">
        <f>LicenseeSelect!AU301</f>
        <v>0</v>
      </c>
      <c r="AV208" s="41">
        <f>LicenseeSelect!AV301</f>
        <v>0</v>
      </c>
      <c r="AW208" s="41">
        <f>LicenseeSelect!AW301</f>
        <v>0</v>
      </c>
      <c r="AX208" s="41">
        <f>LicenseeSelect!AX301</f>
        <v>0</v>
      </c>
      <c r="AY208" s="206">
        <f>LicenseeSelect!AY301</f>
        <v>0</v>
      </c>
      <c r="BA208" s="34" t="str">
        <f t="shared" ca="1" si="15"/>
        <v>VariantAllowances</v>
      </c>
      <c r="BB208" s="34" t="str">
        <f t="shared" si="16"/>
        <v>Variant allowances detailed calculation</v>
      </c>
      <c r="BC208" s="34" t="str">
        <f t="shared" si="12"/>
        <v>Variant allowances percentage allocation</v>
      </c>
    </row>
    <row r="209" spans="5:55" x14ac:dyDescent="0.35">
      <c r="E209" s="193" t="str">
        <f>LicenseeSelect!E302</f>
        <v>VD_GSIUR Disconnections Volume Driver</v>
      </c>
      <c r="F209" s="126">
        <f>LicenseeSelect!F302</f>
        <v>0</v>
      </c>
      <c r="G209" s="33" t="s">
        <v>109</v>
      </c>
      <c r="H209" s="33" t="str">
        <f>LicenseeSelect!H302</f>
        <v>Business support (opex)</v>
      </c>
      <c r="AU209" s="162">
        <f>LicenseeSelect!AU302</f>
        <v>0</v>
      </c>
      <c r="AV209" s="41">
        <f>LicenseeSelect!AV302</f>
        <v>0</v>
      </c>
      <c r="AW209" s="41">
        <f>LicenseeSelect!AW302</f>
        <v>0</v>
      </c>
      <c r="AX209" s="41">
        <f>LicenseeSelect!AX302</f>
        <v>0</v>
      </c>
      <c r="AY209" s="206">
        <f>LicenseeSelect!AY302</f>
        <v>0</v>
      </c>
      <c r="BA209" s="34" t="str">
        <f t="shared" ca="1" si="15"/>
        <v>VariantAllowances</v>
      </c>
      <c r="BB209" s="34" t="str">
        <f t="shared" si="16"/>
        <v>Variant allowances detailed calculation</v>
      </c>
      <c r="BC209" s="34" t="str">
        <f t="shared" si="12"/>
        <v>Variant allowances percentage allocation</v>
      </c>
    </row>
    <row r="210" spans="5:55" x14ac:dyDescent="0.35">
      <c r="E210" s="193" t="str">
        <f>LicenseeSelect!E303</f>
        <v>VD_GSIUR Disconnections Volume Driver</v>
      </c>
      <c r="F210" s="126">
        <f>LicenseeSelect!F303</f>
        <v>0</v>
      </c>
      <c r="G210" s="33" t="s">
        <v>109</v>
      </c>
      <c r="H210" s="33" t="str">
        <f>LicenseeSelect!H303</f>
        <v>Directs opex</v>
      </c>
      <c r="AU210" s="162">
        <f>LicenseeSelect!AU303</f>
        <v>1</v>
      </c>
      <c r="AV210" s="41">
        <f>LicenseeSelect!AV303</f>
        <v>1</v>
      </c>
      <c r="AW210" s="41">
        <f>LicenseeSelect!AW303</f>
        <v>1</v>
      </c>
      <c r="AX210" s="41">
        <f>LicenseeSelect!AX303</f>
        <v>1</v>
      </c>
      <c r="AY210" s="206">
        <f>LicenseeSelect!AY303</f>
        <v>1</v>
      </c>
      <c r="BA210" s="34" t="str">
        <f t="shared" ca="1" si="15"/>
        <v>VariantAllowances</v>
      </c>
      <c r="BB210" s="34" t="str">
        <f t="shared" si="16"/>
        <v>Variant allowances detailed calculation</v>
      </c>
      <c r="BC210" s="34" t="str">
        <f t="shared" si="12"/>
        <v>Variant allowances percentage allocation</v>
      </c>
    </row>
    <row r="211" spans="5:55" x14ac:dyDescent="0.35">
      <c r="E211" s="195" t="str">
        <f>LicenseeSelect!E304</f>
        <v>VD_GSIUR Disconnections Volume Driver</v>
      </c>
      <c r="F211" s="207">
        <f>LicenseeSelect!F304</f>
        <v>0</v>
      </c>
      <c r="G211" s="196" t="s">
        <v>109</v>
      </c>
      <c r="H211" s="196" t="str">
        <f>LicenseeSelect!H304</f>
        <v>Repex</v>
      </c>
      <c r="I211" s="196"/>
      <c r="J211" s="196"/>
      <c r="K211" s="196"/>
      <c r="L211" s="196"/>
      <c r="M211" s="196"/>
      <c r="N211" s="196"/>
      <c r="O211" s="196"/>
      <c r="P211" s="196"/>
      <c r="Q211" s="196"/>
      <c r="R211" s="196"/>
      <c r="S211" s="196"/>
      <c r="T211" s="196"/>
      <c r="U211" s="196"/>
      <c r="V211" s="196"/>
      <c r="W211" s="196"/>
      <c r="X211" s="196"/>
      <c r="Y211" s="196"/>
      <c r="Z211" s="196"/>
      <c r="AA211" s="196"/>
      <c r="AB211" s="196"/>
      <c r="AC211" s="196"/>
      <c r="AD211" s="196"/>
      <c r="AE211" s="196"/>
      <c r="AF211" s="196"/>
      <c r="AG211" s="196"/>
      <c r="AH211" s="196"/>
      <c r="AI211" s="196"/>
      <c r="AJ211" s="196"/>
      <c r="AK211" s="196"/>
      <c r="AL211" s="196"/>
      <c r="AM211" s="196"/>
      <c r="AN211" s="196"/>
      <c r="AO211" s="196"/>
      <c r="AP211" s="196"/>
      <c r="AQ211" s="196"/>
      <c r="AR211" s="196"/>
      <c r="AS211" s="196"/>
      <c r="AT211" s="208"/>
      <c r="AU211" s="209">
        <f>LicenseeSelect!AU304</f>
        <v>0</v>
      </c>
      <c r="AV211" s="210">
        <f>LicenseeSelect!AV304</f>
        <v>0</v>
      </c>
      <c r="AW211" s="210">
        <f>LicenseeSelect!AW304</f>
        <v>0</v>
      </c>
      <c r="AX211" s="210">
        <f>LicenseeSelect!AX304</f>
        <v>0</v>
      </c>
      <c r="AY211" s="211">
        <f>LicenseeSelect!AY304</f>
        <v>0</v>
      </c>
      <c r="BA211" s="34" t="str">
        <f t="shared" ca="1" si="15"/>
        <v>VariantAllowances</v>
      </c>
      <c r="BB211" s="34" t="str">
        <f t="shared" si="16"/>
        <v>Variant allowances detailed calculation</v>
      </c>
      <c r="BC211" s="34" t="str">
        <f t="shared" si="12"/>
        <v>Variant allowances percentage allocation</v>
      </c>
    </row>
    <row r="212" spans="5:55" x14ac:dyDescent="0.35">
      <c r="E212" s="187" t="str">
        <f>LicenseeSelect!E305</f>
        <v>VD_[spare slot]</v>
      </c>
      <c r="F212" s="201">
        <f>LicenseeSelect!F305</f>
        <v>0</v>
      </c>
      <c r="G212" s="188" t="s">
        <v>109</v>
      </c>
      <c r="H212" s="188" t="str">
        <f>LicenseeSelect!H305</f>
        <v>Load related capex</v>
      </c>
      <c r="I212" s="188"/>
      <c r="J212" s="188"/>
      <c r="K212" s="188"/>
      <c r="L212" s="188"/>
      <c r="M212" s="188"/>
      <c r="N212" s="188"/>
      <c r="O212" s="188"/>
      <c r="P212" s="188"/>
      <c r="Q212" s="188"/>
      <c r="R212" s="188"/>
      <c r="S212" s="188"/>
      <c r="T212" s="188"/>
      <c r="U212" s="188"/>
      <c r="V212" s="188"/>
      <c r="W212" s="188"/>
      <c r="X212" s="188"/>
      <c r="Y212" s="188"/>
      <c r="Z212" s="188"/>
      <c r="AA212" s="188"/>
      <c r="AB212" s="188"/>
      <c r="AC212" s="188"/>
      <c r="AD212" s="188"/>
      <c r="AE212" s="188"/>
      <c r="AF212" s="188"/>
      <c r="AG212" s="188"/>
      <c r="AH212" s="188"/>
      <c r="AI212" s="188"/>
      <c r="AJ212" s="188"/>
      <c r="AK212" s="188"/>
      <c r="AL212" s="188"/>
      <c r="AM212" s="188"/>
      <c r="AN212" s="188"/>
      <c r="AO212" s="188"/>
      <c r="AP212" s="188"/>
      <c r="AQ212" s="188"/>
      <c r="AR212" s="188"/>
      <c r="AS212" s="188"/>
      <c r="AT212" s="202"/>
      <c r="AU212" s="203">
        <f>LicenseeSelect!AU305</f>
        <v>0</v>
      </c>
      <c r="AV212" s="204">
        <f>LicenseeSelect!AV305</f>
        <v>0</v>
      </c>
      <c r="AW212" s="204">
        <f>LicenseeSelect!AW305</f>
        <v>0</v>
      </c>
      <c r="AX212" s="204">
        <f>LicenseeSelect!AX305</f>
        <v>0</v>
      </c>
      <c r="AY212" s="205">
        <f>LicenseeSelect!AY305</f>
        <v>0</v>
      </c>
      <c r="BA212" s="34" t="str">
        <f t="shared" ca="1" si="15"/>
        <v>VariantAllowances</v>
      </c>
      <c r="BB212" s="34" t="str">
        <f t="shared" si="16"/>
        <v>Variant allowances detailed calculation</v>
      </c>
      <c r="BC212" s="34" t="str">
        <f t="shared" si="12"/>
        <v>Variant allowances percentage allocation</v>
      </c>
    </row>
    <row r="213" spans="5:55" x14ac:dyDescent="0.35">
      <c r="E213" s="193" t="str">
        <f>LicenseeSelect!E306</f>
        <v>VD_[spare slot]</v>
      </c>
      <c r="F213" s="126">
        <f>LicenseeSelect!F306</f>
        <v>0</v>
      </c>
      <c r="G213" s="33" t="s">
        <v>109</v>
      </c>
      <c r="H213" s="33" t="str">
        <f>LicenseeSelect!H306</f>
        <v>Non-load related capex - other</v>
      </c>
      <c r="AU213" s="162">
        <f>LicenseeSelect!AU306</f>
        <v>0</v>
      </c>
      <c r="AV213" s="41">
        <f>LicenseeSelect!AV306</f>
        <v>0</v>
      </c>
      <c r="AW213" s="41">
        <f>LicenseeSelect!AW306</f>
        <v>0</v>
      </c>
      <c r="AX213" s="41">
        <f>LicenseeSelect!AX306</f>
        <v>0</v>
      </c>
      <c r="AY213" s="206">
        <f>LicenseeSelect!AY306</f>
        <v>0</v>
      </c>
      <c r="BA213" s="34" t="str">
        <f t="shared" ca="1" si="15"/>
        <v>VariantAllowances</v>
      </c>
      <c r="BB213" s="34" t="str">
        <f t="shared" si="16"/>
        <v>Variant allowances detailed calculation</v>
      </c>
      <c r="BC213" s="34" t="str">
        <f t="shared" si="12"/>
        <v>Variant allowances percentage allocation</v>
      </c>
    </row>
    <row r="214" spans="5:55" x14ac:dyDescent="0.35">
      <c r="E214" s="193" t="str">
        <f>LicenseeSelect!E307</f>
        <v>VD_[spare slot]</v>
      </c>
      <c r="F214" s="126">
        <f>LicenseeSelect!F307</f>
        <v>0</v>
      </c>
      <c r="G214" s="33" t="s">
        <v>109</v>
      </c>
      <c r="H214" s="33" t="str">
        <f>LicenseeSelect!H307</f>
        <v>Business support (opex)</v>
      </c>
      <c r="AU214" s="162">
        <f>LicenseeSelect!AU307</f>
        <v>0</v>
      </c>
      <c r="AV214" s="41">
        <f>LicenseeSelect!AV307</f>
        <v>0</v>
      </c>
      <c r="AW214" s="41">
        <f>LicenseeSelect!AW307</f>
        <v>0</v>
      </c>
      <c r="AX214" s="41">
        <f>LicenseeSelect!AX307</f>
        <v>0</v>
      </c>
      <c r="AY214" s="206">
        <f>LicenseeSelect!AY307</f>
        <v>0</v>
      </c>
      <c r="BA214" s="34" t="str">
        <f t="shared" ca="1" si="15"/>
        <v>VariantAllowances</v>
      </c>
      <c r="BB214" s="34" t="str">
        <f t="shared" si="16"/>
        <v>Variant allowances detailed calculation</v>
      </c>
      <c r="BC214" s="34" t="str">
        <f t="shared" si="12"/>
        <v>Variant allowances percentage allocation</v>
      </c>
    </row>
    <row r="215" spans="5:55" x14ac:dyDescent="0.35">
      <c r="E215" s="193" t="str">
        <f>LicenseeSelect!E308</f>
        <v>VD_[spare slot]</v>
      </c>
      <c r="F215" s="126">
        <f>LicenseeSelect!F308</f>
        <v>0</v>
      </c>
      <c r="G215" s="33" t="s">
        <v>109</v>
      </c>
      <c r="H215" s="33" t="str">
        <f>LicenseeSelect!H308</f>
        <v>Directs opex</v>
      </c>
      <c r="AU215" s="162">
        <f>LicenseeSelect!AU308</f>
        <v>0</v>
      </c>
      <c r="AV215" s="41">
        <f>LicenseeSelect!AV308</f>
        <v>0</v>
      </c>
      <c r="AW215" s="41">
        <f>LicenseeSelect!AW308</f>
        <v>0</v>
      </c>
      <c r="AX215" s="41">
        <f>LicenseeSelect!AX308</f>
        <v>0</v>
      </c>
      <c r="AY215" s="206">
        <f>LicenseeSelect!AY308</f>
        <v>0</v>
      </c>
      <c r="BA215" s="34" t="str">
        <f t="shared" ca="1" si="15"/>
        <v>VariantAllowances</v>
      </c>
      <c r="BB215" s="34" t="str">
        <f t="shared" si="16"/>
        <v>Variant allowances detailed calculation</v>
      </c>
      <c r="BC215" s="34" t="str">
        <f t="shared" si="12"/>
        <v>Variant allowances percentage allocation</v>
      </c>
    </row>
    <row r="216" spans="5:55" x14ac:dyDescent="0.35">
      <c r="E216" s="195" t="str">
        <f>LicenseeSelect!E309</f>
        <v>VD_[spare slot]</v>
      </c>
      <c r="F216" s="207">
        <f>LicenseeSelect!F309</f>
        <v>0</v>
      </c>
      <c r="G216" s="196" t="s">
        <v>109</v>
      </c>
      <c r="H216" s="196" t="str">
        <f>LicenseeSelect!H309</f>
        <v>Repex</v>
      </c>
      <c r="I216" s="196"/>
      <c r="J216" s="196"/>
      <c r="K216" s="196"/>
      <c r="L216" s="196"/>
      <c r="M216" s="196"/>
      <c r="N216" s="196"/>
      <c r="O216" s="196"/>
      <c r="P216" s="196"/>
      <c r="Q216" s="196"/>
      <c r="R216" s="196"/>
      <c r="S216" s="196"/>
      <c r="T216" s="196"/>
      <c r="U216" s="196"/>
      <c r="V216" s="196"/>
      <c r="W216" s="196"/>
      <c r="X216" s="196"/>
      <c r="Y216" s="196"/>
      <c r="Z216" s="196"/>
      <c r="AA216" s="196"/>
      <c r="AB216" s="196"/>
      <c r="AC216" s="196"/>
      <c r="AD216" s="196"/>
      <c r="AE216" s="196"/>
      <c r="AF216" s="196"/>
      <c r="AG216" s="196"/>
      <c r="AH216" s="196"/>
      <c r="AI216" s="196"/>
      <c r="AJ216" s="196"/>
      <c r="AK216" s="196"/>
      <c r="AL216" s="196"/>
      <c r="AM216" s="196"/>
      <c r="AN216" s="196"/>
      <c r="AO216" s="196"/>
      <c r="AP216" s="196"/>
      <c r="AQ216" s="196"/>
      <c r="AR216" s="196"/>
      <c r="AS216" s="196"/>
      <c r="AT216" s="208"/>
      <c r="AU216" s="209">
        <f>LicenseeSelect!AU309</f>
        <v>0</v>
      </c>
      <c r="AV216" s="210">
        <f>LicenseeSelect!AV309</f>
        <v>0</v>
      </c>
      <c r="AW216" s="210">
        <f>LicenseeSelect!AW309</f>
        <v>0</v>
      </c>
      <c r="AX216" s="210">
        <f>LicenseeSelect!AX309</f>
        <v>0</v>
      </c>
      <c r="AY216" s="211">
        <f>LicenseeSelect!AY309</f>
        <v>0</v>
      </c>
      <c r="BA216" s="34" t="str">
        <f t="shared" ca="1" si="15"/>
        <v>VariantAllowances</v>
      </c>
      <c r="BB216" s="34" t="str">
        <f t="shared" si="16"/>
        <v>Variant allowances detailed calculation</v>
      </c>
      <c r="BC216" s="34" t="str">
        <f t="shared" si="12"/>
        <v>Variant allowances percentage allocation</v>
      </c>
    </row>
    <row r="217" spans="5:55" x14ac:dyDescent="0.35">
      <c r="E217" s="187" t="str">
        <f>LicenseeSelect!E310</f>
        <v>VD_Tier 2A Mains and Services Replacement Volume Driver</v>
      </c>
      <c r="F217" s="201">
        <f>LicenseeSelect!F310</f>
        <v>0</v>
      </c>
      <c r="G217" s="188" t="s">
        <v>109</v>
      </c>
      <c r="H217" s="188" t="str">
        <f>LicenseeSelect!H310</f>
        <v>Load related capex</v>
      </c>
      <c r="I217" s="188"/>
      <c r="J217" s="188"/>
      <c r="K217" s="188"/>
      <c r="L217" s="188"/>
      <c r="M217" s="188"/>
      <c r="N217" s="188"/>
      <c r="O217" s="188"/>
      <c r="P217" s="188"/>
      <c r="Q217" s="188"/>
      <c r="R217" s="188"/>
      <c r="S217" s="188"/>
      <c r="T217" s="188"/>
      <c r="U217" s="188"/>
      <c r="V217" s="188"/>
      <c r="W217" s="188"/>
      <c r="X217" s="188"/>
      <c r="Y217" s="188"/>
      <c r="Z217" s="188"/>
      <c r="AA217" s="188"/>
      <c r="AB217" s="188"/>
      <c r="AC217" s="188"/>
      <c r="AD217" s="188"/>
      <c r="AE217" s="188"/>
      <c r="AF217" s="188"/>
      <c r="AG217" s="188"/>
      <c r="AH217" s="188"/>
      <c r="AI217" s="188"/>
      <c r="AJ217" s="188"/>
      <c r="AK217" s="188"/>
      <c r="AL217" s="188"/>
      <c r="AM217" s="188"/>
      <c r="AN217" s="188"/>
      <c r="AO217" s="188"/>
      <c r="AP217" s="188"/>
      <c r="AQ217" s="188"/>
      <c r="AR217" s="188"/>
      <c r="AS217" s="188"/>
      <c r="AT217" s="202"/>
      <c r="AU217" s="203">
        <f>LicenseeSelect!AU310</f>
        <v>0</v>
      </c>
      <c r="AV217" s="204">
        <f>LicenseeSelect!AV310</f>
        <v>0</v>
      </c>
      <c r="AW217" s="204">
        <f>LicenseeSelect!AW310</f>
        <v>0</v>
      </c>
      <c r="AX217" s="204">
        <f>LicenseeSelect!AX310</f>
        <v>0</v>
      </c>
      <c r="AY217" s="205">
        <f>LicenseeSelect!AY310</f>
        <v>0</v>
      </c>
      <c r="BA217" s="34" t="str">
        <f t="shared" ca="1" si="15"/>
        <v>VariantAllowances</v>
      </c>
      <c r="BB217" s="34" t="str">
        <f t="shared" si="16"/>
        <v>Variant allowances detailed calculation</v>
      </c>
      <c r="BC217" s="34" t="str">
        <f t="shared" si="12"/>
        <v>Variant allowances percentage allocation</v>
      </c>
    </row>
    <row r="218" spans="5:55" x14ac:dyDescent="0.35">
      <c r="E218" s="193" t="str">
        <f>LicenseeSelect!E311</f>
        <v>VD_Tier 2A Mains and Services Replacement Volume Driver</v>
      </c>
      <c r="F218" s="126">
        <f>LicenseeSelect!F311</f>
        <v>0</v>
      </c>
      <c r="G218" s="33" t="s">
        <v>109</v>
      </c>
      <c r="H218" s="33" t="str">
        <f>LicenseeSelect!H311</f>
        <v>Non-load related capex - other</v>
      </c>
      <c r="AU218" s="162">
        <f>LicenseeSelect!AU311</f>
        <v>0</v>
      </c>
      <c r="AV218" s="41">
        <f>LicenseeSelect!AV311</f>
        <v>0</v>
      </c>
      <c r="AW218" s="41">
        <f>LicenseeSelect!AW311</f>
        <v>0</v>
      </c>
      <c r="AX218" s="41">
        <f>LicenseeSelect!AX311</f>
        <v>0</v>
      </c>
      <c r="AY218" s="206">
        <f>LicenseeSelect!AY311</f>
        <v>0</v>
      </c>
      <c r="BA218" s="34" t="str">
        <f t="shared" ca="1" si="15"/>
        <v>VariantAllowances</v>
      </c>
      <c r="BB218" s="34" t="str">
        <f t="shared" si="16"/>
        <v>Variant allowances detailed calculation</v>
      </c>
      <c r="BC218" s="34" t="str">
        <f t="shared" si="12"/>
        <v>Variant allowances percentage allocation</v>
      </c>
    </row>
    <row r="219" spans="5:55" x14ac:dyDescent="0.35">
      <c r="E219" s="193" t="str">
        <f>LicenseeSelect!E312</f>
        <v>VD_Tier 2A Mains and Services Replacement Volume Driver</v>
      </c>
      <c r="F219" s="126">
        <f>LicenseeSelect!F312</f>
        <v>0</v>
      </c>
      <c r="G219" s="33" t="s">
        <v>109</v>
      </c>
      <c r="H219" s="33" t="str">
        <f>LicenseeSelect!H312</f>
        <v>Business support (opex)</v>
      </c>
      <c r="AU219" s="162">
        <f>LicenseeSelect!AU312</f>
        <v>0</v>
      </c>
      <c r="AV219" s="41">
        <f>LicenseeSelect!AV312</f>
        <v>0</v>
      </c>
      <c r="AW219" s="41">
        <f>LicenseeSelect!AW312</f>
        <v>0</v>
      </c>
      <c r="AX219" s="41">
        <f>LicenseeSelect!AX312</f>
        <v>0</v>
      </c>
      <c r="AY219" s="206">
        <f>LicenseeSelect!AY312</f>
        <v>0</v>
      </c>
      <c r="BA219" s="34" t="str">
        <f t="shared" ca="1" si="15"/>
        <v>VariantAllowances</v>
      </c>
      <c r="BB219" s="34" t="str">
        <f t="shared" si="16"/>
        <v>Variant allowances detailed calculation</v>
      </c>
      <c r="BC219" s="34" t="str">
        <f t="shared" si="12"/>
        <v>Variant allowances percentage allocation</v>
      </c>
    </row>
    <row r="220" spans="5:55" x14ac:dyDescent="0.35">
      <c r="E220" s="193" t="str">
        <f>LicenseeSelect!E313</f>
        <v>VD_Tier 2A Mains and Services Replacement Volume Driver</v>
      </c>
      <c r="F220" s="126">
        <f>LicenseeSelect!F313</f>
        <v>0</v>
      </c>
      <c r="G220" s="33" t="s">
        <v>109</v>
      </c>
      <c r="H220" s="33" t="str">
        <f>LicenseeSelect!H313</f>
        <v>Directs opex</v>
      </c>
      <c r="AU220" s="162">
        <f>LicenseeSelect!AU313</f>
        <v>0</v>
      </c>
      <c r="AV220" s="41">
        <f>LicenseeSelect!AV313</f>
        <v>0</v>
      </c>
      <c r="AW220" s="41">
        <f>LicenseeSelect!AW313</f>
        <v>0</v>
      </c>
      <c r="AX220" s="41">
        <f>LicenseeSelect!AX313</f>
        <v>0</v>
      </c>
      <c r="AY220" s="206">
        <f>LicenseeSelect!AY313</f>
        <v>0</v>
      </c>
      <c r="BA220" s="34" t="str">
        <f t="shared" ca="1" si="15"/>
        <v>VariantAllowances</v>
      </c>
      <c r="BB220" s="34" t="str">
        <f t="shared" si="16"/>
        <v>Variant allowances detailed calculation</v>
      </c>
      <c r="BC220" s="34" t="str">
        <f t="shared" si="12"/>
        <v>Variant allowances percentage allocation</v>
      </c>
    </row>
    <row r="221" spans="5:55" x14ac:dyDescent="0.35">
      <c r="E221" s="195" t="str">
        <f>LicenseeSelect!E314</f>
        <v>VD_Tier 2A Mains and Services Replacement Volume Driver</v>
      </c>
      <c r="F221" s="207">
        <f>LicenseeSelect!F314</f>
        <v>0</v>
      </c>
      <c r="G221" s="196" t="s">
        <v>109</v>
      </c>
      <c r="H221" s="196" t="str">
        <f>LicenseeSelect!H314</f>
        <v>Repex</v>
      </c>
      <c r="I221" s="196"/>
      <c r="J221" s="196"/>
      <c r="K221" s="196"/>
      <c r="L221" s="196"/>
      <c r="M221" s="196"/>
      <c r="N221" s="196"/>
      <c r="O221" s="196"/>
      <c r="P221" s="196"/>
      <c r="Q221" s="196"/>
      <c r="R221" s="196"/>
      <c r="S221" s="196"/>
      <c r="T221" s="196"/>
      <c r="U221" s="196"/>
      <c r="V221" s="196"/>
      <c r="W221" s="196"/>
      <c r="X221" s="196"/>
      <c r="Y221" s="196"/>
      <c r="Z221" s="196"/>
      <c r="AA221" s="196"/>
      <c r="AB221" s="196"/>
      <c r="AC221" s="196"/>
      <c r="AD221" s="196"/>
      <c r="AE221" s="196"/>
      <c r="AF221" s="196"/>
      <c r="AG221" s="196"/>
      <c r="AH221" s="196"/>
      <c r="AI221" s="196"/>
      <c r="AJ221" s="196"/>
      <c r="AK221" s="196"/>
      <c r="AL221" s="196"/>
      <c r="AM221" s="196"/>
      <c r="AN221" s="196"/>
      <c r="AO221" s="196"/>
      <c r="AP221" s="196"/>
      <c r="AQ221" s="196"/>
      <c r="AR221" s="196"/>
      <c r="AS221" s="196"/>
      <c r="AT221" s="208"/>
      <c r="AU221" s="209">
        <f>LicenseeSelect!AU314</f>
        <v>1</v>
      </c>
      <c r="AV221" s="210">
        <f>LicenseeSelect!AV314</f>
        <v>1</v>
      </c>
      <c r="AW221" s="210">
        <f>LicenseeSelect!AW314</f>
        <v>1</v>
      </c>
      <c r="AX221" s="210">
        <f>LicenseeSelect!AX314</f>
        <v>1</v>
      </c>
      <c r="AY221" s="211">
        <f>LicenseeSelect!AY314</f>
        <v>1</v>
      </c>
      <c r="BA221" s="34" t="str">
        <f t="shared" ca="1" si="15"/>
        <v>VariantAllowances</v>
      </c>
      <c r="BB221" s="34" t="str">
        <f t="shared" si="16"/>
        <v>Variant allowances detailed calculation</v>
      </c>
      <c r="BC221" s="34" t="str">
        <f t="shared" si="12"/>
        <v>Variant allowances percentage allocation</v>
      </c>
    </row>
    <row r="222" spans="5:55" x14ac:dyDescent="0.35">
      <c r="E222" s="187" t="str">
        <f>LicenseeSelect!E315</f>
        <v>UIOLI_Net Zero and Re-opener Development Fund / Decarbonisation Project Development Fund UIOLI</v>
      </c>
      <c r="F222" s="201">
        <f>LicenseeSelect!F315</f>
        <v>0</v>
      </c>
      <c r="G222" s="188" t="s">
        <v>109</v>
      </c>
      <c r="H222" s="188" t="str">
        <f>LicenseeSelect!H315</f>
        <v>Load related capex</v>
      </c>
      <c r="I222" s="188"/>
      <c r="J222" s="188"/>
      <c r="K222" s="188"/>
      <c r="L222" s="188"/>
      <c r="M222" s="188"/>
      <c r="N222" s="188"/>
      <c r="O222" s="188"/>
      <c r="P222" s="188"/>
      <c r="Q222" s="188"/>
      <c r="R222" s="188"/>
      <c r="S222" s="188"/>
      <c r="T222" s="188"/>
      <c r="U222" s="188"/>
      <c r="V222" s="188"/>
      <c r="W222" s="188"/>
      <c r="X222" s="188"/>
      <c r="Y222" s="188"/>
      <c r="Z222" s="188"/>
      <c r="AA222" s="188"/>
      <c r="AB222" s="188"/>
      <c r="AC222" s="188"/>
      <c r="AD222" s="188"/>
      <c r="AE222" s="188"/>
      <c r="AF222" s="188"/>
      <c r="AG222" s="188"/>
      <c r="AH222" s="188"/>
      <c r="AI222" s="188"/>
      <c r="AJ222" s="188"/>
      <c r="AK222" s="188"/>
      <c r="AL222" s="188"/>
      <c r="AM222" s="188"/>
      <c r="AN222" s="188"/>
      <c r="AO222" s="188"/>
      <c r="AP222" s="188"/>
      <c r="AQ222" s="188"/>
      <c r="AR222" s="188"/>
      <c r="AS222" s="188"/>
      <c r="AT222" s="202"/>
      <c r="AU222" s="203">
        <f>LicenseeSelect!AU315</f>
        <v>0</v>
      </c>
      <c r="AV222" s="204">
        <f>LicenseeSelect!AV315</f>
        <v>0</v>
      </c>
      <c r="AW222" s="204">
        <f>LicenseeSelect!AW315</f>
        <v>0</v>
      </c>
      <c r="AX222" s="204">
        <f>LicenseeSelect!AX315</f>
        <v>0</v>
      </c>
      <c r="AY222" s="205">
        <f>LicenseeSelect!AY315</f>
        <v>0</v>
      </c>
      <c r="BA222" s="34" t="str">
        <f t="shared" ca="1" si="15"/>
        <v>VariantAllowances</v>
      </c>
      <c r="BB222" s="34" t="str">
        <f t="shared" si="16"/>
        <v>Variant allowances detailed calculation</v>
      </c>
      <c r="BC222" s="34" t="str">
        <f t="shared" si="12"/>
        <v>Variant allowances percentage allocation</v>
      </c>
    </row>
    <row r="223" spans="5:55" x14ac:dyDescent="0.35">
      <c r="E223" s="193" t="str">
        <f>LicenseeSelect!E316</f>
        <v>UIOLI_Net Zero and Re-opener Development Fund / Decarbonisation Project Development Fund UIOLI</v>
      </c>
      <c r="F223" s="126">
        <f>LicenseeSelect!F316</f>
        <v>0</v>
      </c>
      <c r="G223" s="33" t="s">
        <v>109</v>
      </c>
      <c r="H223" s="33" t="str">
        <f>LicenseeSelect!H316</f>
        <v>Non-load related capex - other</v>
      </c>
      <c r="AU223" s="162">
        <f>LicenseeSelect!AU316</f>
        <v>0.2</v>
      </c>
      <c r="AV223" s="41">
        <f>LicenseeSelect!AV316</f>
        <v>0.2</v>
      </c>
      <c r="AW223" s="41">
        <f>LicenseeSelect!AW316</f>
        <v>0.2</v>
      </c>
      <c r="AX223" s="41">
        <f>LicenseeSelect!AX316</f>
        <v>0.2</v>
      </c>
      <c r="AY223" s="206">
        <f>LicenseeSelect!AY316</f>
        <v>0.2</v>
      </c>
      <c r="BA223" s="34" t="str">
        <f t="shared" ca="1" si="15"/>
        <v>VariantAllowances</v>
      </c>
      <c r="BB223" s="34" t="str">
        <f t="shared" si="16"/>
        <v>Variant allowances detailed calculation</v>
      </c>
      <c r="BC223" s="34" t="str">
        <f t="shared" si="12"/>
        <v>Variant allowances percentage allocation</v>
      </c>
    </row>
    <row r="224" spans="5:55" x14ac:dyDescent="0.35">
      <c r="E224" s="193" t="str">
        <f>LicenseeSelect!E317</f>
        <v>UIOLI_Net Zero and Re-opener Development Fund / Decarbonisation Project Development Fund UIOLI</v>
      </c>
      <c r="F224" s="126">
        <f>LicenseeSelect!F317</f>
        <v>0</v>
      </c>
      <c r="G224" s="33" t="s">
        <v>109</v>
      </c>
      <c r="H224" s="33" t="str">
        <f>LicenseeSelect!H317</f>
        <v>Business support (opex)</v>
      </c>
      <c r="AU224" s="162">
        <f>LicenseeSelect!AU317</f>
        <v>0</v>
      </c>
      <c r="AV224" s="41">
        <f>LicenseeSelect!AV317</f>
        <v>0</v>
      </c>
      <c r="AW224" s="41">
        <f>LicenseeSelect!AW317</f>
        <v>0</v>
      </c>
      <c r="AX224" s="41">
        <f>LicenseeSelect!AX317</f>
        <v>0</v>
      </c>
      <c r="AY224" s="206">
        <f>LicenseeSelect!AY317</f>
        <v>0</v>
      </c>
      <c r="BA224" s="34" t="str">
        <f t="shared" ca="1" si="15"/>
        <v>VariantAllowances</v>
      </c>
      <c r="BB224" s="34" t="str">
        <f t="shared" si="16"/>
        <v>Variant allowances detailed calculation</v>
      </c>
      <c r="BC224" s="34" t="str">
        <f t="shared" si="12"/>
        <v>Variant allowances percentage allocation</v>
      </c>
    </row>
    <row r="225" spans="5:55" x14ac:dyDescent="0.35">
      <c r="E225" s="193" t="str">
        <f>LicenseeSelect!E318</f>
        <v>UIOLI_Net Zero and Re-opener Development Fund / Decarbonisation Project Development Fund UIOLI</v>
      </c>
      <c r="F225" s="126">
        <f>LicenseeSelect!F318</f>
        <v>0</v>
      </c>
      <c r="G225" s="33" t="s">
        <v>109</v>
      </c>
      <c r="H225" s="33" t="str">
        <f>LicenseeSelect!H318</f>
        <v>Directs opex</v>
      </c>
      <c r="AU225" s="162">
        <f>LicenseeSelect!AU318</f>
        <v>0.8</v>
      </c>
      <c r="AV225" s="41">
        <f>LicenseeSelect!AV318</f>
        <v>0.8</v>
      </c>
      <c r="AW225" s="41">
        <f>LicenseeSelect!AW318</f>
        <v>0.8</v>
      </c>
      <c r="AX225" s="41">
        <f>LicenseeSelect!AX318</f>
        <v>0.8</v>
      </c>
      <c r="AY225" s="206">
        <f>LicenseeSelect!AY318</f>
        <v>0.8</v>
      </c>
      <c r="BA225" s="34" t="str">
        <f t="shared" ca="1" si="15"/>
        <v>VariantAllowances</v>
      </c>
      <c r="BB225" s="34" t="str">
        <f t="shared" si="16"/>
        <v>Variant allowances detailed calculation</v>
      </c>
      <c r="BC225" s="34" t="str">
        <f t="shared" si="12"/>
        <v>Variant allowances percentage allocation</v>
      </c>
    </row>
    <row r="226" spans="5:55" x14ac:dyDescent="0.35">
      <c r="E226" s="195" t="str">
        <f>LicenseeSelect!E319</f>
        <v>UIOLI_Net Zero and Re-opener Development Fund / Decarbonisation Project Development Fund UIOLI</v>
      </c>
      <c r="F226" s="207">
        <f>LicenseeSelect!F319</f>
        <v>0</v>
      </c>
      <c r="G226" s="196" t="s">
        <v>109</v>
      </c>
      <c r="H226" s="196" t="str">
        <f>LicenseeSelect!H319</f>
        <v>Repex</v>
      </c>
      <c r="I226" s="196"/>
      <c r="J226" s="196"/>
      <c r="K226" s="196"/>
      <c r="L226" s="196"/>
      <c r="M226" s="196"/>
      <c r="N226" s="196"/>
      <c r="O226" s="196"/>
      <c r="P226" s="196"/>
      <c r="Q226" s="196"/>
      <c r="R226" s="196"/>
      <c r="S226" s="196"/>
      <c r="T226" s="196"/>
      <c r="U226" s="196"/>
      <c r="V226" s="196"/>
      <c r="W226" s="196"/>
      <c r="X226" s="196"/>
      <c r="Y226" s="196"/>
      <c r="Z226" s="196"/>
      <c r="AA226" s="196"/>
      <c r="AB226" s="196"/>
      <c r="AC226" s="196"/>
      <c r="AD226" s="196"/>
      <c r="AE226" s="196"/>
      <c r="AF226" s="196"/>
      <c r="AG226" s="196"/>
      <c r="AH226" s="196"/>
      <c r="AI226" s="196"/>
      <c r="AJ226" s="196"/>
      <c r="AK226" s="196"/>
      <c r="AL226" s="196"/>
      <c r="AM226" s="196"/>
      <c r="AN226" s="196"/>
      <c r="AO226" s="196"/>
      <c r="AP226" s="196"/>
      <c r="AQ226" s="196"/>
      <c r="AR226" s="196"/>
      <c r="AS226" s="196"/>
      <c r="AT226" s="208"/>
      <c r="AU226" s="209">
        <f>LicenseeSelect!AU319</f>
        <v>0</v>
      </c>
      <c r="AV226" s="210">
        <f>LicenseeSelect!AV319</f>
        <v>0</v>
      </c>
      <c r="AW226" s="210">
        <f>LicenseeSelect!AW319</f>
        <v>0</v>
      </c>
      <c r="AX226" s="210">
        <f>LicenseeSelect!AX319</f>
        <v>0</v>
      </c>
      <c r="AY226" s="211">
        <f>LicenseeSelect!AY319</f>
        <v>0</v>
      </c>
      <c r="BA226" s="34" t="str">
        <f t="shared" ca="1" si="15"/>
        <v>VariantAllowances</v>
      </c>
      <c r="BB226" s="34" t="str">
        <f t="shared" si="16"/>
        <v>Variant allowances detailed calculation</v>
      </c>
      <c r="BC226" s="34" t="str">
        <f t="shared" si="12"/>
        <v>Variant allowances percentage allocation</v>
      </c>
    </row>
    <row r="227" spans="5:55" x14ac:dyDescent="0.35">
      <c r="E227" s="187" t="str">
        <f>LicenseeSelect!E320</f>
        <v>UIOLI_Cyber Resilience_NGN</v>
      </c>
      <c r="F227" s="201">
        <f>LicenseeSelect!F320</f>
        <v>0</v>
      </c>
      <c r="G227" s="188" t="s">
        <v>109</v>
      </c>
      <c r="H227" s="188" t="str">
        <f>LicenseeSelect!H320</f>
        <v>Load related capex</v>
      </c>
      <c r="I227" s="188"/>
      <c r="J227" s="188"/>
      <c r="K227" s="188"/>
      <c r="L227" s="188"/>
      <c r="M227" s="188"/>
      <c r="N227" s="188"/>
      <c r="O227" s="188"/>
      <c r="P227" s="188"/>
      <c r="Q227" s="188"/>
      <c r="R227" s="188"/>
      <c r="S227" s="188"/>
      <c r="T227" s="188"/>
      <c r="U227" s="188"/>
      <c r="V227" s="188"/>
      <c r="W227" s="188"/>
      <c r="X227" s="188"/>
      <c r="Y227" s="188"/>
      <c r="Z227" s="188"/>
      <c r="AA227" s="188"/>
      <c r="AB227" s="188"/>
      <c r="AC227" s="188"/>
      <c r="AD227" s="188"/>
      <c r="AE227" s="188"/>
      <c r="AF227" s="188"/>
      <c r="AG227" s="188"/>
      <c r="AH227" s="188"/>
      <c r="AI227" s="188"/>
      <c r="AJ227" s="188"/>
      <c r="AK227" s="188"/>
      <c r="AL227" s="188"/>
      <c r="AM227" s="188"/>
      <c r="AN227" s="188"/>
      <c r="AO227" s="188"/>
      <c r="AP227" s="188"/>
      <c r="AQ227" s="188"/>
      <c r="AR227" s="188"/>
      <c r="AS227" s="188"/>
      <c r="AT227" s="202"/>
      <c r="AU227" s="203">
        <f>LicenseeSelect!AU320</f>
        <v>0</v>
      </c>
      <c r="AV227" s="204">
        <f>LicenseeSelect!AV320</f>
        <v>0</v>
      </c>
      <c r="AW227" s="204">
        <f>LicenseeSelect!AW320</f>
        <v>0</v>
      </c>
      <c r="AX227" s="204">
        <f>LicenseeSelect!AX320</f>
        <v>0</v>
      </c>
      <c r="AY227" s="205">
        <f>LicenseeSelect!AY320</f>
        <v>0</v>
      </c>
      <c r="BA227" s="34" t="str">
        <f t="shared" ca="1" si="15"/>
        <v>VariantAllowances</v>
      </c>
      <c r="BB227" s="34" t="str">
        <f t="shared" si="16"/>
        <v>Variant allowances detailed calculation</v>
      </c>
      <c r="BC227" s="34" t="str">
        <f t="shared" si="12"/>
        <v>Variant allowances percentage allocation</v>
      </c>
    </row>
    <row r="228" spans="5:55" x14ac:dyDescent="0.35">
      <c r="E228" s="193" t="str">
        <f>LicenseeSelect!E321</f>
        <v>UIOLI_Cyber Resilience_NGN</v>
      </c>
      <c r="F228" s="126">
        <f>LicenseeSelect!F321</f>
        <v>0</v>
      </c>
      <c r="G228" s="33" t="s">
        <v>109</v>
      </c>
      <c r="H228" s="33" t="str">
        <f>LicenseeSelect!H321</f>
        <v>Non-load related capex - other</v>
      </c>
      <c r="AU228" s="162">
        <f>LicenseeSelect!AU321</f>
        <v>1</v>
      </c>
      <c r="AV228" s="41">
        <f>LicenseeSelect!AV321</f>
        <v>1</v>
      </c>
      <c r="AW228" s="41">
        <f>LicenseeSelect!AW321</f>
        <v>1</v>
      </c>
      <c r="AX228" s="41">
        <f>LicenseeSelect!AX321</f>
        <v>1</v>
      </c>
      <c r="AY228" s="206">
        <f>LicenseeSelect!AY321</f>
        <v>1</v>
      </c>
      <c r="BA228" s="34" t="str">
        <f t="shared" ca="1" si="15"/>
        <v>VariantAllowances</v>
      </c>
      <c r="BB228" s="34" t="str">
        <f t="shared" si="16"/>
        <v>Variant allowances detailed calculation</v>
      </c>
      <c r="BC228" s="34" t="str">
        <f t="shared" si="12"/>
        <v>Variant allowances percentage allocation</v>
      </c>
    </row>
    <row r="229" spans="5:55" x14ac:dyDescent="0.35">
      <c r="E229" s="193" t="str">
        <f>LicenseeSelect!E322</f>
        <v>UIOLI_Cyber Resilience_NGN</v>
      </c>
      <c r="F229" s="126">
        <f>LicenseeSelect!F322</f>
        <v>0</v>
      </c>
      <c r="G229" s="33" t="s">
        <v>109</v>
      </c>
      <c r="H229" s="33" t="str">
        <f>LicenseeSelect!H322</f>
        <v>Business support (opex)</v>
      </c>
      <c r="AU229" s="162">
        <f>LicenseeSelect!AU322</f>
        <v>0</v>
      </c>
      <c r="AV229" s="41">
        <f>LicenseeSelect!AV322</f>
        <v>0</v>
      </c>
      <c r="AW229" s="41">
        <f>LicenseeSelect!AW322</f>
        <v>0</v>
      </c>
      <c r="AX229" s="41">
        <f>LicenseeSelect!AX322</f>
        <v>0</v>
      </c>
      <c r="AY229" s="206">
        <f>LicenseeSelect!AY322</f>
        <v>0</v>
      </c>
      <c r="BA229" s="34" t="str">
        <f t="shared" ca="1" si="15"/>
        <v>VariantAllowances</v>
      </c>
      <c r="BB229" s="34" t="str">
        <f t="shared" si="16"/>
        <v>Variant allowances detailed calculation</v>
      </c>
      <c r="BC229" s="34" t="str">
        <f t="shared" si="12"/>
        <v>Variant allowances percentage allocation</v>
      </c>
    </row>
    <row r="230" spans="5:55" x14ac:dyDescent="0.35">
      <c r="E230" s="193" t="str">
        <f>LicenseeSelect!E323</f>
        <v>UIOLI_Cyber Resilience_NGN</v>
      </c>
      <c r="F230" s="126">
        <f>LicenseeSelect!F323</f>
        <v>0</v>
      </c>
      <c r="G230" s="33" t="s">
        <v>109</v>
      </c>
      <c r="H230" s="33" t="str">
        <f>LicenseeSelect!H323</f>
        <v>Directs opex</v>
      </c>
      <c r="AU230" s="162">
        <f>LicenseeSelect!AU323</f>
        <v>0</v>
      </c>
      <c r="AV230" s="41">
        <f>LicenseeSelect!AV323</f>
        <v>0</v>
      </c>
      <c r="AW230" s="41">
        <f>LicenseeSelect!AW323</f>
        <v>0</v>
      </c>
      <c r="AX230" s="41">
        <f>LicenseeSelect!AX323</f>
        <v>0</v>
      </c>
      <c r="AY230" s="206">
        <f>LicenseeSelect!AY323</f>
        <v>0</v>
      </c>
      <c r="BA230" s="34" t="str">
        <f t="shared" ca="1" si="15"/>
        <v>VariantAllowances</v>
      </c>
      <c r="BB230" s="34" t="str">
        <f t="shared" si="16"/>
        <v>Variant allowances detailed calculation</v>
      </c>
      <c r="BC230" s="34" t="str">
        <f t="shared" si="12"/>
        <v>Variant allowances percentage allocation</v>
      </c>
    </row>
    <row r="231" spans="5:55" x14ac:dyDescent="0.35">
      <c r="E231" s="195" t="str">
        <f>LicenseeSelect!E324</f>
        <v>UIOLI_Cyber Resilience_NGN</v>
      </c>
      <c r="F231" s="207">
        <f>LicenseeSelect!F324</f>
        <v>0</v>
      </c>
      <c r="G231" s="196" t="s">
        <v>109</v>
      </c>
      <c r="H231" s="196" t="str">
        <f>LicenseeSelect!H324</f>
        <v>Repex</v>
      </c>
      <c r="I231" s="196"/>
      <c r="J231" s="196"/>
      <c r="K231" s="196"/>
      <c r="L231" s="196"/>
      <c r="M231" s="196"/>
      <c r="N231" s="196"/>
      <c r="O231" s="196"/>
      <c r="P231" s="196"/>
      <c r="Q231" s="196"/>
      <c r="R231" s="196"/>
      <c r="S231" s="196"/>
      <c r="T231" s="196"/>
      <c r="U231" s="196"/>
      <c r="V231" s="196"/>
      <c r="W231" s="196"/>
      <c r="X231" s="196"/>
      <c r="Y231" s="196"/>
      <c r="Z231" s="196"/>
      <c r="AA231" s="196"/>
      <c r="AB231" s="196"/>
      <c r="AC231" s="196"/>
      <c r="AD231" s="196"/>
      <c r="AE231" s="196"/>
      <c r="AF231" s="196"/>
      <c r="AG231" s="196"/>
      <c r="AH231" s="196"/>
      <c r="AI231" s="196"/>
      <c r="AJ231" s="196"/>
      <c r="AK231" s="196"/>
      <c r="AL231" s="196"/>
      <c r="AM231" s="196"/>
      <c r="AN231" s="196"/>
      <c r="AO231" s="196"/>
      <c r="AP231" s="196"/>
      <c r="AQ231" s="196"/>
      <c r="AR231" s="196"/>
      <c r="AS231" s="196"/>
      <c r="AT231" s="208"/>
      <c r="AU231" s="209">
        <f>LicenseeSelect!AU324</f>
        <v>0</v>
      </c>
      <c r="AV231" s="210">
        <f>LicenseeSelect!AV324</f>
        <v>0</v>
      </c>
      <c r="AW231" s="210">
        <f>LicenseeSelect!AW324</f>
        <v>0</v>
      </c>
      <c r="AX231" s="210">
        <f>LicenseeSelect!AX324</f>
        <v>0</v>
      </c>
      <c r="AY231" s="211">
        <f>LicenseeSelect!AY324</f>
        <v>0</v>
      </c>
      <c r="BA231" s="34" t="str">
        <f t="shared" ca="1" si="15"/>
        <v>VariantAllowances</v>
      </c>
      <c r="BB231" s="34" t="str">
        <f t="shared" ref="BB231:BB294" si="17">$A$363</f>
        <v>Variant allowances detailed calculation</v>
      </c>
      <c r="BC231" s="34" t="str">
        <f t="shared" ref="BC231:BC294" si="18">$B$111</f>
        <v>Variant allowances percentage allocation</v>
      </c>
    </row>
    <row r="232" spans="5:55" x14ac:dyDescent="0.35">
      <c r="E232" s="187" t="str">
        <f>LicenseeSelect!E325</f>
        <v>UIOLI_Cyber Resilience_All except NGN and WWU</v>
      </c>
      <c r="F232" s="201">
        <f>LicenseeSelect!F325</f>
        <v>0</v>
      </c>
      <c r="G232" s="188" t="s">
        <v>109</v>
      </c>
      <c r="H232" s="188" t="str">
        <f>LicenseeSelect!H325</f>
        <v>Load related capex</v>
      </c>
      <c r="I232" s="188"/>
      <c r="J232" s="188"/>
      <c r="K232" s="188"/>
      <c r="L232" s="188"/>
      <c r="M232" s="188"/>
      <c r="N232" s="188"/>
      <c r="O232" s="188"/>
      <c r="P232" s="188"/>
      <c r="Q232" s="188"/>
      <c r="R232" s="188"/>
      <c r="S232" s="188"/>
      <c r="T232" s="188"/>
      <c r="U232" s="188"/>
      <c r="V232" s="188"/>
      <c r="W232" s="188"/>
      <c r="X232" s="188"/>
      <c r="Y232" s="188"/>
      <c r="Z232" s="188"/>
      <c r="AA232" s="188"/>
      <c r="AB232" s="188"/>
      <c r="AC232" s="188"/>
      <c r="AD232" s="188"/>
      <c r="AE232" s="188"/>
      <c r="AF232" s="188"/>
      <c r="AG232" s="188"/>
      <c r="AH232" s="188"/>
      <c r="AI232" s="188"/>
      <c r="AJ232" s="188"/>
      <c r="AK232" s="188"/>
      <c r="AL232" s="188"/>
      <c r="AM232" s="188"/>
      <c r="AN232" s="188"/>
      <c r="AO232" s="188"/>
      <c r="AP232" s="188"/>
      <c r="AQ232" s="188"/>
      <c r="AR232" s="188"/>
      <c r="AS232" s="188"/>
      <c r="AT232" s="202"/>
      <c r="AU232" s="203">
        <f>LicenseeSelect!AU325</f>
        <v>0</v>
      </c>
      <c r="AV232" s="204">
        <f>LicenseeSelect!AV325</f>
        <v>0</v>
      </c>
      <c r="AW232" s="204">
        <f>LicenseeSelect!AW325</f>
        <v>0</v>
      </c>
      <c r="AX232" s="204">
        <f>LicenseeSelect!AX325</f>
        <v>0</v>
      </c>
      <c r="AY232" s="205">
        <f>LicenseeSelect!AY325</f>
        <v>0</v>
      </c>
      <c r="BA232" s="34" t="str">
        <f t="shared" ca="1" si="15"/>
        <v>VariantAllowances</v>
      </c>
      <c r="BB232" s="34" t="str">
        <f t="shared" si="17"/>
        <v>Variant allowances detailed calculation</v>
      </c>
      <c r="BC232" s="34" t="str">
        <f t="shared" si="18"/>
        <v>Variant allowances percentage allocation</v>
      </c>
    </row>
    <row r="233" spans="5:55" x14ac:dyDescent="0.35">
      <c r="E233" s="193" t="str">
        <f>LicenseeSelect!E326</f>
        <v>UIOLI_Cyber Resilience_All except NGN and WWU</v>
      </c>
      <c r="F233" s="126">
        <f>LicenseeSelect!F326</f>
        <v>0</v>
      </c>
      <c r="G233" s="33" t="s">
        <v>109</v>
      </c>
      <c r="H233" s="33" t="str">
        <f>LicenseeSelect!H326</f>
        <v>Non-load related capex - other</v>
      </c>
      <c r="AU233" s="162">
        <f>LicenseeSelect!AU326</f>
        <v>0</v>
      </c>
      <c r="AV233" s="41">
        <f>LicenseeSelect!AV326</f>
        <v>0</v>
      </c>
      <c r="AW233" s="41">
        <f>LicenseeSelect!AW326</f>
        <v>0</v>
      </c>
      <c r="AX233" s="41">
        <f>LicenseeSelect!AX326</f>
        <v>0</v>
      </c>
      <c r="AY233" s="206">
        <f>LicenseeSelect!AY326</f>
        <v>0</v>
      </c>
      <c r="BA233" s="34" t="str">
        <f t="shared" ca="1" si="15"/>
        <v>VariantAllowances</v>
      </c>
      <c r="BB233" s="34" t="str">
        <f t="shared" si="17"/>
        <v>Variant allowances detailed calculation</v>
      </c>
      <c r="BC233" s="34" t="str">
        <f t="shared" si="18"/>
        <v>Variant allowances percentage allocation</v>
      </c>
    </row>
    <row r="234" spans="5:55" x14ac:dyDescent="0.35">
      <c r="E234" s="193" t="str">
        <f>LicenseeSelect!E327</f>
        <v>UIOLI_Cyber Resilience_All except NGN and WWU</v>
      </c>
      <c r="F234" s="126">
        <f>LicenseeSelect!F327</f>
        <v>0</v>
      </c>
      <c r="G234" s="33" t="s">
        <v>109</v>
      </c>
      <c r="H234" s="33" t="str">
        <f>LicenseeSelect!H327</f>
        <v>Business support (opex)</v>
      </c>
      <c r="AU234" s="162">
        <f>LicenseeSelect!AU327</f>
        <v>1</v>
      </c>
      <c r="AV234" s="41">
        <f>LicenseeSelect!AV327</f>
        <v>1</v>
      </c>
      <c r="AW234" s="41">
        <f>LicenseeSelect!AW327</f>
        <v>1</v>
      </c>
      <c r="AX234" s="41">
        <f>LicenseeSelect!AX327</f>
        <v>1</v>
      </c>
      <c r="AY234" s="206">
        <f>LicenseeSelect!AY327</f>
        <v>1</v>
      </c>
      <c r="BA234" s="34" t="str">
        <f t="shared" ca="1" si="15"/>
        <v>VariantAllowances</v>
      </c>
      <c r="BB234" s="34" t="str">
        <f t="shared" si="17"/>
        <v>Variant allowances detailed calculation</v>
      </c>
      <c r="BC234" s="34" t="str">
        <f t="shared" si="18"/>
        <v>Variant allowances percentage allocation</v>
      </c>
    </row>
    <row r="235" spans="5:55" x14ac:dyDescent="0.35">
      <c r="E235" s="193" t="str">
        <f>LicenseeSelect!E328</f>
        <v>UIOLI_Cyber Resilience_All except NGN and WWU</v>
      </c>
      <c r="F235" s="126">
        <f>LicenseeSelect!F328</f>
        <v>0</v>
      </c>
      <c r="G235" s="33" t="s">
        <v>109</v>
      </c>
      <c r="H235" s="33" t="str">
        <f>LicenseeSelect!H328</f>
        <v>Directs opex</v>
      </c>
      <c r="AU235" s="162">
        <f>LicenseeSelect!AU328</f>
        <v>0</v>
      </c>
      <c r="AV235" s="41">
        <f>LicenseeSelect!AV328</f>
        <v>0</v>
      </c>
      <c r="AW235" s="41">
        <f>LicenseeSelect!AW328</f>
        <v>0</v>
      </c>
      <c r="AX235" s="41">
        <f>LicenseeSelect!AX328</f>
        <v>0</v>
      </c>
      <c r="AY235" s="206">
        <f>LicenseeSelect!AY328</f>
        <v>0</v>
      </c>
      <c r="BA235" s="34" t="str">
        <f t="shared" ca="1" si="15"/>
        <v>VariantAllowances</v>
      </c>
      <c r="BB235" s="34" t="str">
        <f t="shared" si="17"/>
        <v>Variant allowances detailed calculation</v>
      </c>
      <c r="BC235" s="34" t="str">
        <f t="shared" si="18"/>
        <v>Variant allowances percentage allocation</v>
      </c>
    </row>
    <row r="236" spans="5:55" x14ac:dyDescent="0.35">
      <c r="E236" s="195" t="str">
        <f>LicenseeSelect!E329</f>
        <v>UIOLI_Cyber Resilience_All except NGN and WWU</v>
      </c>
      <c r="F236" s="207">
        <f>LicenseeSelect!F329</f>
        <v>0</v>
      </c>
      <c r="G236" s="196" t="s">
        <v>109</v>
      </c>
      <c r="H236" s="196" t="str">
        <f>LicenseeSelect!H329</f>
        <v>Repex</v>
      </c>
      <c r="I236" s="196"/>
      <c r="J236" s="196"/>
      <c r="K236" s="196"/>
      <c r="L236" s="196"/>
      <c r="M236" s="196"/>
      <c r="N236" s="196"/>
      <c r="O236" s="196"/>
      <c r="P236" s="196"/>
      <c r="Q236" s="196"/>
      <c r="R236" s="196"/>
      <c r="S236" s="196"/>
      <c r="T236" s="196"/>
      <c r="U236" s="196"/>
      <c r="V236" s="196"/>
      <c r="W236" s="196"/>
      <c r="X236" s="196"/>
      <c r="Y236" s="196"/>
      <c r="Z236" s="196"/>
      <c r="AA236" s="196"/>
      <c r="AB236" s="196"/>
      <c r="AC236" s="196"/>
      <c r="AD236" s="196"/>
      <c r="AE236" s="196"/>
      <c r="AF236" s="196"/>
      <c r="AG236" s="196"/>
      <c r="AH236" s="196"/>
      <c r="AI236" s="196"/>
      <c r="AJ236" s="196"/>
      <c r="AK236" s="196"/>
      <c r="AL236" s="196"/>
      <c r="AM236" s="196"/>
      <c r="AN236" s="196"/>
      <c r="AO236" s="196"/>
      <c r="AP236" s="196"/>
      <c r="AQ236" s="196"/>
      <c r="AR236" s="196"/>
      <c r="AS236" s="196"/>
      <c r="AT236" s="208"/>
      <c r="AU236" s="209">
        <f>LicenseeSelect!AU329</f>
        <v>0</v>
      </c>
      <c r="AV236" s="210">
        <f>LicenseeSelect!AV329</f>
        <v>0</v>
      </c>
      <c r="AW236" s="210">
        <f>LicenseeSelect!AW329</f>
        <v>0</v>
      </c>
      <c r="AX236" s="210">
        <f>LicenseeSelect!AX329</f>
        <v>0</v>
      </c>
      <c r="AY236" s="211">
        <f>LicenseeSelect!AY329</f>
        <v>0</v>
      </c>
      <c r="BA236" s="34" t="str">
        <f t="shared" ca="1" si="15"/>
        <v>VariantAllowances</v>
      </c>
      <c r="BB236" s="34" t="str">
        <f t="shared" si="17"/>
        <v>Variant allowances detailed calculation</v>
      </c>
      <c r="BC236" s="34" t="str">
        <f t="shared" si="18"/>
        <v>Variant allowances percentage allocation</v>
      </c>
    </row>
    <row r="237" spans="5:55" x14ac:dyDescent="0.35">
      <c r="E237" s="187" t="str">
        <f>LicenseeSelect!E330</f>
        <v>UIOLI_Biomethane connections / Biomethane Distributed Entry Reinforcement</v>
      </c>
      <c r="F237" s="201">
        <f>LicenseeSelect!F330</f>
        <v>0</v>
      </c>
      <c r="G237" s="188" t="s">
        <v>109</v>
      </c>
      <c r="H237" s="188" t="str">
        <f>LicenseeSelect!H330</f>
        <v>Load related capex</v>
      </c>
      <c r="I237" s="188"/>
      <c r="J237" s="188"/>
      <c r="K237" s="188"/>
      <c r="L237" s="188"/>
      <c r="M237" s="188"/>
      <c r="N237" s="188"/>
      <c r="O237" s="188"/>
      <c r="P237" s="188"/>
      <c r="Q237" s="188"/>
      <c r="R237" s="188"/>
      <c r="S237" s="188"/>
      <c r="T237" s="188"/>
      <c r="U237" s="188"/>
      <c r="V237" s="188"/>
      <c r="W237" s="188"/>
      <c r="X237" s="188"/>
      <c r="Y237" s="188"/>
      <c r="Z237" s="188"/>
      <c r="AA237" s="188"/>
      <c r="AB237" s="188"/>
      <c r="AC237" s="188"/>
      <c r="AD237" s="188"/>
      <c r="AE237" s="188"/>
      <c r="AF237" s="188"/>
      <c r="AG237" s="188"/>
      <c r="AH237" s="188"/>
      <c r="AI237" s="188"/>
      <c r="AJ237" s="188"/>
      <c r="AK237" s="188"/>
      <c r="AL237" s="188"/>
      <c r="AM237" s="188"/>
      <c r="AN237" s="188"/>
      <c r="AO237" s="188"/>
      <c r="AP237" s="188"/>
      <c r="AQ237" s="188"/>
      <c r="AR237" s="188"/>
      <c r="AS237" s="188"/>
      <c r="AT237" s="202"/>
      <c r="AU237" s="203">
        <f>LicenseeSelect!AU330</f>
        <v>1</v>
      </c>
      <c r="AV237" s="204">
        <f>LicenseeSelect!AV330</f>
        <v>1</v>
      </c>
      <c r="AW237" s="204">
        <f>LicenseeSelect!AW330</f>
        <v>1</v>
      </c>
      <c r="AX237" s="204">
        <f>LicenseeSelect!AX330</f>
        <v>1</v>
      </c>
      <c r="AY237" s="205">
        <f>LicenseeSelect!AY330</f>
        <v>1</v>
      </c>
      <c r="BA237" s="34" t="str">
        <f t="shared" ca="1" si="15"/>
        <v>VariantAllowances</v>
      </c>
      <c r="BB237" s="34" t="str">
        <f t="shared" si="17"/>
        <v>Variant allowances detailed calculation</v>
      </c>
      <c r="BC237" s="34" t="str">
        <f t="shared" si="18"/>
        <v>Variant allowances percentage allocation</v>
      </c>
    </row>
    <row r="238" spans="5:55" x14ac:dyDescent="0.35">
      <c r="E238" s="193" t="str">
        <f>LicenseeSelect!E331</f>
        <v>UIOLI_Biomethane connections / Biomethane Distributed Entry Reinforcement</v>
      </c>
      <c r="F238" s="126">
        <f>LicenseeSelect!F331</f>
        <v>0</v>
      </c>
      <c r="G238" s="33" t="s">
        <v>109</v>
      </c>
      <c r="H238" s="33" t="str">
        <f>LicenseeSelect!H331</f>
        <v>Non-load related capex - other</v>
      </c>
      <c r="AU238" s="162">
        <f>LicenseeSelect!AU331</f>
        <v>0</v>
      </c>
      <c r="AV238" s="41">
        <f>LicenseeSelect!AV331</f>
        <v>0</v>
      </c>
      <c r="AW238" s="41">
        <f>LicenseeSelect!AW331</f>
        <v>0</v>
      </c>
      <c r="AX238" s="41">
        <f>LicenseeSelect!AX331</f>
        <v>0</v>
      </c>
      <c r="AY238" s="206">
        <f>LicenseeSelect!AY331</f>
        <v>0</v>
      </c>
      <c r="BA238" s="34" t="str">
        <f t="shared" ca="1" si="15"/>
        <v>VariantAllowances</v>
      </c>
      <c r="BB238" s="34" t="str">
        <f t="shared" si="17"/>
        <v>Variant allowances detailed calculation</v>
      </c>
      <c r="BC238" s="34" t="str">
        <f t="shared" si="18"/>
        <v>Variant allowances percentage allocation</v>
      </c>
    </row>
    <row r="239" spans="5:55" x14ac:dyDescent="0.35">
      <c r="E239" s="193" t="str">
        <f>LicenseeSelect!E332</f>
        <v>UIOLI_Biomethane connections / Biomethane Distributed Entry Reinforcement</v>
      </c>
      <c r="F239" s="126">
        <f>LicenseeSelect!F332</f>
        <v>0</v>
      </c>
      <c r="G239" s="33" t="s">
        <v>109</v>
      </c>
      <c r="H239" s="33" t="str">
        <f>LicenseeSelect!H332</f>
        <v>Business support (opex)</v>
      </c>
      <c r="AU239" s="162">
        <f>LicenseeSelect!AU332</f>
        <v>0</v>
      </c>
      <c r="AV239" s="41">
        <f>LicenseeSelect!AV332</f>
        <v>0</v>
      </c>
      <c r="AW239" s="41">
        <f>LicenseeSelect!AW332</f>
        <v>0</v>
      </c>
      <c r="AX239" s="41">
        <f>LicenseeSelect!AX332</f>
        <v>0</v>
      </c>
      <c r="AY239" s="206">
        <f>LicenseeSelect!AY332</f>
        <v>0</v>
      </c>
      <c r="BA239" s="34" t="str">
        <f t="shared" ca="1" si="15"/>
        <v>VariantAllowances</v>
      </c>
      <c r="BB239" s="34" t="str">
        <f t="shared" si="17"/>
        <v>Variant allowances detailed calculation</v>
      </c>
      <c r="BC239" s="34" t="str">
        <f t="shared" si="18"/>
        <v>Variant allowances percentage allocation</v>
      </c>
    </row>
    <row r="240" spans="5:55" x14ac:dyDescent="0.35">
      <c r="E240" s="193" t="str">
        <f>LicenseeSelect!E333</f>
        <v>UIOLI_Biomethane connections / Biomethane Distributed Entry Reinforcement</v>
      </c>
      <c r="F240" s="126">
        <f>LicenseeSelect!F333</f>
        <v>0</v>
      </c>
      <c r="G240" s="33" t="s">
        <v>109</v>
      </c>
      <c r="H240" s="33" t="str">
        <f>LicenseeSelect!H333</f>
        <v>Directs opex</v>
      </c>
      <c r="AU240" s="162">
        <f>LicenseeSelect!AU333</f>
        <v>0</v>
      </c>
      <c r="AV240" s="41">
        <f>LicenseeSelect!AV333</f>
        <v>0</v>
      </c>
      <c r="AW240" s="41">
        <f>LicenseeSelect!AW333</f>
        <v>0</v>
      </c>
      <c r="AX240" s="41">
        <f>LicenseeSelect!AX333</f>
        <v>0</v>
      </c>
      <c r="AY240" s="206">
        <f>LicenseeSelect!AY333</f>
        <v>0</v>
      </c>
      <c r="BA240" s="34" t="str">
        <f t="shared" ca="1" si="15"/>
        <v>VariantAllowances</v>
      </c>
      <c r="BB240" s="34" t="str">
        <f t="shared" si="17"/>
        <v>Variant allowances detailed calculation</v>
      </c>
      <c r="BC240" s="34" t="str">
        <f t="shared" si="18"/>
        <v>Variant allowances percentage allocation</v>
      </c>
    </row>
    <row r="241" spans="5:55" x14ac:dyDescent="0.35">
      <c r="E241" s="195" t="str">
        <f>LicenseeSelect!E334</f>
        <v>UIOLI_Biomethane connections / Biomethane Distributed Entry Reinforcement</v>
      </c>
      <c r="F241" s="207">
        <f>LicenseeSelect!F334</f>
        <v>0</v>
      </c>
      <c r="G241" s="196" t="s">
        <v>109</v>
      </c>
      <c r="H241" s="196" t="str">
        <f>LicenseeSelect!H334</f>
        <v>Repex</v>
      </c>
      <c r="I241" s="196"/>
      <c r="J241" s="196"/>
      <c r="K241" s="196"/>
      <c r="L241" s="196"/>
      <c r="M241" s="196"/>
      <c r="N241" s="196"/>
      <c r="O241" s="196"/>
      <c r="P241" s="196"/>
      <c r="Q241" s="196"/>
      <c r="R241" s="196"/>
      <c r="S241" s="196"/>
      <c r="T241" s="196"/>
      <c r="U241" s="196"/>
      <c r="V241" s="196"/>
      <c r="W241" s="196"/>
      <c r="X241" s="196"/>
      <c r="Y241" s="196"/>
      <c r="Z241" s="196"/>
      <c r="AA241" s="196"/>
      <c r="AB241" s="196"/>
      <c r="AC241" s="196"/>
      <c r="AD241" s="196"/>
      <c r="AE241" s="196"/>
      <c r="AF241" s="196"/>
      <c r="AG241" s="196"/>
      <c r="AH241" s="196"/>
      <c r="AI241" s="196"/>
      <c r="AJ241" s="196"/>
      <c r="AK241" s="196"/>
      <c r="AL241" s="196"/>
      <c r="AM241" s="196"/>
      <c r="AN241" s="196"/>
      <c r="AO241" s="196"/>
      <c r="AP241" s="196"/>
      <c r="AQ241" s="196"/>
      <c r="AR241" s="196"/>
      <c r="AS241" s="196"/>
      <c r="AT241" s="208"/>
      <c r="AU241" s="209">
        <f>LicenseeSelect!AU334</f>
        <v>0</v>
      </c>
      <c r="AV241" s="210">
        <f>LicenseeSelect!AV334</f>
        <v>0</v>
      </c>
      <c r="AW241" s="210">
        <f>LicenseeSelect!AW334</f>
        <v>0</v>
      </c>
      <c r="AX241" s="210">
        <f>LicenseeSelect!AX334</f>
        <v>0</v>
      </c>
      <c r="AY241" s="211">
        <f>LicenseeSelect!AY334</f>
        <v>0</v>
      </c>
      <c r="BA241" s="34" t="str">
        <f t="shared" ca="1" si="15"/>
        <v>VariantAllowances</v>
      </c>
      <c r="BB241" s="34" t="str">
        <f t="shared" si="17"/>
        <v>Variant allowances detailed calculation</v>
      </c>
      <c r="BC241" s="34" t="str">
        <f t="shared" si="18"/>
        <v>Variant allowances percentage allocation</v>
      </c>
    </row>
    <row r="242" spans="5:55" x14ac:dyDescent="0.35">
      <c r="E242" s="187" t="str">
        <f>LicenseeSelect!E335</f>
        <v>Re-opener_Climate change resilience work</v>
      </c>
      <c r="F242" s="201">
        <f>LicenseeSelect!F335</f>
        <v>0</v>
      </c>
      <c r="G242" s="188" t="s">
        <v>109</v>
      </c>
      <c r="H242" s="188" t="str">
        <f>LicenseeSelect!H335</f>
        <v>Load related capex</v>
      </c>
      <c r="I242" s="188"/>
      <c r="J242" s="188"/>
      <c r="K242" s="188"/>
      <c r="L242" s="188"/>
      <c r="M242" s="188"/>
      <c r="N242" s="188"/>
      <c r="O242" s="188"/>
      <c r="P242" s="188"/>
      <c r="Q242" s="188"/>
      <c r="R242" s="188"/>
      <c r="S242" s="188"/>
      <c r="T242" s="188"/>
      <c r="U242" s="188"/>
      <c r="V242" s="188"/>
      <c r="W242" s="188"/>
      <c r="X242" s="188"/>
      <c r="Y242" s="188"/>
      <c r="Z242" s="188"/>
      <c r="AA242" s="188"/>
      <c r="AB242" s="188"/>
      <c r="AC242" s="188"/>
      <c r="AD242" s="188"/>
      <c r="AE242" s="188"/>
      <c r="AF242" s="188"/>
      <c r="AG242" s="188"/>
      <c r="AH242" s="188"/>
      <c r="AI242" s="188"/>
      <c r="AJ242" s="188"/>
      <c r="AK242" s="188"/>
      <c r="AL242" s="188"/>
      <c r="AM242" s="188"/>
      <c r="AN242" s="188"/>
      <c r="AO242" s="188"/>
      <c r="AP242" s="188"/>
      <c r="AQ242" s="188"/>
      <c r="AR242" s="188"/>
      <c r="AS242" s="188"/>
      <c r="AT242" s="202"/>
      <c r="AU242" s="203">
        <f>LicenseeSelect!AU335</f>
        <v>0</v>
      </c>
      <c r="AV242" s="204">
        <f>LicenseeSelect!AV335</f>
        <v>0</v>
      </c>
      <c r="AW242" s="204">
        <f>LicenseeSelect!AW335</f>
        <v>0</v>
      </c>
      <c r="AX242" s="204">
        <f>LicenseeSelect!AX335</f>
        <v>0</v>
      </c>
      <c r="AY242" s="205">
        <f>LicenseeSelect!AY335</f>
        <v>0</v>
      </c>
      <c r="BA242" s="34" t="str">
        <f t="shared" ca="1" si="15"/>
        <v>VariantAllowances</v>
      </c>
      <c r="BB242" s="34" t="str">
        <f t="shared" si="17"/>
        <v>Variant allowances detailed calculation</v>
      </c>
      <c r="BC242" s="34" t="str">
        <f t="shared" si="18"/>
        <v>Variant allowances percentage allocation</v>
      </c>
    </row>
    <row r="243" spans="5:55" x14ac:dyDescent="0.35">
      <c r="E243" s="193" t="str">
        <f>LicenseeSelect!E336</f>
        <v>Re-opener_Climate change resilience work</v>
      </c>
      <c r="F243" s="126">
        <f>LicenseeSelect!F336</f>
        <v>0</v>
      </c>
      <c r="G243" s="33" t="s">
        <v>109</v>
      </c>
      <c r="H243" s="33" t="str">
        <f>LicenseeSelect!H336</f>
        <v>Non-load related capex - other</v>
      </c>
      <c r="AU243" s="162">
        <f>LicenseeSelect!AU336</f>
        <v>0</v>
      </c>
      <c r="AV243" s="41">
        <f>LicenseeSelect!AV336</f>
        <v>0</v>
      </c>
      <c r="AW243" s="41">
        <f>LicenseeSelect!AW336</f>
        <v>0</v>
      </c>
      <c r="AX243" s="41">
        <f>LicenseeSelect!AX336</f>
        <v>0</v>
      </c>
      <c r="AY243" s="206">
        <f>LicenseeSelect!AY336</f>
        <v>0</v>
      </c>
      <c r="BA243" s="34" t="str">
        <f t="shared" ca="1" si="15"/>
        <v>VariantAllowances</v>
      </c>
      <c r="BB243" s="34" t="str">
        <f t="shared" si="17"/>
        <v>Variant allowances detailed calculation</v>
      </c>
      <c r="BC243" s="34" t="str">
        <f t="shared" si="18"/>
        <v>Variant allowances percentage allocation</v>
      </c>
    </row>
    <row r="244" spans="5:55" x14ac:dyDescent="0.35">
      <c r="E244" s="193" t="str">
        <f>LicenseeSelect!E337</f>
        <v>Re-opener_Climate change resilience work</v>
      </c>
      <c r="F244" s="126">
        <f>LicenseeSelect!F337</f>
        <v>0</v>
      </c>
      <c r="G244" s="33" t="s">
        <v>109</v>
      </c>
      <c r="H244" s="33" t="str">
        <f>LicenseeSelect!H337</f>
        <v>Business support (opex)</v>
      </c>
      <c r="AU244" s="162">
        <f>LicenseeSelect!AU337</f>
        <v>0</v>
      </c>
      <c r="AV244" s="41">
        <f>LicenseeSelect!AV337</f>
        <v>0</v>
      </c>
      <c r="AW244" s="41">
        <f>LicenseeSelect!AW337</f>
        <v>0</v>
      </c>
      <c r="AX244" s="41">
        <f>LicenseeSelect!AX337</f>
        <v>0</v>
      </c>
      <c r="AY244" s="206">
        <f>LicenseeSelect!AY337</f>
        <v>0</v>
      </c>
      <c r="BA244" s="34" t="str">
        <f t="shared" ca="1" si="15"/>
        <v>VariantAllowances</v>
      </c>
      <c r="BB244" s="34" t="str">
        <f t="shared" si="17"/>
        <v>Variant allowances detailed calculation</v>
      </c>
      <c r="BC244" s="34" t="str">
        <f t="shared" si="18"/>
        <v>Variant allowances percentage allocation</v>
      </c>
    </row>
    <row r="245" spans="5:55" x14ac:dyDescent="0.35">
      <c r="E245" s="193" t="str">
        <f>LicenseeSelect!E338</f>
        <v>Re-opener_Climate change resilience work</v>
      </c>
      <c r="F245" s="126">
        <f>LicenseeSelect!F338</f>
        <v>0</v>
      </c>
      <c r="G245" s="33" t="s">
        <v>109</v>
      </c>
      <c r="H245" s="33" t="str">
        <f>LicenseeSelect!H338</f>
        <v>Directs opex</v>
      </c>
      <c r="AU245" s="162">
        <f>LicenseeSelect!AU338</f>
        <v>0</v>
      </c>
      <c r="AV245" s="41">
        <f>LicenseeSelect!AV338</f>
        <v>0</v>
      </c>
      <c r="AW245" s="41">
        <f>LicenseeSelect!AW338</f>
        <v>0</v>
      </c>
      <c r="AX245" s="41">
        <f>LicenseeSelect!AX338</f>
        <v>0</v>
      </c>
      <c r="AY245" s="206">
        <f>LicenseeSelect!AY338</f>
        <v>0</v>
      </c>
      <c r="BA245" s="34" t="str">
        <f t="shared" ca="1" si="15"/>
        <v>VariantAllowances</v>
      </c>
      <c r="BB245" s="34" t="str">
        <f t="shared" si="17"/>
        <v>Variant allowances detailed calculation</v>
      </c>
      <c r="BC245" s="34" t="str">
        <f t="shared" si="18"/>
        <v>Variant allowances percentage allocation</v>
      </c>
    </row>
    <row r="246" spans="5:55" x14ac:dyDescent="0.35">
      <c r="E246" s="195" t="str">
        <f>LicenseeSelect!E339</f>
        <v>Re-opener_Climate change resilience work</v>
      </c>
      <c r="F246" s="207">
        <f>LicenseeSelect!F339</f>
        <v>0</v>
      </c>
      <c r="G246" s="196" t="s">
        <v>109</v>
      </c>
      <c r="H246" s="196" t="str">
        <f>LicenseeSelect!H339</f>
        <v>Repex</v>
      </c>
      <c r="I246" s="196"/>
      <c r="J246" s="196"/>
      <c r="K246" s="196"/>
      <c r="L246" s="196"/>
      <c r="M246" s="196"/>
      <c r="N246" s="196"/>
      <c r="O246" s="196"/>
      <c r="P246" s="196"/>
      <c r="Q246" s="196"/>
      <c r="R246" s="196"/>
      <c r="S246" s="196"/>
      <c r="T246" s="196"/>
      <c r="U246" s="196"/>
      <c r="V246" s="196"/>
      <c r="W246" s="196"/>
      <c r="X246" s="196"/>
      <c r="Y246" s="196"/>
      <c r="Z246" s="196"/>
      <c r="AA246" s="196"/>
      <c r="AB246" s="196"/>
      <c r="AC246" s="196"/>
      <c r="AD246" s="196"/>
      <c r="AE246" s="196"/>
      <c r="AF246" s="196"/>
      <c r="AG246" s="196"/>
      <c r="AH246" s="196"/>
      <c r="AI246" s="196"/>
      <c r="AJ246" s="196"/>
      <c r="AK246" s="196"/>
      <c r="AL246" s="196"/>
      <c r="AM246" s="196"/>
      <c r="AN246" s="196"/>
      <c r="AO246" s="196"/>
      <c r="AP246" s="196"/>
      <c r="AQ246" s="196"/>
      <c r="AR246" s="196"/>
      <c r="AS246" s="196"/>
      <c r="AT246" s="208"/>
      <c r="AU246" s="209">
        <f>LicenseeSelect!AU339</f>
        <v>0</v>
      </c>
      <c r="AV246" s="210">
        <f>LicenseeSelect!AV339</f>
        <v>0</v>
      </c>
      <c r="AW246" s="210">
        <f>LicenseeSelect!AW339</f>
        <v>0</v>
      </c>
      <c r="AX246" s="210">
        <f>LicenseeSelect!AX339</f>
        <v>0</v>
      </c>
      <c r="AY246" s="211">
        <f>LicenseeSelect!AY339</f>
        <v>0</v>
      </c>
      <c r="BA246" s="34" t="str">
        <f t="shared" ref="BA246:BA309" ca="1" si="19">$A$1</f>
        <v>VariantAllowances</v>
      </c>
      <c r="BB246" s="34" t="str">
        <f t="shared" si="17"/>
        <v>Variant allowances detailed calculation</v>
      </c>
      <c r="BC246" s="34" t="str">
        <f t="shared" si="18"/>
        <v>Variant allowances percentage allocation</v>
      </c>
    </row>
    <row r="247" spans="5:55" x14ac:dyDescent="0.35">
      <c r="E247" s="187" t="str">
        <f>LicenseeSelect!E340</f>
        <v>Re-opener_Coordinated Adjustment Mechanism Re-opener</v>
      </c>
      <c r="F247" s="201">
        <f>LicenseeSelect!F340</f>
        <v>0</v>
      </c>
      <c r="G247" s="188" t="s">
        <v>109</v>
      </c>
      <c r="H247" s="188" t="str">
        <f>LicenseeSelect!H340</f>
        <v>Load related capex</v>
      </c>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202"/>
      <c r="AU247" s="203">
        <f>LicenseeSelect!AU340</f>
        <v>0</v>
      </c>
      <c r="AV247" s="204">
        <f>LicenseeSelect!AV340</f>
        <v>0</v>
      </c>
      <c r="AW247" s="204">
        <f>LicenseeSelect!AW340</f>
        <v>0</v>
      </c>
      <c r="AX247" s="204">
        <f>LicenseeSelect!AX340</f>
        <v>0</v>
      </c>
      <c r="AY247" s="205">
        <f>LicenseeSelect!AY340</f>
        <v>0</v>
      </c>
      <c r="BA247" s="34" t="str">
        <f t="shared" ca="1" si="19"/>
        <v>VariantAllowances</v>
      </c>
      <c r="BB247" s="34" t="str">
        <f t="shared" si="17"/>
        <v>Variant allowances detailed calculation</v>
      </c>
      <c r="BC247" s="34" t="str">
        <f t="shared" si="18"/>
        <v>Variant allowances percentage allocation</v>
      </c>
    </row>
    <row r="248" spans="5:55" x14ac:dyDescent="0.35">
      <c r="E248" s="193" t="str">
        <f>LicenseeSelect!E341</f>
        <v>Re-opener_Coordinated Adjustment Mechanism Re-opener</v>
      </c>
      <c r="F248" s="126">
        <f>LicenseeSelect!F341</f>
        <v>0</v>
      </c>
      <c r="G248" s="33" t="s">
        <v>109</v>
      </c>
      <c r="H248" s="33" t="str">
        <f>LicenseeSelect!H341</f>
        <v>Non-load related capex - other</v>
      </c>
      <c r="AU248" s="162">
        <f>LicenseeSelect!AU341</f>
        <v>0</v>
      </c>
      <c r="AV248" s="41">
        <f>LicenseeSelect!AV341</f>
        <v>0</v>
      </c>
      <c r="AW248" s="41">
        <f>LicenseeSelect!AW341</f>
        <v>0</v>
      </c>
      <c r="AX248" s="41">
        <f>LicenseeSelect!AX341</f>
        <v>0</v>
      </c>
      <c r="AY248" s="206">
        <f>LicenseeSelect!AY341</f>
        <v>0</v>
      </c>
      <c r="BA248" s="34" t="str">
        <f t="shared" ca="1" si="19"/>
        <v>VariantAllowances</v>
      </c>
      <c r="BB248" s="34" t="str">
        <f t="shared" si="17"/>
        <v>Variant allowances detailed calculation</v>
      </c>
      <c r="BC248" s="34" t="str">
        <f t="shared" si="18"/>
        <v>Variant allowances percentage allocation</v>
      </c>
    </row>
    <row r="249" spans="5:55" x14ac:dyDescent="0.35">
      <c r="E249" s="193" t="str">
        <f>LicenseeSelect!E342</f>
        <v>Re-opener_Coordinated Adjustment Mechanism Re-opener</v>
      </c>
      <c r="F249" s="126">
        <f>LicenseeSelect!F342</f>
        <v>0</v>
      </c>
      <c r="G249" s="33" t="s">
        <v>109</v>
      </c>
      <c r="H249" s="33" t="str">
        <f>LicenseeSelect!H342</f>
        <v>Business support (opex)</v>
      </c>
      <c r="AU249" s="162">
        <f>LicenseeSelect!AU342</f>
        <v>0</v>
      </c>
      <c r="AV249" s="41">
        <f>LicenseeSelect!AV342</f>
        <v>0</v>
      </c>
      <c r="AW249" s="41">
        <f>LicenseeSelect!AW342</f>
        <v>0</v>
      </c>
      <c r="AX249" s="41">
        <f>LicenseeSelect!AX342</f>
        <v>0</v>
      </c>
      <c r="AY249" s="206">
        <f>LicenseeSelect!AY342</f>
        <v>0</v>
      </c>
      <c r="BA249" s="34" t="str">
        <f t="shared" ca="1" si="19"/>
        <v>VariantAllowances</v>
      </c>
      <c r="BB249" s="34" t="str">
        <f t="shared" si="17"/>
        <v>Variant allowances detailed calculation</v>
      </c>
      <c r="BC249" s="34" t="str">
        <f t="shared" si="18"/>
        <v>Variant allowances percentage allocation</v>
      </c>
    </row>
    <row r="250" spans="5:55" x14ac:dyDescent="0.35">
      <c r="E250" s="193" t="str">
        <f>LicenseeSelect!E343</f>
        <v>Re-opener_Coordinated Adjustment Mechanism Re-opener</v>
      </c>
      <c r="F250" s="126">
        <f>LicenseeSelect!F343</f>
        <v>0</v>
      </c>
      <c r="G250" s="33" t="s">
        <v>109</v>
      </c>
      <c r="H250" s="33" t="str">
        <f>LicenseeSelect!H343</f>
        <v>Directs opex</v>
      </c>
      <c r="AU250" s="162">
        <f>LicenseeSelect!AU343</f>
        <v>0</v>
      </c>
      <c r="AV250" s="41">
        <f>LicenseeSelect!AV343</f>
        <v>0</v>
      </c>
      <c r="AW250" s="41">
        <f>LicenseeSelect!AW343</f>
        <v>0</v>
      </c>
      <c r="AX250" s="41">
        <f>LicenseeSelect!AX343</f>
        <v>0</v>
      </c>
      <c r="AY250" s="206">
        <f>LicenseeSelect!AY343</f>
        <v>0</v>
      </c>
      <c r="BA250" s="34" t="str">
        <f t="shared" ca="1" si="19"/>
        <v>VariantAllowances</v>
      </c>
      <c r="BB250" s="34" t="str">
        <f t="shared" si="17"/>
        <v>Variant allowances detailed calculation</v>
      </c>
      <c r="BC250" s="34" t="str">
        <f t="shared" si="18"/>
        <v>Variant allowances percentage allocation</v>
      </c>
    </row>
    <row r="251" spans="5:55" x14ac:dyDescent="0.35">
      <c r="E251" s="195" t="str">
        <f>LicenseeSelect!E344</f>
        <v>Re-opener_Coordinated Adjustment Mechanism Re-opener</v>
      </c>
      <c r="F251" s="207">
        <f>LicenseeSelect!F344</f>
        <v>0</v>
      </c>
      <c r="G251" s="196" t="s">
        <v>109</v>
      </c>
      <c r="H251" s="196" t="str">
        <f>LicenseeSelect!H344</f>
        <v>Repex</v>
      </c>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208"/>
      <c r="AU251" s="209">
        <f>LicenseeSelect!AU344</f>
        <v>0</v>
      </c>
      <c r="AV251" s="210">
        <f>LicenseeSelect!AV344</f>
        <v>0</v>
      </c>
      <c r="AW251" s="210">
        <f>LicenseeSelect!AW344</f>
        <v>0</v>
      </c>
      <c r="AX251" s="210">
        <f>LicenseeSelect!AX344</f>
        <v>0</v>
      </c>
      <c r="AY251" s="211">
        <f>LicenseeSelect!AY344</f>
        <v>0</v>
      </c>
      <c r="BA251" s="34" t="str">
        <f t="shared" ca="1" si="19"/>
        <v>VariantAllowances</v>
      </c>
      <c r="BB251" s="34" t="str">
        <f t="shared" si="17"/>
        <v>Variant allowances detailed calculation</v>
      </c>
      <c r="BC251" s="34" t="str">
        <f t="shared" si="18"/>
        <v>Variant allowances percentage allocation</v>
      </c>
    </row>
    <row r="252" spans="5:55" x14ac:dyDescent="0.35">
      <c r="E252" s="187" t="str">
        <f>LicenseeSelect!E345</f>
        <v>Re-opener_Cyber re-opener (Cadent_EoE) / Cyber resilience Re-Opener</v>
      </c>
      <c r="F252" s="201">
        <f>LicenseeSelect!F345</f>
        <v>0</v>
      </c>
      <c r="G252" s="188" t="s">
        <v>109</v>
      </c>
      <c r="H252" s="188" t="str">
        <f>LicenseeSelect!H345</f>
        <v>Load related capex</v>
      </c>
      <c r="I252" s="188"/>
      <c r="J252" s="188"/>
      <c r="K252" s="188"/>
      <c r="L252" s="188"/>
      <c r="M252" s="188"/>
      <c r="N252" s="188"/>
      <c r="O252" s="188"/>
      <c r="P252" s="188"/>
      <c r="Q252" s="188"/>
      <c r="R252" s="188"/>
      <c r="S252" s="188"/>
      <c r="T252" s="188"/>
      <c r="U252" s="188"/>
      <c r="V252" s="188"/>
      <c r="W252" s="188"/>
      <c r="X252" s="188"/>
      <c r="Y252" s="188"/>
      <c r="Z252" s="188"/>
      <c r="AA252" s="188"/>
      <c r="AB252" s="188"/>
      <c r="AC252" s="188"/>
      <c r="AD252" s="188"/>
      <c r="AE252" s="188"/>
      <c r="AF252" s="188"/>
      <c r="AG252" s="188"/>
      <c r="AH252" s="188"/>
      <c r="AI252" s="188"/>
      <c r="AJ252" s="188"/>
      <c r="AK252" s="188"/>
      <c r="AL252" s="188"/>
      <c r="AM252" s="188"/>
      <c r="AN252" s="188"/>
      <c r="AO252" s="188"/>
      <c r="AP252" s="188"/>
      <c r="AQ252" s="188"/>
      <c r="AR252" s="188"/>
      <c r="AS252" s="188"/>
      <c r="AT252" s="202"/>
      <c r="AU252" s="203">
        <f>LicenseeSelect!AU345</f>
        <v>0</v>
      </c>
      <c r="AV252" s="204">
        <f>LicenseeSelect!AV345</f>
        <v>0</v>
      </c>
      <c r="AW252" s="204">
        <f>LicenseeSelect!AW345</f>
        <v>0</v>
      </c>
      <c r="AX252" s="204">
        <f>LicenseeSelect!AX345</f>
        <v>0</v>
      </c>
      <c r="AY252" s="205">
        <f>LicenseeSelect!AY345</f>
        <v>0</v>
      </c>
      <c r="BA252" s="34" t="str">
        <f t="shared" ca="1" si="19"/>
        <v>VariantAllowances</v>
      </c>
      <c r="BB252" s="34" t="str">
        <f t="shared" si="17"/>
        <v>Variant allowances detailed calculation</v>
      </c>
      <c r="BC252" s="34" t="str">
        <f t="shared" si="18"/>
        <v>Variant allowances percentage allocation</v>
      </c>
    </row>
    <row r="253" spans="5:55" x14ac:dyDescent="0.35">
      <c r="E253" s="193" t="str">
        <f>LicenseeSelect!E346</f>
        <v>Re-opener_Cyber re-opener (Cadent_EoE) / Cyber resilience Re-Opener</v>
      </c>
      <c r="F253" s="126">
        <f>LicenseeSelect!F346</f>
        <v>0</v>
      </c>
      <c r="G253" s="33" t="s">
        <v>109</v>
      </c>
      <c r="H253" s="33" t="str">
        <f>LicenseeSelect!H346</f>
        <v>Non-load related capex - other</v>
      </c>
      <c r="AU253" s="162">
        <f>LicenseeSelect!AU346</f>
        <v>0.5</v>
      </c>
      <c r="AV253" s="41">
        <f>LicenseeSelect!AV346</f>
        <v>0.5</v>
      </c>
      <c r="AW253" s="41">
        <f>LicenseeSelect!AW346</f>
        <v>0.5</v>
      </c>
      <c r="AX253" s="41">
        <f>LicenseeSelect!AX346</f>
        <v>0.5</v>
      </c>
      <c r="AY253" s="206">
        <f>LicenseeSelect!AY346</f>
        <v>0.5</v>
      </c>
      <c r="BA253" s="34" t="str">
        <f t="shared" ca="1" si="19"/>
        <v>VariantAllowances</v>
      </c>
      <c r="BB253" s="34" t="str">
        <f t="shared" si="17"/>
        <v>Variant allowances detailed calculation</v>
      </c>
      <c r="BC253" s="34" t="str">
        <f t="shared" si="18"/>
        <v>Variant allowances percentage allocation</v>
      </c>
    </row>
    <row r="254" spans="5:55" x14ac:dyDescent="0.35">
      <c r="E254" s="193" t="str">
        <f>LicenseeSelect!E347</f>
        <v>Re-opener_Cyber re-opener (Cadent_EoE) / Cyber resilience Re-Opener</v>
      </c>
      <c r="F254" s="126">
        <f>LicenseeSelect!F347</f>
        <v>0</v>
      </c>
      <c r="G254" s="33" t="s">
        <v>109</v>
      </c>
      <c r="H254" s="33" t="str">
        <f>LicenseeSelect!H347</f>
        <v>Business support (opex)</v>
      </c>
      <c r="AU254" s="162">
        <f>LicenseeSelect!AU347</f>
        <v>0.5</v>
      </c>
      <c r="AV254" s="41">
        <f>LicenseeSelect!AV347</f>
        <v>0.5</v>
      </c>
      <c r="AW254" s="41">
        <f>LicenseeSelect!AW347</f>
        <v>0.5</v>
      </c>
      <c r="AX254" s="41">
        <f>LicenseeSelect!AX347</f>
        <v>0.5</v>
      </c>
      <c r="AY254" s="206">
        <f>LicenseeSelect!AY347</f>
        <v>0.5</v>
      </c>
      <c r="BA254" s="34" t="str">
        <f t="shared" ca="1" si="19"/>
        <v>VariantAllowances</v>
      </c>
      <c r="BB254" s="34" t="str">
        <f t="shared" si="17"/>
        <v>Variant allowances detailed calculation</v>
      </c>
      <c r="BC254" s="34" t="str">
        <f t="shared" si="18"/>
        <v>Variant allowances percentage allocation</v>
      </c>
    </row>
    <row r="255" spans="5:55" x14ac:dyDescent="0.35">
      <c r="E255" s="193" t="str">
        <f>LicenseeSelect!E348</f>
        <v>Re-opener_Cyber re-opener (Cadent_EoE) / Cyber resilience Re-Opener</v>
      </c>
      <c r="F255" s="126">
        <f>LicenseeSelect!F348</f>
        <v>0</v>
      </c>
      <c r="G255" s="33" t="s">
        <v>109</v>
      </c>
      <c r="H255" s="33" t="str">
        <f>LicenseeSelect!H348</f>
        <v>Directs opex</v>
      </c>
      <c r="AU255" s="162">
        <f>LicenseeSelect!AU348</f>
        <v>0</v>
      </c>
      <c r="AV255" s="41">
        <f>LicenseeSelect!AV348</f>
        <v>0</v>
      </c>
      <c r="AW255" s="41">
        <f>LicenseeSelect!AW348</f>
        <v>0</v>
      </c>
      <c r="AX255" s="41">
        <f>LicenseeSelect!AX348</f>
        <v>0</v>
      </c>
      <c r="AY255" s="206">
        <f>LicenseeSelect!AY348</f>
        <v>0</v>
      </c>
      <c r="BA255" s="34" t="str">
        <f t="shared" ca="1" si="19"/>
        <v>VariantAllowances</v>
      </c>
      <c r="BB255" s="34" t="str">
        <f t="shared" si="17"/>
        <v>Variant allowances detailed calculation</v>
      </c>
      <c r="BC255" s="34" t="str">
        <f t="shared" si="18"/>
        <v>Variant allowances percentage allocation</v>
      </c>
    </row>
    <row r="256" spans="5:55" x14ac:dyDescent="0.35">
      <c r="E256" s="195" t="str">
        <f>LicenseeSelect!E349</f>
        <v>Re-opener_Cyber re-opener (Cadent_EoE) / Cyber resilience Re-Opener</v>
      </c>
      <c r="F256" s="207">
        <f>LicenseeSelect!F349</f>
        <v>0</v>
      </c>
      <c r="G256" s="196" t="s">
        <v>109</v>
      </c>
      <c r="H256" s="196" t="str">
        <f>LicenseeSelect!H349</f>
        <v>Repex</v>
      </c>
      <c r="I256" s="196"/>
      <c r="J256" s="196"/>
      <c r="K256" s="196"/>
      <c r="L256" s="196"/>
      <c r="M256" s="196"/>
      <c r="N256" s="196"/>
      <c r="O256" s="196"/>
      <c r="P256" s="196"/>
      <c r="Q256" s="196"/>
      <c r="R256" s="196"/>
      <c r="S256" s="196"/>
      <c r="T256" s="196"/>
      <c r="U256" s="196"/>
      <c r="V256" s="196"/>
      <c r="W256" s="196"/>
      <c r="X256" s="196"/>
      <c r="Y256" s="196"/>
      <c r="Z256" s="196"/>
      <c r="AA256" s="196"/>
      <c r="AB256" s="196"/>
      <c r="AC256" s="196"/>
      <c r="AD256" s="196"/>
      <c r="AE256" s="196"/>
      <c r="AF256" s="196"/>
      <c r="AG256" s="196"/>
      <c r="AH256" s="196"/>
      <c r="AI256" s="196"/>
      <c r="AJ256" s="196"/>
      <c r="AK256" s="196"/>
      <c r="AL256" s="196"/>
      <c r="AM256" s="196"/>
      <c r="AN256" s="196"/>
      <c r="AO256" s="196"/>
      <c r="AP256" s="196"/>
      <c r="AQ256" s="196"/>
      <c r="AR256" s="196"/>
      <c r="AS256" s="196"/>
      <c r="AT256" s="208"/>
      <c r="AU256" s="209">
        <f>LicenseeSelect!AU349</f>
        <v>0</v>
      </c>
      <c r="AV256" s="210">
        <f>LicenseeSelect!AV349</f>
        <v>0</v>
      </c>
      <c r="AW256" s="210">
        <f>LicenseeSelect!AW349</f>
        <v>0</v>
      </c>
      <c r="AX256" s="210">
        <f>LicenseeSelect!AX349</f>
        <v>0</v>
      </c>
      <c r="AY256" s="211">
        <f>LicenseeSelect!AY349</f>
        <v>0</v>
      </c>
      <c r="BA256" s="34" t="str">
        <f t="shared" ca="1" si="19"/>
        <v>VariantAllowances</v>
      </c>
      <c r="BB256" s="34" t="str">
        <f t="shared" si="17"/>
        <v>Variant allowances detailed calculation</v>
      </c>
      <c r="BC256" s="34" t="str">
        <f t="shared" si="18"/>
        <v>Variant allowances percentage allocation</v>
      </c>
    </row>
    <row r="257" spans="5:55" x14ac:dyDescent="0.35">
      <c r="E257" s="187" t="str">
        <f>LicenseeSelect!E350</f>
        <v>Re-opener_Data and digitalisation</v>
      </c>
      <c r="F257" s="201">
        <f>LicenseeSelect!F350</f>
        <v>0</v>
      </c>
      <c r="G257" s="188" t="s">
        <v>109</v>
      </c>
      <c r="H257" s="188" t="str">
        <f>LicenseeSelect!H350</f>
        <v>Load related capex</v>
      </c>
      <c r="I257" s="188"/>
      <c r="J257" s="188"/>
      <c r="K257" s="188"/>
      <c r="L257" s="188"/>
      <c r="M257" s="188"/>
      <c r="N257" s="188"/>
      <c r="O257" s="188"/>
      <c r="P257" s="188"/>
      <c r="Q257" s="188"/>
      <c r="R257" s="188"/>
      <c r="S257" s="188"/>
      <c r="T257" s="188"/>
      <c r="U257" s="188"/>
      <c r="V257" s="188"/>
      <c r="W257" s="188"/>
      <c r="X257" s="188"/>
      <c r="Y257" s="188"/>
      <c r="Z257" s="188"/>
      <c r="AA257" s="188"/>
      <c r="AB257" s="188"/>
      <c r="AC257" s="188"/>
      <c r="AD257" s="188"/>
      <c r="AE257" s="188"/>
      <c r="AF257" s="188"/>
      <c r="AG257" s="188"/>
      <c r="AH257" s="188"/>
      <c r="AI257" s="188"/>
      <c r="AJ257" s="188"/>
      <c r="AK257" s="188"/>
      <c r="AL257" s="188"/>
      <c r="AM257" s="188"/>
      <c r="AN257" s="188"/>
      <c r="AO257" s="188"/>
      <c r="AP257" s="188"/>
      <c r="AQ257" s="188"/>
      <c r="AR257" s="188"/>
      <c r="AS257" s="188"/>
      <c r="AT257" s="202"/>
      <c r="AU257" s="203">
        <f>LicenseeSelect!AU350</f>
        <v>0</v>
      </c>
      <c r="AV257" s="204">
        <f>LicenseeSelect!AV350</f>
        <v>0</v>
      </c>
      <c r="AW257" s="204">
        <f>LicenseeSelect!AW350</f>
        <v>0</v>
      </c>
      <c r="AX257" s="204">
        <f>LicenseeSelect!AX350</f>
        <v>0</v>
      </c>
      <c r="AY257" s="205">
        <f>LicenseeSelect!AY350</f>
        <v>0</v>
      </c>
      <c r="BA257" s="34" t="str">
        <f t="shared" ca="1" si="19"/>
        <v>VariantAllowances</v>
      </c>
      <c r="BB257" s="34" t="str">
        <f t="shared" si="17"/>
        <v>Variant allowances detailed calculation</v>
      </c>
      <c r="BC257" s="34" t="str">
        <f t="shared" si="18"/>
        <v>Variant allowances percentage allocation</v>
      </c>
    </row>
    <row r="258" spans="5:55" x14ac:dyDescent="0.35">
      <c r="E258" s="193" t="str">
        <f>LicenseeSelect!E351</f>
        <v>Re-opener_Data and digitalisation</v>
      </c>
      <c r="F258" s="126">
        <f>LicenseeSelect!F351</f>
        <v>0</v>
      </c>
      <c r="G258" s="33" t="s">
        <v>109</v>
      </c>
      <c r="H258" s="33" t="str">
        <f>LicenseeSelect!H351</f>
        <v>Non-load related capex - other</v>
      </c>
      <c r="AU258" s="162">
        <f>LicenseeSelect!AU351</f>
        <v>0</v>
      </c>
      <c r="AV258" s="41">
        <f>LicenseeSelect!AV351</f>
        <v>0</v>
      </c>
      <c r="AW258" s="41">
        <f>LicenseeSelect!AW351</f>
        <v>0</v>
      </c>
      <c r="AX258" s="41">
        <f>LicenseeSelect!AX351</f>
        <v>0</v>
      </c>
      <c r="AY258" s="206">
        <f>LicenseeSelect!AY351</f>
        <v>0</v>
      </c>
      <c r="BA258" s="34" t="str">
        <f t="shared" ca="1" si="19"/>
        <v>VariantAllowances</v>
      </c>
      <c r="BB258" s="34" t="str">
        <f t="shared" si="17"/>
        <v>Variant allowances detailed calculation</v>
      </c>
      <c r="BC258" s="34" t="str">
        <f t="shared" si="18"/>
        <v>Variant allowances percentage allocation</v>
      </c>
    </row>
    <row r="259" spans="5:55" x14ac:dyDescent="0.35">
      <c r="E259" s="193" t="str">
        <f>LicenseeSelect!E352</f>
        <v>Re-opener_Data and digitalisation</v>
      </c>
      <c r="F259" s="126">
        <f>LicenseeSelect!F352</f>
        <v>0</v>
      </c>
      <c r="G259" s="33" t="s">
        <v>109</v>
      </c>
      <c r="H259" s="33" t="str">
        <f>LicenseeSelect!H352</f>
        <v>Business support (opex)</v>
      </c>
      <c r="AU259" s="162">
        <f>LicenseeSelect!AU352</f>
        <v>0</v>
      </c>
      <c r="AV259" s="41">
        <f>LicenseeSelect!AV352</f>
        <v>0</v>
      </c>
      <c r="AW259" s="41">
        <f>LicenseeSelect!AW352</f>
        <v>0</v>
      </c>
      <c r="AX259" s="41">
        <f>LicenseeSelect!AX352</f>
        <v>0</v>
      </c>
      <c r="AY259" s="206">
        <f>LicenseeSelect!AY352</f>
        <v>0</v>
      </c>
      <c r="BA259" s="34" t="str">
        <f t="shared" ca="1" si="19"/>
        <v>VariantAllowances</v>
      </c>
      <c r="BB259" s="34" t="str">
        <f t="shared" si="17"/>
        <v>Variant allowances detailed calculation</v>
      </c>
      <c r="BC259" s="34" t="str">
        <f t="shared" si="18"/>
        <v>Variant allowances percentage allocation</v>
      </c>
    </row>
    <row r="260" spans="5:55" x14ac:dyDescent="0.35">
      <c r="E260" s="193" t="str">
        <f>LicenseeSelect!E353</f>
        <v>Re-opener_Data and digitalisation</v>
      </c>
      <c r="F260" s="126">
        <f>LicenseeSelect!F353</f>
        <v>0</v>
      </c>
      <c r="G260" s="33" t="s">
        <v>109</v>
      </c>
      <c r="H260" s="33" t="str">
        <f>LicenseeSelect!H353</f>
        <v>Directs opex</v>
      </c>
      <c r="AU260" s="162">
        <f>LicenseeSelect!AU353</f>
        <v>0</v>
      </c>
      <c r="AV260" s="41">
        <f>LicenseeSelect!AV353</f>
        <v>0</v>
      </c>
      <c r="AW260" s="41">
        <f>LicenseeSelect!AW353</f>
        <v>0</v>
      </c>
      <c r="AX260" s="41">
        <f>LicenseeSelect!AX353</f>
        <v>0</v>
      </c>
      <c r="AY260" s="206">
        <f>LicenseeSelect!AY353</f>
        <v>0</v>
      </c>
      <c r="BA260" s="34" t="str">
        <f t="shared" ca="1" si="19"/>
        <v>VariantAllowances</v>
      </c>
      <c r="BB260" s="34" t="str">
        <f t="shared" si="17"/>
        <v>Variant allowances detailed calculation</v>
      </c>
      <c r="BC260" s="34" t="str">
        <f t="shared" si="18"/>
        <v>Variant allowances percentage allocation</v>
      </c>
    </row>
    <row r="261" spans="5:55" x14ac:dyDescent="0.35">
      <c r="E261" s="195" t="str">
        <f>LicenseeSelect!E354</f>
        <v>Re-opener_Data and digitalisation</v>
      </c>
      <c r="F261" s="207">
        <f>LicenseeSelect!F354</f>
        <v>0</v>
      </c>
      <c r="G261" s="196" t="s">
        <v>109</v>
      </c>
      <c r="H261" s="196" t="str">
        <f>LicenseeSelect!H354</f>
        <v>Repex</v>
      </c>
      <c r="I261" s="196"/>
      <c r="J261" s="196"/>
      <c r="K261" s="196"/>
      <c r="L261" s="196"/>
      <c r="M261" s="196"/>
      <c r="N261" s="196"/>
      <c r="O261" s="196"/>
      <c r="P261" s="196"/>
      <c r="Q261" s="196"/>
      <c r="R261" s="196"/>
      <c r="S261" s="196"/>
      <c r="T261" s="196"/>
      <c r="U261" s="196"/>
      <c r="V261" s="196"/>
      <c r="W261" s="196"/>
      <c r="X261" s="196"/>
      <c r="Y261" s="196"/>
      <c r="Z261" s="196"/>
      <c r="AA261" s="196"/>
      <c r="AB261" s="196"/>
      <c r="AC261" s="196"/>
      <c r="AD261" s="196"/>
      <c r="AE261" s="196"/>
      <c r="AF261" s="196"/>
      <c r="AG261" s="196"/>
      <c r="AH261" s="196"/>
      <c r="AI261" s="196"/>
      <c r="AJ261" s="196"/>
      <c r="AK261" s="196"/>
      <c r="AL261" s="196"/>
      <c r="AM261" s="196"/>
      <c r="AN261" s="196"/>
      <c r="AO261" s="196"/>
      <c r="AP261" s="196"/>
      <c r="AQ261" s="196"/>
      <c r="AR261" s="196"/>
      <c r="AS261" s="196"/>
      <c r="AT261" s="208"/>
      <c r="AU261" s="209">
        <f>LicenseeSelect!AU354</f>
        <v>0</v>
      </c>
      <c r="AV261" s="210">
        <f>LicenseeSelect!AV354</f>
        <v>0</v>
      </c>
      <c r="AW261" s="210">
        <f>LicenseeSelect!AW354</f>
        <v>0</v>
      </c>
      <c r="AX261" s="210">
        <f>LicenseeSelect!AX354</f>
        <v>0</v>
      </c>
      <c r="AY261" s="211">
        <f>LicenseeSelect!AY354</f>
        <v>0</v>
      </c>
      <c r="BA261" s="34" t="str">
        <f t="shared" ca="1" si="19"/>
        <v>VariantAllowances</v>
      </c>
      <c r="BB261" s="34" t="str">
        <f t="shared" si="17"/>
        <v>Variant allowances detailed calculation</v>
      </c>
      <c r="BC261" s="34" t="str">
        <f t="shared" si="18"/>
        <v>Variant allowances percentage allocation</v>
      </c>
    </row>
    <row r="262" spans="5:55" x14ac:dyDescent="0.35">
      <c r="E262" s="187" t="str">
        <f>LicenseeSelect!E355</f>
        <v>Re-opener_Digitalisation re-opener</v>
      </c>
      <c r="F262" s="201">
        <f>LicenseeSelect!F355</f>
        <v>0</v>
      </c>
      <c r="G262" s="188" t="s">
        <v>109</v>
      </c>
      <c r="H262" s="188" t="str">
        <f>LicenseeSelect!H355</f>
        <v>Load related capex</v>
      </c>
      <c r="I262" s="188"/>
      <c r="J262" s="188"/>
      <c r="K262" s="188"/>
      <c r="L262" s="188"/>
      <c r="M262" s="188"/>
      <c r="N262" s="188"/>
      <c r="O262" s="188"/>
      <c r="P262" s="188"/>
      <c r="Q262" s="188"/>
      <c r="R262" s="188"/>
      <c r="S262" s="188"/>
      <c r="T262" s="188"/>
      <c r="U262" s="188"/>
      <c r="V262" s="188"/>
      <c r="W262" s="188"/>
      <c r="X262" s="188"/>
      <c r="Y262" s="188"/>
      <c r="Z262" s="188"/>
      <c r="AA262" s="188"/>
      <c r="AB262" s="188"/>
      <c r="AC262" s="188"/>
      <c r="AD262" s="188"/>
      <c r="AE262" s="188"/>
      <c r="AF262" s="188"/>
      <c r="AG262" s="188"/>
      <c r="AH262" s="188"/>
      <c r="AI262" s="188"/>
      <c r="AJ262" s="188"/>
      <c r="AK262" s="188"/>
      <c r="AL262" s="188"/>
      <c r="AM262" s="188"/>
      <c r="AN262" s="188"/>
      <c r="AO262" s="188"/>
      <c r="AP262" s="188"/>
      <c r="AQ262" s="188"/>
      <c r="AR262" s="188"/>
      <c r="AS262" s="188"/>
      <c r="AT262" s="202"/>
      <c r="AU262" s="203">
        <f>LicenseeSelect!AU355</f>
        <v>0</v>
      </c>
      <c r="AV262" s="204">
        <f>LicenseeSelect!AV355</f>
        <v>0</v>
      </c>
      <c r="AW262" s="204">
        <f>LicenseeSelect!AW355</f>
        <v>0</v>
      </c>
      <c r="AX262" s="204">
        <f>LicenseeSelect!AX355</f>
        <v>0</v>
      </c>
      <c r="AY262" s="205">
        <f>LicenseeSelect!AY355</f>
        <v>0</v>
      </c>
      <c r="BA262" s="34" t="str">
        <f t="shared" ca="1" si="19"/>
        <v>VariantAllowances</v>
      </c>
      <c r="BB262" s="34" t="str">
        <f t="shared" si="17"/>
        <v>Variant allowances detailed calculation</v>
      </c>
      <c r="BC262" s="34" t="str">
        <f t="shared" si="18"/>
        <v>Variant allowances percentage allocation</v>
      </c>
    </row>
    <row r="263" spans="5:55" x14ac:dyDescent="0.35">
      <c r="E263" s="193" t="str">
        <f>LicenseeSelect!E356</f>
        <v>Re-opener_Digitalisation re-opener</v>
      </c>
      <c r="F263" s="126">
        <f>LicenseeSelect!F356</f>
        <v>0</v>
      </c>
      <c r="G263" s="33" t="s">
        <v>109</v>
      </c>
      <c r="H263" s="33" t="str">
        <f>LicenseeSelect!H356</f>
        <v>Non-load related capex - other</v>
      </c>
      <c r="AU263" s="162">
        <f>LicenseeSelect!AU356</f>
        <v>0</v>
      </c>
      <c r="AV263" s="41">
        <f>LicenseeSelect!AV356</f>
        <v>0</v>
      </c>
      <c r="AW263" s="41">
        <f>LicenseeSelect!AW356</f>
        <v>0</v>
      </c>
      <c r="AX263" s="41">
        <f>LicenseeSelect!AX356</f>
        <v>0</v>
      </c>
      <c r="AY263" s="206">
        <f>LicenseeSelect!AY356</f>
        <v>0</v>
      </c>
      <c r="BA263" s="34" t="str">
        <f t="shared" ca="1" si="19"/>
        <v>VariantAllowances</v>
      </c>
      <c r="BB263" s="34" t="str">
        <f t="shared" si="17"/>
        <v>Variant allowances detailed calculation</v>
      </c>
      <c r="BC263" s="34" t="str">
        <f t="shared" si="18"/>
        <v>Variant allowances percentage allocation</v>
      </c>
    </row>
    <row r="264" spans="5:55" x14ac:dyDescent="0.35">
      <c r="E264" s="193" t="str">
        <f>LicenseeSelect!E357</f>
        <v>Re-opener_Digitalisation re-opener</v>
      </c>
      <c r="F264" s="126">
        <f>LicenseeSelect!F357</f>
        <v>0</v>
      </c>
      <c r="G264" s="33" t="s">
        <v>109</v>
      </c>
      <c r="H264" s="33" t="str">
        <f>LicenseeSelect!H357</f>
        <v>Business support (opex)</v>
      </c>
      <c r="AU264" s="162">
        <f>LicenseeSelect!AU357</f>
        <v>0</v>
      </c>
      <c r="AV264" s="41">
        <f>LicenseeSelect!AV357</f>
        <v>0</v>
      </c>
      <c r="AW264" s="41">
        <f>LicenseeSelect!AW357</f>
        <v>0</v>
      </c>
      <c r="AX264" s="41">
        <f>LicenseeSelect!AX357</f>
        <v>0</v>
      </c>
      <c r="AY264" s="206">
        <f>LicenseeSelect!AY357</f>
        <v>0</v>
      </c>
      <c r="BA264" s="34" t="str">
        <f t="shared" ca="1" si="19"/>
        <v>VariantAllowances</v>
      </c>
      <c r="BB264" s="34" t="str">
        <f t="shared" si="17"/>
        <v>Variant allowances detailed calculation</v>
      </c>
      <c r="BC264" s="34" t="str">
        <f t="shared" si="18"/>
        <v>Variant allowances percentage allocation</v>
      </c>
    </row>
    <row r="265" spans="5:55" x14ac:dyDescent="0.35">
      <c r="E265" s="193" t="str">
        <f>LicenseeSelect!E358</f>
        <v>Re-opener_Digitalisation re-opener</v>
      </c>
      <c r="F265" s="126">
        <f>LicenseeSelect!F358</f>
        <v>0</v>
      </c>
      <c r="G265" s="33" t="s">
        <v>109</v>
      </c>
      <c r="H265" s="33" t="str">
        <f>LicenseeSelect!H358</f>
        <v>Directs opex</v>
      </c>
      <c r="AU265" s="162">
        <f>LicenseeSelect!AU358</f>
        <v>0</v>
      </c>
      <c r="AV265" s="41">
        <f>LicenseeSelect!AV358</f>
        <v>0</v>
      </c>
      <c r="AW265" s="41">
        <f>LicenseeSelect!AW358</f>
        <v>0</v>
      </c>
      <c r="AX265" s="41">
        <f>LicenseeSelect!AX358</f>
        <v>0</v>
      </c>
      <c r="AY265" s="206">
        <f>LicenseeSelect!AY358</f>
        <v>0</v>
      </c>
      <c r="BA265" s="34" t="str">
        <f t="shared" ca="1" si="19"/>
        <v>VariantAllowances</v>
      </c>
      <c r="BB265" s="34" t="str">
        <f t="shared" si="17"/>
        <v>Variant allowances detailed calculation</v>
      </c>
      <c r="BC265" s="34" t="str">
        <f t="shared" si="18"/>
        <v>Variant allowances percentage allocation</v>
      </c>
    </row>
    <row r="266" spans="5:55" x14ac:dyDescent="0.35">
      <c r="E266" s="195" t="str">
        <f>LicenseeSelect!E359</f>
        <v>Re-opener_Digitalisation re-opener</v>
      </c>
      <c r="F266" s="207">
        <f>LicenseeSelect!F359</f>
        <v>0</v>
      </c>
      <c r="G266" s="196" t="s">
        <v>109</v>
      </c>
      <c r="H266" s="196" t="str">
        <f>LicenseeSelect!H359</f>
        <v>Repex</v>
      </c>
      <c r="I266" s="196"/>
      <c r="J266" s="196"/>
      <c r="K266" s="196"/>
      <c r="L266" s="196"/>
      <c r="M266" s="196"/>
      <c r="N266" s="196"/>
      <c r="O266" s="196"/>
      <c r="P266" s="196"/>
      <c r="Q266" s="196"/>
      <c r="R266" s="196"/>
      <c r="S266" s="196"/>
      <c r="T266" s="196"/>
      <c r="U266" s="196"/>
      <c r="V266" s="196"/>
      <c r="W266" s="196"/>
      <c r="X266" s="196"/>
      <c r="Y266" s="196"/>
      <c r="Z266" s="196"/>
      <c r="AA266" s="196"/>
      <c r="AB266" s="196"/>
      <c r="AC266" s="196"/>
      <c r="AD266" s="196"/>
      <c r="AE266" s="196"/>
      <c r="AF266" s="196"/>
      <c r="AG266" s="196"/>
      <c r="AH266" s="196"/>
      <c r="AI266" s="196"/>
      <c r="AJ266" s="196"/>
      <c r="AK266" s="196"/>
      <c r="AL266" s="196"/>
      <c r="AM266" s="196"/>
      <c r="AN266" s="196"/>
      <c r="AO266" s="196"/>
      <c r="AP266" s="196"/>
      <c r="AQ266" s="196"/>
      <c r="AR266" s="196"/>
      <c r="AS266" s="196"/>
      <c r="AT266" s="208"/>
      <c r="AU266" s="209">
        <f>LicenseeSelect!AU359</f>
        <v>0</v>
      </c>
      <c r="AV266" s="210">
        <f>LicenseeSelect!AV359</f>
        <v>0</v>
      </c>
      <c r="AW266" s="210">
        <f>LicenseeSelect!AW359</f>
        <v>0</v>
      </c>
      <c r="AX266" s="210">
        <f>LicenseeSelect!AX359</f>
        <v>0</v>
      </c>
      <c r="AY266" s="211">
        <f>LicenseeSelect!AY359</f>
        <v>0</v>
      </c>
      <c r="BA266" s="34" t="str">
        <f t="shared" ca="1" si="19"/>
        <v>VariantAllowances</v>
      </c>
      <c r="BB266" s="34" t="str">
        <f t="shared" si="17"/>
        <v>Variant allowances detailed calculation</v>
      </c>
      <c r="BC266" s="34" t="str">
        <f t="shared" si="18"/>
        <v>Variant allowances percentage allocation</v>
      </c>
    </row>
    <row r="267" spans="5:55" x14ac:dyDescent="0.35">
      <c r="E267" s="187" t="str">
        <f>LicenseeSelect!E360</f>
        <v>Re-opener_Diversions and Loss of Development Claims Re-opener</v>
      </c>
      <c r="F267" s="201">
        <f>LicenseeSelect!F360</f>
        <v>0</v>
      </c>
      <c r="G267" s="188" t="s">
        <v>109</v>
      </c>
      <c r="H267" s="188" t="str">
        <f>LicenseeSelect!H360</f>
        <v>Load related capex</v>
      </c>
      <c r="I267" s="188"/>
      <c r="J267" s="188"/>
      <c r="K267" s="188"/>
      <c r="L267" s="188"/>
      <c r="M267" s="188"/>
      <c r="N267" s="188"/>
      <c r="O267" s="188"/>
      <c r="P267" s="188"/>
      <c r="Q267" s="188"/>
      <c r="R267" s="188"/>
      <c r="S267" s="188"/>
      <c r="T267" s="188"/>
      <c r="U267" s="188"/>
      <c r="V267" s="188"/>
      <c r="W267" s="188"/>
      <c r="X267" s="188"/>
      <c r="Y267" s="188"/>
      <c r="Z267" s="188"/>
      <c r="AA267" s="188"/>
      <c r="AB267" s="188"/>
      <c r="AC267" s="188"/>
      <c r="AD267" s="188"/>
      <c r="AE267" s="188"/>
      <c r="AF267" s="188"/>
      <c r="AG267" s="188"/>
      <c r="AH267" s="188"/>
      <c r="AI267" s="188"/>
      <c r="AJ267" s="188"/>
      <c r="AK267" s="188"/>
      <c r="AL267" s="188"/>
      <c r="AM267" s="188"/>
      <c r="AN267" s="188"/>
      <c r="AO267" s="188"/>
      <c r="AP267" s="188"/>
      <c r="AQ267" s="188"/>
      <c r="AR267" s="188"/>
      <c r="AS267" s="188"/>
      <c r="AT267" s="202"/>
      <c r="AU267" s="203">
        <f>LicenseeSelect!AU360</f>
        <v>0</v>
      </c>
      <c r="AV267" s="204">
        <f>LicenseeSelect!AV360</f>
        <v>0</v>
      </c>
      <c r="AW267" s="204">
        <f>LicenseeSelect!AW360</f>
        <v>0</v>
      </c>
      <c r="AX267" s="204">
        <f>LicenseeSelect!AX360</f>
        <v>0</v>
      </c>
      <c r="AY267" s="205">
        <f>LicenseeSelect!AY360</f>
        <v>0</v>
      </c>
      <c r="BA267" s="34" t="str">
        <f t="shared" ca="1" si="19"/>
        <v>VariantAllowances</v>
      </c>
      <c r="BB267" s="34" t="str">
        <f t="shared" si="17"/>
        <v>Variant allowances detailed calculation</v>
      </c>
      <c r="BC267" s="34" t="str">
        <f t="shared" si="18"/>
        <v>Variant allowances percentage allocation</v>
      </c>
    </row>
    <row r="268" spans="5:55" x14ac:dyDescent="0.35">
      <c r="E268" s="193" t="str">
        <f>LicenseeSelect!E361</f>
        <v>Re-opener_Diversions and Loss of Development Claims Re-opener</v>
      </c>
      <c r="F268" s="126">
        <f>LicenseeSelect!F361</f>
        <v>0</v>
      </c>
      <c r="G268" s="33" t="s">
        <v>109</v>
      </c>
      <c r="H268" s="33" t="str">
        <f>LicenseeSelect!H361</f>
        <v>Non-load related capex - other</v>
      </c>
      <c r="AU268" s="162">
        <f>LicenseeSelect!AU361</f>
        <v>1</v>
      </c>
      <c r="AV268" s="41">
        <f>LicenseeSelect!AV361</f>
        <v>1</v>
      </c>
      <c r="AW268" s="41">
        <f>LicenseeSelect!AW361</f>
        <v>1</v>
      </c>
      <c r="AX268" s="41">
        <f>LicenseeSelect!AX361</f>
        <v>1</v>
      </c>
      <c r="AY268" s="206">
        <f>LicenseeSelect!AY361</f>
        <v>1</v>
      </c>
      <c r="BA268" s="34" t="str">
        <f t="shared" ca="1" si="19"/>
        <v>VariantAllowances</v>
      </c>
      <c r="BB268" s="34" t="str">
        <f t="shared" si="17"/>
        <v>Variant allowances detailed calculation</v>
      </c>
      <c r="BC268" s="34" t="str">
        <f t="shared" si="18"/>
        <v>Variant allowances percentage allocation</v>
      </c>
    </row>
    <row r="269" spans="5:55" x14ac:dyDescent="0.35">
      <c r="E269" s="193" t="str">
        <f>LicenseeSelect!E362</f>
        <v>Re-opener_Diversions and Loss of Development Claims Re-opener</v>
      </c>
      <c r="F269" s="126">
        <f>LicenseeSelect!F362</f>
        <v>0</v>
      </c>
      <c r="G269" s="33" t="s">
        <v>109</v>
      </c>
      <c r="H269" s="33" t="str">
        <f>LicenseeSelect!H362</f>
        <v>Business support (opex)</v>
      </c>
      <c r="AU269" s="162">
        <f>LicenseeSelect!AU362</f>
        <v>0</v>
      </c>
      <c r="AV269" s="41">
        <f>LicenseeSelect!AV362</f>
        <v>0</v>
      </c>
      <c r="AW269" s="41">
        <f>LicenseeSelect!AW362</f>
        <v>0</v>
      </c>
      <c r="AX269" s="41">
        <f>LicenseeSelect!AX362</f>
        <v>0</v>
      </c>
      <c r="AY269" s="206">
        <f>LicenseeSelect!AY362</f>
        <v>0</v>
      </c>
      <c r="BA269" s="34" t="str">
        <f t="shared" ca="1" si="19"/>
        <v>VariantAllowances</v>
      </c>
      <c r="BB269" s="34" t="str">
        <f t="shared" si="17"/>
        <v>Variant allowances detailed calculation</v>
      </c>
      <c r="BC269" s="34" t="str">
        <f t="shared" si="18"/>
        <v>Variant allowances percentage allocation</v>
      </c>
    </row>
    <row r="270" spans="5:55" x14ac:dyDescent="0.35">
      <c r="E270" s="193" t="str">
        <f>LicenseeSelect!E363</f>
        <v>Re-opener_Diversions and Loss of Development Claims Re-opener</v>
      </c>
      <c r="F270" s="126">
        <f>LicenseeSelect!F363</f>
        <v>0</v>
      </c>
      <c r="G270" s="33" t="s">
        <v>109</v>
      </c>
      <c r="H270" s="33" t="str">
        <f>LicenseeSelect!H363</f>
        <v>Directs opex</v>
      </c>
      <c r="AU270" s="162">
        <f>LicenseeSelect!AU363</f>
        <v>0</v>
      </c>
      <c r="AV270" s="41">
        <f>LicenseeSelect!AV363</f>
        <v>0</v>
      </c>
      <c r="AW270" s="41">
        <f>LicenseeSelect!AW363</f>
        <v>0</v>
      </c>
      <c r="AX270" s="41">
        <f>LicenseeSelect!AX363</f>
        <v>0</v>
      </c>
      <c r="AY270" s="206">
        <f>LicenseeSelect!AY363</f>
        <v>0</v>
      </c>
      <c r="BA270" s="34" t="str">
        <f t="shared" ca="1" si="19"/>
        <v>VariantAllowances</v>
      </c>
      <c r="BB270" s="34" t="str">
        <f t="shared" si="17"/>
        <v>Variant allowances detailed calculation</v>
      </c>
      <c r="BC270" s="34" t="str">
        <f t="shared" si="18"/>
        <v>Variant allowances percentage allocation</v>
      </c>
    </row>
    <row r="271" spans="5:55" x14ac:dyDescent="0.35">
      <c r="E271" s="195" t="str">
        <f>LicenseeSelect!E364</f>
        <v>Re-opener_Diversions and Loss of Development Claims Re-opener</v>
      </c>
      <c r="F271" s="207">
        <f>LicenseeSelect!F364</f>
        <v>0</v>
      </c>
      <c r="G271" s="196" t="s">
        <v>109</v>
      </c>
      <c r="H271" s="196" t="str">
        <f>LicenseeSelect!H364</f>
        <v>Repex</v>
      </c>
      <c r="I271" s="196"/>
      <c r="J271" s="196"/>
      <c r="K271" s="196"/>
      <c r="L271" s="196"/>
      <c r="M271" s="196"/>
      <c r="N271" s="196"/>
      <c r="O271" s="196"/>
      <c r="P271" s="196"/>
      <c r="Q271" s="196"/>
      <c r="R271" s="196"/>
      <c r="S271" s="196"/>
      <c r="T271" s="196"/>
      <c r="U271" s="196"/>
      <c r="V271" s="196"/>
      <c r="W271" s="196"/>
      <c r="X271" s="196"/>
      <c r="Y271" s="196"/>
      <c r="Z271" s="196"/>
      <c r="AA271" s="196"/>
      <c r="AB271" s="196"/>
      <c r="AC271" s="196"/>
      <c r="AD271" s="196"/>
      <c r="AE271" s="196"/>
      <c r="AF271" s="196"/>
      <c r="AG271" s="196"/>
      <c r="AH271" s="196"/>
      <c r="AI271" s="196"/>
      <c r="AJ271" s="196"/>
      <c r="AK271" s="196"/>
      <c r="AL271" s="196"/>
      <c r="AM271" s="196"/>
      <c r="AN271" s="196"/>
      <c r="AO271" s="196"/>
      <c r="AP271" s="196"/>
      <c r="AQ271" s="196"/>
      <c r="AR271" s="196"/>
      <c r="AS271" s="196"/>
      <c r="AT271" s="208"/>
      <c r="AU271" s="209">
        <f>LicenseeSelect!AU364</f>
        <v>0</v>
      </c>
      <c r="AV271" s="210">
        <f>LicenseeSelect!AV364</f>
        <v>0</v>
      </c>
      <c r="AW271" s="210">
        <f>LicenseeSelect!AW364</f>
        <v>0</v>
      </c>
      <c r="AX271" s="210">
        <f>LicenseeSelect!AX364</f>
        <v>0</v>
      </c>
      <c r="AY271" s="211">
        <f>LicenseeSelect!AY364</f>
        <v>0</v>
      </c>
      <c r="BA271" s="34" t="str">
        <f t="shared" ca="1" si="19"/>
        <v>VariantAllowances</v>
      </c>
      <c r="BB271" s="34" t="str">
        <f t="shared" si="17"/>
        <v>Variant allowances detailed calculation</v>
      </c>
      <c r="BC271" s="34" t="str">
        <f t="shared" si="18"/>
        <v>Variant allowances percentage allocation</v>
      </c>
    </row>
    <row r="272" spans="5:55" x14ac:dyDescent="0.35">
      <c r="E272" s="187" t="str">
        <f>LicenseeSelect!E365</f>
        <v>Re-opener_Heat Policy re-opener</v>
      </c>
      <c r="F272" s="201">
        <f>LicenseeSelect!F365</f>
        <v>0</v>
      </c>
      <c r="G272" s="188" t="s">
        <v>109</v>
      </c>
      <c r="H272" s="188" t="str">
        <f>LicenseeSelect!H365</f>
        <v>Load related capex</v>
      </c>
      <c r="I272" s="188"/>
      <c r="J272" s="188"/>
      <c r="K272" s="188"/>
      <c r="L272" s="188"/>
      <c r="M272" s="188"/>
      <c r="N272" s="188"/>
      <c r="O272" s="188"/>
      <c r="P272" s="188"/>
      <c r="Q272" s="188"/>
      <c r="R272" s="188"/>
      <c r="S272" s="188"/>
      <c r="T272" s="188"/>
      <c r="U272" s="188"/>
      <c r="V272" s="188"/>
      <c r="W272" s="188"/>
      <c r="X272" s="188"/>
      <c r="Y272" s="188"/>
      <c r="Z272" s="188"/>
      <c r="AA272" s="188"/>
      <c r="AB272" s="188"/>
      <c r="AC272" s="188"/>
      <c r="AD272" s="188"/>
      <c r="AE272" s="188"/>
      <c r="AF272" s="188"/>
      <c r="AG272" s="188"/>
      <c r="AH272" s="188"/>
      <c r="AI272" s="188"/>
      <c r="AJ272" s="188"/>
      <c r="AK272" s="188"/>
      <c r="AL272" s="188"/>
      <c r="AM272" s="188"/>
      <c r="AN272" s="188"/>
      <c r="AO272" s="188"/>
      <c r="AP272" s="188"/>
      <c r="AQ272" s="188"/>
      <c r="AR272" s="188"/>
      <c r="AS272" s="188"/>
      <c r="AT272" s="202"/>
      <c r="AU272" s="203">
        <f>LicenseeSelect!AU365</f>
        <v>0</v>
      </c>
      <c r="AV272" s="204">
        <f>LicenseeSelect!AV365</f>
        <v>0</v>
      </c>
      <c r="AW272" s="204">
        <f>LicenseeSelect!AW365</f>
        <v>0</v>
      </c>
      <c r="AX272" s="204">
        <f>LicenseeSelect!AX365</f>
        <v>0</v>
      </c>
      <c r="AY272" s="205">
        <f>LicenseeSelect!AY365</f>
        <v>0</v>
      </c>
      <c r="BA272" s="34" t="str">
        <f t="shared" ca="1" si="19"/>
        <v>VariantAllowances</v>
      </c>
      <c r="BB272" s="34" t="str">
        <f t="shared" si="17"/>
        <v>Variant allowances detailed calculation</v>
      </c>
      <c r="BC272" s="34" t="str">
        <f t="shared" si="18"/>
        <v>Variant allowances percentage allocation</v>
      </c>
    </row>
    <row r="273" spans="5:55" x14ac:dyDescent="0.35">
      <c r="E273" s="193" t="str">
        <f>LicenseeSelect!E366</f>
        <v>Re-opener_Heat Policy re-opener</v>
      </c>
      <c r="F273" s="126">
        <f>LicenseeSelect!F366</f>
        <v>0</v>
      </c>
      <c r="G273" s="33" t="s">
        <v>109</v>
      </c>
      <c r="H273" s="33" t="str">
        <f>LicenseeSelect!H366</f>
        <v>Non-load related capex - other</v>
      </c>
      <c r="AU273" s="162">
        <f>LicenseeSelect!AU366</f>
        <v>0</v>
      </c>
      <c r="AV273" s="41">
        <f>LicenseeSelect!AV366</f>
        <v>0</v>
      </c>
      <c r="AW273" s="41">
        <f>LicenseeSelect!AW366</f>
        <v>0</v>
      </c>
      <c r="AX273" s="41">
        <f>LicenseeSelect!AX366</f>
        <v>0</v>
      </c>
      <c r="AY273" s="206">
        <f>LicenseeSelect!AY366</f>
        <v>0</v>
      </c>
      <c r="BA273" s="34" t="str">
        <f t="shared" ca="1" si="19"/>
        <v>VariantAllowances</v>
      </c>
      <c r="BB273" s="34" t="str">
        <f t="shared" si="17"/>
        <v>Variant allowances detailed calculation</v>
      </c>
      <c r="BC273" s="34" t="str">
        <f t="shared" si="18"/>
        <v>Variant allowances percentage allocation</v>
      </c>
    </row>
    <row r="274" spans="5:55" x14ac:dyDescent="0.35">
      <c r="E274" s="193" t="str">
        <f>LicenseeSelect!E367</f>
        <v>Re-opener_Heat Policy re-opener</v>
      </c>
      <c r="F274" s="126">
        <f>LicenseeSelect!F367</f>
        <v>0</v>
      </c>
      <c r="G274" s="33" t="s">
        <v>109</v>
      </c>
      <c r="H274" s="33" t="str">
        <f>LicenseeSelect!H367</f>
        <v>Business support (opex)</v>
      </c>
      <c r="AU274" s="162">
        <f>LicenseeSelect!AU367</f>
        <v>0</v>
      </c>
      <c r="AV274" s="41">
        <f>LicenseeSelect!AV367</f>
        <v>0</v>
      </c>
      <c r="AW274" s="41">
        <f>LicenseeSelect!AW367</f>
        <v>0</v>
      </c>
      <c r="AX274" s="41">
        <f>LicenseeSelect!AX367</f>
        <v>0</v>
      </c>
      <c r="AY274" s="206">
        <f>LicenseeSelect!AY367</f>
        <v>0</v>
      </c>
      <c r="BA274" s="34" t="str">
        <f t="shared" ca="1" si="19"/>
        <v>VariantAllowances</v>
      </c>
      <c r="BB274" s="34" t="str">
        <f t="shared" si="17"/>
        <v>Variant allowances detailed calculation</v>
      </c>
      <c r="BC274" s="34" t="str">
        <f t="shared" si="18"/>
        <v>Variant allowances percentage allocation</v>
      </c>
    </row>
    <row r="275" spans="5:55" x14ac:dyDescent="0.35">
      <c r="E275" s="193" t="str">
        <f>LicenseeSelect!E368</f>
        <v>Re-opener_Heat Policy re-opener</v>
      </c>
      <c r="F275" s="126">
        <f>LicenseeSelect!F368</f>
        <v>0</v>
      </c>
      <c r="G275" s="33" t="s">
        <v>109</v>
      </c>
      <c r="H275" s="33" t="str">
        <f>LicenseeSelect!H368</f>
        <v>Directs opex</v>
      </c>
      <c r="AU275" s="162">
        <f>LicenseeSelect!AU368</f>
        <v>0</v>
      </c>
      <c r="AV275" s="41">
        <f>LicenseeSelect!AV368</f>
        <v>0</v>
      </c>
      <c r="AW275" s="41">
        <f>LicenseeSelect!AW368</f>
        <v>0</v>
      </c>
      <c r="AX275" s="41">
        <f>LicenseeSelect!AX368</f>
        <v>0</v>
      </c>
      <c r="AY275" s="206">
        <f>LicenseeSelect!AY368</f>
        <v>0</v>
      </c>
      <c r="BA275" s="34" t="str">
        <f t="shared" ca="1" si="19"/>
        <v>VariantAllowances</v>
      </c>
      <c r="BB275" s="34" t="str">
        <f t="shared" si="17"/>
        <v>Variant allowances detailed calculation</v>
      </c>
      <c r="BC275" s="34" t="str">
        <f t="shared" si="18"/>
        <v>Variant allowances percentage allocation</v>
      </c>
    </row>
    <row r="276" spans="5:55" x14ac:dyDescent="0.35">
      <c r="E276" s="195" t="str">
        <f>LicenseeSelect!E369</f>
        <v>Re-opener_Heat Policy re-opener</v>
      </c>
      <c r="F276" s="207">
        <f>LicenseeSelect!F369</f>
        <v>0</v>
      </c>
      <c r="G276" s="196" t="s">
        <v>109</v>
      </c>
      <c r="H276" s="196" t="str">
        <f>LicenseeSelect!H369</f>
        <v>Repex</v>
      </c>
      <c r="I276" s="196"/>
      <c r="J276" s="196"/>
      <c r="K276" s="196"/>
      <c r="L276" s="196"/>
      <c r="M276" s="196"/>
      <c r="N276" s="196"/>
      <c r="O276" s="196"/>
      <c r="P276" s="196"/>
      <c r="Q276" s="196"/>
      <c r="R276" s="196"/>
      <c r="S276" s="196"/>
      <c r="T276" s="196"/>
      <c r="U276" s="196"/>
      <c r="V276" s="196"/>
      <c r="W276" s="196"/>
      <c r="X276" s="196"/>
      <c r="Y276" s="196"/>
      <c r="Z276" s="196"/>
      <c r="AA276" s="196"/>
      <c r="AB276" s="196"/>
      <c r="AC276" s="196"/>
      <c r="AD276" s="196"/>
      <c r="AE276" s="196"/>
      <c r="AF276" s="196"/>
      <c r="AG276" s="196"/>
      <c r="AH276" s="196"/>
      <c r="AI276" s="196"/>
      <c r="AJ276" s="196"/>
      <c r="AK276" s="196"/>
      <c r="AL276" s="196"/>
      <c r="AM276" s="196"/>
      <c r="AN276" s="196"/>
      <c r="AO276" s="196"/>
      <c r="AP276" s="196"/>
      <c r="AQ276" s="196"/>
      <c r="AR276" s="196"/>
      <c r="AS276" s="196"/>
      <c r="AT276" s="208"/>
      <c r="AU276" s="209">
        <f>LicenseeSelect!AU369</f>
        <v>0</v>
      </c>
      <c r="AV276" s="210">
        <f>LicenseeSelect!AV369</f>
        <v>0</v>
      </c>
      <c r="AW276" s="210">
        <f>LicenseeSelect!AW369</f>
        <v>0</v>
      </c>
      <c r="AX276" s="210">
        <f>LicenseeSelect!AX369</f>
        <v>0</v>
      </c>
      <c r="AY276" s="211">
        <f>LicenseeSelect!AY369</f>
        <v>0</v>
      </c>
      <c r="BA276" s="34" t="str">
        <f t="shared" ca="1" si="19"/>
        <v>VariantAllowances</v>
      </c>
      <c r="BB276" s="34" t="str">
        <f t="shared" si="17"/>
        <v>Variant allowances detailed calculation</v>
      </c>
      <c r="BC276" s="34" t="str">
        <f t="shared" si="18"/>
        <v>Variant allowances percentage allocation</v>
      </c>
    </row>
    <row r="277" spans="5:55" x14ac:dyDescent="0.35">
      <c r="E277" s="187" t="str">
        <f>LicenseeSelect!E370</f>
        <v>Re-opener_HSE Policy Re-opener</v>
      </c>
      <c r="F277" s="201">
        <f>LicenseeSelect!F370</f>
        <v>0</v>
      </c>
      <c r="G277" s="188" t="s">
        <v>109</v>
      </c>
      <c r="H277" s="188" t="str">
        <f>LicenseeSelect!H370</f>
        <v>Load related capex</v>
      </c>
      <c r="I277" s="188"/>
      <c r="J277" s="188"/>
      <c r="K277" s="188"/>
      <c r="L277" s="188"/>
      <c r="M277" s="188"/>
      <c r="N277" s="188"/>
      <c r="O277" s="188"/>
      <c r="P277" s="188"/>
      <c r="Q277" s="188"/>
      <c r="R277" s="188"/>
      <c r="S277" s="188"/>
      <c r="T277" s="188"/>
      <c r="U277" s="188"/>
      <c r="V277" s="188"/>
      <c r="W277" s="188"/>
      <c r="X277" s="188"/>
      <c r="Y277" s="188"/>
      <c r="Z277" s="188"/>
      <c r="AA277" s="188"/>
      <c r="AB277" s="188"/>
      <c r="AC277" s="188"/>
      <c r="AD277" s="188"/>
      <c r="AE277" s="188"/>
      <c r="AF277" s="188"/>
      <c r="AG277" s="188"/>
      <c r="AH277" s="188"/>
      <c r="AI277" s="188"/>
      <c r="AJ277" s="188"/>
      <c r="AK277" s="188"/>
      <c r="AL277" s="188"/>
      <c r="AM277" s="188"/>
      <c r="AN277" s="188"/>
      <c r="AO277" s="188"/>
      <c r="AP277" s="188"/>
      <c r="AQ277" s="188"/>
      <c r="AR277" s="188"/>
      <c r="AS277" s="188"/>
      <c r="AT277" s="202"/>
      <c r="AU277" s="203">
        <f>LicenseeSelect!AU370</f>
        <v>0</v>
      </c>
      <c r="AV277" s="204">
        <f>LicenseeSelect!AV370</f>
        <v>0</v>
      </c>
      <c r="AW277" s="204">
        <f>LicenseeSelect!AW370</f>
        <v>0</v>
      </c>
      <c r="AX277" s="204">
        <f>LicenseeSelect!AX370</f>
        <v>0</v>
      </c>
      <c r="AY277" s="205">
        <f>LicenseeSelect!AY370</f>
        <v>0</v>
      </c>
      <c r="BA277" s="34" t="str">
        <f t="shared" ca="1" si="19"/>
        <v>VariantAllowances</v>
      </c>
      <c r="BB277" s="34" t="str">
        <f t="shared" si="17"/>
        <v>Variant allowances detailed calculation</v>
      </c>
      <c r="BC277" s="34" t="str">
        <f t="shared" si="18"/>
        <v>Variant allowances percentage allocation</v>
      </c>
    </row>
    <row r="278" spans="5:55" x14ac:dyDescent="0.35">
      <c r="E278" s="193" t="str">
        <f>LicenseeSelect!E371</f>
        <v>Re-opener_HSE Policy Re-opener</v>
      </c>
      <c r="F278" s="126">
        <f>LicenseeSelect!F371</f>
        <v>0</v>
      </c>
      <c r="G278" s="33" t="s">
        <v>109</v>
      </c>
      <c r="H278" s="33" t="str">
        <f>LicenseeSelect!H371</f>
        <v>Non-load related capex - other</v>
      </c>
      <c r="AU278" s="162">
        <f>LicenseeSelect!AU371</f>
        <v>0</v>
      </c>
      <c r="AV278" s="41">
        <f>LicenseeSelect!AV371</f>
        <v>0</v>
      </c>
      <c r="AW278" s="41">
        <f>LicenseeSelect!AW371</f>
        <v>0</v>
      </c>
      <c r="AX278" s="41">
        <f>LicenseeSelect!AX371</f>
        <v>0</v>
      </c>
      <c r="AY278" s="206">
        <f>LicenseeSelect!AY371</f>
        <v>0</v>
      </c>
      <c r="BA278" s="34" t="str">
        <f t="shared" ca="1" si="19"/>
        <v>VariantAllowances</v>
      </c>
      <c r="BB278" s="34" t="str">
        <f t="shared" si="17"/>
        <v>Variant allowances detailed calculation</v>
      </c>
      <c r="BC278" s="34" t="str">
        <f t="shared" si="18"/>
        <v>Variant allowances percentage allocation</v>
      </c>
    </row>
    <row r="279" spans="5:55" x14ac:dyDescent="0.35">
      <c r="E279" s="193" t="str">
        <f>LicenseeSelect!E372</f>
        <v>Re-opener_HSE Policy Re-opener</v>
      </c>
      <c r="F279" s="126">
        <f>LicenseeSelect!F372</f>
        <v>0</v>
      </c>
      <c r="G279" s="33" t="s">
        <v>109</v>
      </c>
      <c r="H279" s="33" t="str">
        <f>LicenseeSelect!H372</f>
        <v>Business support (opex)</v>
      </c>
      <c r="AU279" s="162">
        <f>LicenseeSelect!AU372</f>
        <v>0</v>
      </c>
      <c r="AV279" s="41">
        <f>LicenseeSelect!AV372</f>
        <v>0</v>
      </c>
      <c r="AW279" s="41">
        <f>LicenseeSelect!AW372</f>
        <v>0</v>
      </c>
      <c r="AX279" s="41">
        <f>LicenseeSelect!AX372</f>
        <v>0</v>
      </c>
      <c r="AY279" s="206">
        <f>LicenseeSelect!AY372</f>
        <v>0</v>
      </c>
      <c r="BA279" s="34" t="str">
        <f t="shared" ca="1" si="19"/>
        <v>VariantAllowances</v>
      </c>
      <c r="BB279" s="34" t="str">
        <f t="shared" si="17"/>
        <v>Variant allowances detailed calculation</v>
      </c>
      <c r="BC279" s="34" t="str">
        <f t="shared" si="18"/>
        <v>Variant allowances percentage allocation</v>
      </c>
    </row>
    <row r="280" spans="5:55" x14ac:dyDescent="0.35">
      <c r="E280" s="193" t="str">
        <f>LicenseeSelect!E373</f>
        <v>Re-opener_HSE Policy Re-opener</v>
      </c>
      <c r="F280" s="126">
        <f>LicenseeSelect!F373</f>
        <v>0</v>
      </c>
      <c r="G280" s="33" t="s">
        <v>109</v>
      </c>
      <c r="H280" s="33" t="str">
        <f>LicenseeSelect!H373</f>
        <v>Directs opex</v>
      </c>
      <c r="AU280" s="162">
        <f>LicenseeSelect!AU373</f>
        <v>0</v>
      </c>
      <c r="AV280" s="41">
        <f>LicenseeSelect!AV373</f>
        <v>0</v>
      </c>
      <c r="AW280" s="41">
        <f>LicenseeSelect!AW373</f>
        <v>0</v>
      </c>
      <c r="AX280" s="41">
        <f>LicenseeSelect!AX373</f>
        <v>0</v>
      </c>
      <c r="AY280" s="206">
        <f>LicenseeSelect!AY373</f>
        <v>0</v>
      </c>
      <c r="BA280" s="34" t="str">
        <f t="shared" ca="1" si="19"/>
        <v>VariantAllowances</v>
      </c>
      <c r="BB280" s="34" t="str">
        <f t="shared" si="17"/>
        <v>Variant allowances detailed calculation</v>
      </c>
      <c r="BC280" s="34" t="str">
        <f t="shared" si="18"/>
        <v>Variant allowances percentage allocation</v>
      </c>
    </row>
    <row r="281" spans="5:55" x14ac:dyDescent="0.35">
      <c r="E281" s="195" t="str">
        <f>LicenseeSelect!E374</f>
        <v>Re-opener_HSE Policy Re-opener</v>
      </c>
      <c r="F281" s="207">
        <f>LicenseeSelect!F374</f>
        <v>0</v>
      </c>
      <c r="G281" s="196" t="s">
        <v>109</v>
      </c>
      <c r="H281" s="196" t="str">
        <f>LicenseeSelect!H374</f>
        <v>Repex</v>
      </c>
      <c r="I281" s="196"/>
      <c r="J281" s="196"/>
      <c r="K281" s="196"/>
      <c r="L281" s="196"/>
      <c r="M281" s="196"/>
      <c r="N281" s="196"/>
      <c r="O281" s="196"/>
      <c r="P281" s="196"/>
      <c r="Q281" s="196"/>
      <c r="R281" s="196"/>
      <c r="S281" s="196"/>
      <c r="T281" s="196"/>
      <c r="U281" s="196"/>
      <c r="V281" s="196"/>
      <c r="W281" s="196"/>
      <c r="X281" s="196"/>
      <c r="Y281" s="196"/>
      <c r="Z281" s="196"/>
      <c r="AA281" s="196"/>
      <c r="AB281" s="196"/>
      <c r="AC281" s="196"/>
      <c r="AD281" s="196"/>
      <c r="AE281" s="196"/>
      <c r="AF281" s="196"/>
      <c r="AG281" s="196"/>
      <c r="AH281" s="196"/>
      <c r="AI281" s="196"/>
      <c r="AJ281" s="196"/>
      <c r="AK281" s="196"/>
      <c r="AL281" s="196"/>
      <c r="AM281" s="196"/>
      <c r="AN281" s="196"/>
      <c r="AO281" s="196"/>
      <c r="AP281" s="196"/>
      <c r="AQ281" s="196"/>
      <c r="AR281" s="196"/>
      <c r="AS281" s="196"/>
      <c r="AT281" s="208"/>
      <c r="AU281" s="209">
        <f>LicenseeSelect!AU374</f>
        <v>0</v>
      </c>
      <c r="AV281" s="210">
        <f>LicenseeSelect!AV374</f>
        <v>0</v>
      </c>
      <c r="AW281" s="210">
        <f>LicenseeSelect!AW374</f>
        <v>0</v>
      </c>
      <c r="AX281" s="210">
        <f>LicenseeSelect!AX374</f>
        <v>0</v>
      </c>
      <c r="AY281" s="211">
        <f>LicenseeSelect!AY374</f>
        <v>0</v>
      </c>
      <c r="BA281" s="34" t="str">
        <f t="shared" ca="1" si="19"/>
        <v>VariantAllowances</v>
      </c>
      <c r="BB281" s="34" t="str">
        <f t="shared" si="17"/>
        <v>Variant allowances detailed calculation</v>
      </c>
      <c r="BC281" s="34" t="str">
        <f t="shared" si="18"/>
        <v>Variant allowances percentage allocation</v>
      </c>
    </row>
    <row r="282" spans="5:55" x14ac:dyDescent="0.35">
      <c r="E282" s="187" t="str">
        <f>LicenseeSelect!E375</f>
        <v>Re-opener_London Subways and Tunnels</v>
      </c>
      <c r="F282" s="201">
        <f>LicenseeSelect!F375</f>
        <v>0</v>
      </c>
      <c r="G282" s="188" t="s">
        <v>109</v>
      </c>
      <c r="H282" s="188" t="str">
        <f>LicenseeSelect!H375</f>
        <v>Load related capex</v>
      </c>
      <c r="I282" s="188"/>
      <c r="J282" s="188"/>
      <c r="K282" s="188"/>
      <c r="L282" s="188"/>
      <c r="M282" s="188"/>
      <c r="N282" s="188"/>
      <c r="O282" s="188"/>
      <c r="P282" s="188"/>
      <c r="Q282" s="188"/>
      <c r="R282" s="188"/>
      <c r="S282" s="188"/>
      <c r="T282" s="188"/>
      <c r="U282" s="188"/>
      <c r="V282" s="188"/>
      <c r="W282" s="188"/>
      <c r="X282" s="188"/>
      <c r="Y282" s="188"/>
      <c r="Z282" s="188"/>
      <c r="AA282" s="188"/>
      <c r="AB282" s="188"/>
      <c r="AC282" s="188"/>
      <c r="AD282" s="188"/>
      <c r="AE282" s="188"/>
      <c r="AF282" s="188"/>
      <c r="AG282" s="188"/>
      <c r="AH282" s="188"/>
      <c r="AI282" s="188"/>
      <c r="AJ282" s="188"/>
      <c r="AK282" s="188"/>
      <c r="AL282" s="188"/>
      <c r="AM282" s="188"/>
      <c r="AN282" s="188"/>
      <c r="AO282" s="188"/>
      <c r="AP282" s="188"/>
      <c r="AQ282" s="188"/>
      <c r="AR282" s="188"/>
      <c r="AS282" s="188"/>
      <c r="AT282" s="202"/>
      <c r="AU282" s="203">
        <f>LicenseeSelect!AU375</f>
        <v>0</v>
      </c>
      <c r="AV282" s="204">
        <f>LicenseeSelect!AV375</f>
        <v>0</v>
      </c>
      <c r="AW282" s="204">
        <f>LicenseeSelect!AW375</f>
        <v>0</v>
      </c>
      <c r="AX282" s="204">
        <f>LicenseeSelect!AX375</f>
        <v>0</v>
      </c>
      <c r="AY282" s="205">
        <f>LicenseeSelect!AY375</f>
        <v>0</v>
      </c>
      <c r="BA282" s="34" t="str">
        <f t="shared" ca="1" si="19"/>
        <v>VariantAllowances</v>
      </c>
      <c r="BB282" s="34" t="str">
        <f t="shared" si="17"/>
        <v>Variant allowances detailed calculation</v>
      </c>
      <c r="BC282" s="34" t="str">
        <f t="shared" si="18"/>
        <v>Variant allowances percentage allocation</v>
      </c>
    </row>
    <row r="283" spans="5:55" x14ac:dyDescent="0.35">
      <c r="E283" s="193" t="str">
        <f>LicenseeSelect!E376</f>
        <v>Re-opener_London Subways and Tunnels</v>
      </c>
      <c r="F283" s="126">
        <f>LicenseeSelect!F376</f>
        <v>0</v>
      </c>
      <c r="G283" s="33" t="s">
        <v>109</v>
      </c>
      <c r="H283" s="33" t="str">
        <f>LicenseeSelect!H376</f>
        <v>Non-load related capex - other</v>
      </c>
      <c r="AU283" s="162">
        <f>LicenseeSelect!AU376</f>
        <v>0</v>
      </c>
      <c r="AV283" s="41">
        <f>LicenseeSelect!AV376</f>
        <v>0</v>
      </c>
      <c r="AW283" s="41">
        <f>LicenseeSelect!AW376</f>
        <v>0</v>
      </c>
      <c r="AX283" s="41">
        <f>LicenseeSelect!AX376</f>
        <v>0</v>
      </c>
      <c r="AY283" s="206">
        <f>LicenseeSelect!AY376</f>
        <v>0</v>
      </c>
      <c r="BA283" s="34" t="str">
        <f t="shared" ca="1" si="19"/>
        <v>VariantAllowances</v>
      </c>
      <c r="BB283" s="34" t="str">
        <f t="shared" si="17"/>
        <v>Variant allowances detailed calculation</v>
      </c>
      <c r="BC283" s="34" t="str">
        <f t="shared" si="18"/>
        <v>Variant allowances percentage allocation</v>
      </c>
    </row>
    <row r="284" spans="5:55" x14ac:dyDescent="0.35">
      <c r="E284" s="193" t="str">
        <f>LicenseeSelect!E377</f>
        <v>Re-opener_London Subways and Tunnels</v>
      </c>
      <c r="F284" s="126">
        <f>LicenseeSelect!F377</f>
        <v>0</v>
      </c>
      <c r="G284" s="33" t="s">
        <v>109</v>
      </c>
      <c r="H284" s="33" t="str">
        <f>LicenseeSelect!H377</f>
        <v>Business support (opex)</v>
      </c>
      <c r="AU284" s="162">
        <f>LicenseeSelect!AU377</f>
        <v>0</v>
      </c>
      <c r="AV284" s="41">
        <f>LicenseeSelect!AV377</f>
        <v>0</v>
      </c>
      <c r="AW284" s="41">
        <f>LicenseeSelect!AW377</f>
        <v>0</v>
      </c>
      <c r="AX284" s="41">
        <f>LicenseeSelect!AX377</f>
        <v>0</v>
      </c>
      <c r="AY284" s="206">
        <f>LicenseeSelect!AY377</f>
        <v>0</v>
      </c>
      <c r="BA284" s="34" t="str">
        <f t="shared" ca="1" si="19"/>
        <v>VariantAllowances</v>
      </c>
      <c r="BB284" s="34" t="str">
        <f t="shared" si="17"/>
        <v>Variant allowances detailed calculation</v>
      </c>
      <c r="BC284" s="34" t="str">
        <f t="shared" si="18"/>
        <v>Variant allowances percentage allocation</v>
      </c>
    </row>
    <row r="285" spans="5:55" x14ac:dyDescent="0.35">
      <c r="E285" s="193" t="str">
        <f>LicenseeSelect!E378</f>
        <v>Re-opener_London Subways and Tunnels</v>
      </c>
      <c r="F285" s="126">
        <f>LicenseeSelect!F378</f>
        <v>0</v>
      </c>
      <c r="G285" s="33" t="s">
        <v>109</v>
      </c>
      <c r="H285" s="33" t="str">
        <f>LicenseeSelect!H378</f>
        <v>Directs opex</v>
      </c>
      <c r="AU285" s="162">
        <f>LicenseeSelect!AU378</f>
        <v>0</v>
      </c>
      <c r="AV285" s="41">
        <f>LicenseeSelect!AV378</f>
        <v>0</v>
      </c>
      <c r="AW285" s="41">
        <f>LicenseeSelect!AW378</f>
        <v>0</v>
      </c>
      <c r="AX285" s="41">
        <f>LicenseeSelect!AX378</f>
        <v>0</v>
      </c>
      <c r="AY285" s="206">
        <f>LicenseeSelect!AY378</f>
        <v>0</v>
      </c>
      <c r="BA285" s="34" t="str">
        <f t="shared" ca="1" si="19"/>
        <v>VariantAllowances</v>
      </c>
      <c r="BB285" s="34" t="str">
        <f t="shared" si="17"/>
        <v>Variant allowances detailed calculation</v>
      </c>
      <c r="BC285" s="34" t="str">
        <f t="shared" si="18"/>
        <v>Variant allowances percentage allocation</v>
      </c>
    </row>
    <row r="286" spans="5:55" x14ac:dyDescent="0.35">
      <c r="E286" s="195" t="str">
        <f>LicenseeSelect!E379</f>
        <v>Re-opener_London Subways and Tunnels</v>
      </c>
      <c r="F286" s="207">
        <f>LicenseeSelect!F379</f>
        <v>0</v>
      </c>
      <c r="G286" s="196" t="s">
        <v>109</v>
      </c>
      <c r="H286" s="196" t="str">
        <f>LicenseeSelect!H379</f>
        <v>Repex</v>
      </c>
      <c r="I286" s="196"/>
      <c r="J286" s="196"/>
      <c r="K286" s="196"/>
      <c r="L286" s="196"/>
      <c r="M286" s="196"/>
      <c r="N286" s="196"/>
      <c r="O286" s="196"/>
      <c r="P286" s="196"/>
      <c r="Q286" s="196"/>
      <c r="R286" s="196"/>
      <c r="S286" s="196"/>
      <c r="T286" s="196"/>
      <c r="U286" s="196"/>
      <c r="V286" s="196"/>
      <c r="W286" s="196"/>
      <c r="X286" s="196"/>
      <c r="Y286" s="196"/>
      <c r="Z286" s="196"/>
      <c r="AA286" s="196"/>
      <c r="AB286" s="196"/>
      <c r="AC286" s="196"/>
      <c r="AD286" s="196"/>
      <c r="AE286" s="196"/>
      <c r="AF286" s="196"/>
      <c r="AG286" s="196"/>
      <c r="AH286" s="196"/>
      <c r="AI286" s="196"/>
      <c r="AJ286" s="196"/>
      <c r="AK286" s="196"/>
      <c r="AL286" s="196"/>
      <c r="AM286" s="196"/>
      <c r="AN286" s="196"/>
      <c r="AO286" s="196"/>
      <c r="AP286" s="196"/>
      <c r="AQ286" s="196"/>
      <c r="AR286" s="196"/>
      <c r="AS286" s="196"/>
      <c r="AT286" s="208"/>
      <c r="AU286" s="209">
        <f>LicenseeSelect!AU379</f>
        <v>0</v>
      </c>
      <c r="AV286" s="210">
        <f>LicenseeSelect!AV379</f>
        <v>0</v>
      </c>
      <c r="AW286" s="210">
        <f>LicenseeSelect!AW379</f>
        <v>0</v>
      </c>
      <c r="AX286" s="210">
        <f>LicenseeSelect!AX379</f>
        <v>0</v>
      </c>
      <c r="AY286" s="211">
        <f>LicenseeSelect!AY379</f>
        <v>0</v>
      </c>
      <c r="BA286" s="34" t="str">
        <f t="shared" ca="1" si="19"/>
        <v>VariantAllowances</v>
      </c>
      <c r="BB286" s="34" t="str">
        <f t="shared" si="17"/>
        <v>Variant allowances detailed calculation</v>
      </c>
      <c r="BC286" s="34" t="str">
        <f t="shared" si="18"/>
        <v>Variant allowances percentage allocation</v>
      </c>
    </row>
    <row r="287" spans="5:55" x14ac:dyDescent="0.35">
      <c r="E287" s="187" t="str">
        <f>LicenseeSelect!E380</f>
        <v>Re-opener_Net Zero Pre-construction Works and Small Net Zero Projects Re-opener / Small Decarbonisation Projects Re-opener</v>
      </c>
      <c r="F287" s="201">
        <f>LicenseeSelect!F380</f>
        <v>0</v>
      </c>
      <c r="G287" s="188" t="s">
        <v>109</v>
      </c>
      <c r="H287" s="188" t="str">
        <f>LicenseeSelect!H380</f>
        <v>Load related capex</v>
      </c>
      <c r="I287" s="188"/>
      <c r="J287" s="188"/>
      <c r="K287" s="188"/>
      <c r="L287" s="188"/>
      <c r="M287" s="188"/>
      <c r="N287" s="188"/>
      <c r="O287" s="188"/>
      <c r="P287" s="188"/>
      <c r="Q287" s="188"/>
      <c r="R287" s="188"/>
      <c r="S287" s="188"/>
      <c r="T287" s="188"/>
      <c r="U287" s="188"/>
      <c r="V287" s="188"/>
      <c r="W287" s="188"/>
      <c r="X287" s="188"/>
      <c r="Y287" s="188"/>
      <c r="Z287" s="188"/>
      <c r="AA287" s="188"/>
      <c r="AB287" s="188"/>
      <c r="AC287" s="188"/>
      <c r="AD287" s="188"/>
      <c r="AE287" s="188"/>
      <c r="AF287" s="188"/>
      <c r="AG287" s="188"/>
      <c r="AH287" s="188"/>
      <c r="AI287" s="188"/>
      <c r="AJ287" s="188"/>
      <c r="AK287" s="188"/>
      <c r="AL287" s="188"/>
      <c r="AM287" s="188"/>
      <c r="AN287" s="188"/>
      <c r="AO287" s="188"/>
      <c r="AP287" s="188"/>
      <c r="AQ287" s="188"/>
      <c r="AR287" s="188"/>
      <c r="AS287" s="188"/>
      <c r="AT287" s="202"/>
      <c r="AU287" s="203">
        <f>LicenseeSelect!AU380</f>
        <v>0</v>
      </c>
      <c r="AV287" s="204">
        <f>LicenseeSelect!AV380</f>
        <v>0</v>
      </c>
      <c r="AW287" s="204">
        <f>LicenseeSelect!AW380</f>
        <v>0</v>
      </c>
      <c r="AX287" s="204">
        <f>LicenseeSelect!AX380</f>
        <v>0</v>
      </c>
      <c r="AY287" s="205">
        <f>LicenseeSelect!AY380</f>
        <v>0</v>
      </c>
      <c r="BA287" s="34" t="str">
        <f t="shared" ca="1" si="19"/>
        <v>VariantAllowances</v>
      </c>
      <c r="BB287" s="34" t="str">
        <f t="shared" si="17"/>
        <v>Variant allowances detailed calculation</v>
      </c>
      <c r="BC287" s="34" t="str">
        <f t="shared" si="18"/>
        <v>Variant allowances percentage allocation</v>
      </c>
    </row>
    <row r="288" spans="5:55" x14ac:dyDescent="0.35">
      <c r="E288" s="193" t="str">
        <f>LicenseeSelect!E381</f>
        <v>Re-opener_Net Zero Pre-construction Works and Small Net Zero Projects Re-opener / Small Decarbonisation Projects Re-opener</v>
      </c>
      <c r="F288" s="126">
        <f>LicenseeSelect!F381</f>
        <v>0</v>
      </c>
      <c r="G288" s="33" t="s">
        <v>109</v>
      </c>
      <c r="H288" s="33" t="str">
        <f>LicenseeSelect!H381</f>
        <v>Non-load related capex - other</v>
      </c>
      <c r="AU288" s="162">
        <f>LicenseeSelect!AU381</f>
        <v>0</v>
      </c>
      <c r="AV288" s="41">
        <f>LicenseeSelect!AV381</f>
        <v>0</v>
      </c>
      <c r="AW288" s="41">
        <f>LicenseeSelect!AW381</f>
        <v>0</v>
      </c>
      <c r="AX288" s="41">
        <f>LicenseeSelect!AX381</f>
        <v>0</v>
      </c>
      <c r="AY288" s="206">
        <f>LicenseeSelect!AY381</f>
        <v>0</v>
      </c>
      <c r="BA288" s="34" t="str">
        <f t="shared" ca="1" si="19"/>
        <v>VariantAllowances</v>
      </c>
      <c r="BB288" s="34" t="str">
        <f t="shared" si="17"/>
        <v>Variant allowances detailed calculation</v>
      </c>
      <c r="BC288" s="34" t="str">
        <f t="shared" si="18"/>
        <v>Variant allowances percentage allocation</v>
      </c>
    </row>
    <row r="289" spans="5:55" x14ac:dyDescent="0.35">
      <c r="E289" s="193" t="str">
        <f>LicenseeSelect!E382</f>
        <v>Re-opener_Net Zero Pre-construction Works and Small Net Zero Projects Re-opener / Small Decarbonisation Projects Re-opener</v>
      </c>
      <c r="F289" s="126">
        <f>LicenseeSelect!F382</f>
        <v>0</v>
      </c>
      <c r="G289" s="33" t="s">
        <v>109</v>
      </c>
      <c r="H289" s="33" t="str">
        <f>LicenseeSelect!H382</f>
        <v>Business support (opex)</v>
      </c>
      <c r="AU289" s="162">
        <f>LicenseeSelect!AU382</f>
        <v>0</v>
      </c>
      <c r="AV289" s="41">
        <f>LicenseeSelect!AV382</f>
        <v>0</v>
      </c>
      <c r="AW289" s="41">
        <f>LicenseeSelect!AW382</f>
        <v>0</v>
      </c>
      <c r="AX289" s="41">
        <f>LicenseeSelect!AX382</f>
        <v>0</v>
      </c>
      <c r="AY289" s="206">
        <f>LicenseeSelect!AY382</f>
        <v>0</v>
      </c>
      <c r="BA289" s="34" t="str">
        <f t="shared" ca="1" si="19"/>
        <v>VariantAllowances</v>
      </c>
      <c r="BB289" s="34" t="str">
        <f t="shared" si="17"/>
        <v>Variant allowances detailed calculation</v>
      </c>
      <c r="BC289" s="34" t="str">
        <f t="shared" si="18"/>
        <v>Variant allowances percentage allocation</v>
      </c>
    </row>
    <row r="290" spans="5:55" x14ac:dyDescent="0.35">
      <c r="E290" s="193" t="str">
        <f>LicenseeSelect!E383</f>
        <v>Re-opener_Net Zero Pre-construction Works and Small Net Zero Projects Re-opener / Small Decarbonisation Projects Re-opener</v>
      </c>
      <c r="F290" s="126">
        <f>LicenseeSelect!F383</f>
        <v>0</v>
      </c>
      <c r="G290" s="33" t="s">
        <v>109</v>
      </c>
      <c r="H290" s="33" t="str">
        <f>LicenseeSelect!H383</f>
        <v>Directs opex</v>
      </c>
      <c r="AU290" s="162">
        <f>LicenseeSelect!AU383</f>
        <v>0</v>
      </c>
      <c r="AV290" s="41">
        <f>LicenseeSelect!AV383</f>
        <v>0</v>
      </c>
      <c r="AW290" s="41">
        <f>LicenseeSelect!AW383</f>
        <v>0</v>
      </c>
      <c r="AX290" s="41">
        <f>LicenseeSelect!AX383</f>
        <v>0</v>
      </c>
      <c r="AY290" s="206">
        <f>LicenseeSelect!AY383</f>
        <v>0</v>
      </c>
      <c r="BA290" s="34" t="str">
        <f t="shared" ca="1" si="19"/>
        <v>VariantAllowances</v>
      </c>
      <c r="BB290" s="34" t="str">
        <f t="shared" si="17"/>
        <v>Variant allowances detailed calculation</v>
      </c>
      <c r="BC290" s="34" t="str">
        <f t="shared" si="18"/>
        <v>Variant allowances percentage allocation</v>
      </c>
    </row>
    <row r="291" spans="5:55" x14ac:dyDescent="0.35">
      <c r="E291" s="195" t="str">
        <f>LicenseeSelect!E384</f>
        <v>Re-opener_Net Zero Pre-construction Works and Small Net Zero Projects Re-opener / Small Decarbonisation Projects Re-opener</v>
      </c>
      <c r="F291" s="207">
        <f>LicenseeSelect!F384</f>
        <v>0</v>
      </c>
      <c r="G291" s="196" t="s">
        <v>109</v>
      </c>
      <c r="H291" s="196" t="str">
        <f>LicenseeSelect!H384</f>
        <v>Repex</v>
      </c>
      <c r="I291" s="196"/>
      <c r="J291" s="196"/>
      <c r="K291" s="196"/>
      <c r="L291" s="196"/>
      <c r="M291" s="196"/>
      <c r="N291" s="196"/>
      <c r="O291" s="196"/>
      <c r="P291" s="196"/>
      <c r="Q291" s="196"/>
      <c r="R291" s="196"/>
      <c r="S291" s="196"/>
      <c r="T291" s="196"/>
      <c r="U291" s="196"/>
      <c r="V291" s="196"/>
      <c r="W291" s="196"/>
      <c r="X291" s="196"/>
      <c r="Y291" s="196"/>
      <c r="Z291" s="196"/>
      <c r="AA291" s="196"/>
      <c r="AB291" s="196"/>
      <c r="AC291" s="196"/>
      <c r="AD291" s="196"/>
      <c r="AE291" s="196"/>
      <c r="AF291" s="196"/>
      <c r="AG291" s="196"/>
      <c r="AH291" s="196"/>
      <c r="AI291" s="196"/>
      <c r="AJ291" s="196"/>
      <c r="AK291" s="196"/>
      <c r="AL291" s="196"/>
      <c r="AM291" s="196"/>
      <c r="AN291" s="196"/>
      <c r="AO291" s="196"/>
      <c r="AP291" s="196"/>
      <c r="AQ291" s="196"/>
      <c r="AR291" s="196"/>
      <c r="AS291" s="196"/>
      <c r="AT291" s="208"/>
      <c r="AU291" s="209">
        <f>LicenseeSelect!AU384</f>
        <v>0</v>
      </c>
      <c r="AV291" s="210">
        <f>LicenseeSelect!AV384</f>
        <v>0</v>
      </c>
      <c r="AW291" s="210">
        <f>LicenseeSelect!AW384</f>
        <v>0</v>
      </c>
      <c r="AX291" s="210">
        <f>LicenseeSelect!AX384</f>
        <v>0</v>
      </c>
      <c r="AY291" s="211">
        <f>LicenseeSelect!AY384</f>
        <v>0</v>
      </c>
      <c r="BA291" s="34" t="str">
        <f t="shared" ca="1" si="19"/>
        <v>VariantAllowances</v>
      </c>
      <c r="BB291" s="34" t="str">
        <f t="shared" si="17"/>
        <v>Variant allowances detailed calculation</v>
      </c>
      <c r="BC291" s="34" t="str">
        <f t="shared" si="18"/>
        <v>Variant allowances percentage allocation</v>
      </c>
    </row>
    <row r="292" spans="5:55" x14ac:dyDescent="0.35">
      <c r="E292" s="187" t="str">
        <f>LicenseeSelect!E385</f>
        <v>Re-opener_Net zero re-opener / Decarbonisation and Environmental Policy Re-opener</v>
      </c>
      <c r="F292" s="201">
        <f>LicenseeSelect!F385</f>
        <v>0</v>
      </c>
      <c r="G292" s="188" t="s">
        <v>109</v>
      </c>
      <c r="H292" s="188" t="str">
        <f>LicenseeSelect!H385</f>
        <v>Load related capex</v>
      </c>
      <c r="I292" s="188"/>
      <c r="J292" s="188"/>
      <c r="K292" s="188"/>
      <c r="L292" s="188"/>
      <c r="M292" s="188"/>
      <c r="N292" s="188"/>
      <c r="O292" s="188"/>
      <c r="P292" s="188"/>
      <c r="Q292" s="188"/>
      <c r="R292" s="188"/>
      <c r="S292" s="188"/>
      <c r="T292" s="188"/>
      <c r="U292" s="188"/>
      <c r="V292" s="188"/>
      <c r="W292" s="188"/>
      <c r="X292" s="188"/>
      <c r="Y292" s="188"/>
      <c r="Z292" s="188"/>
      <c r="AA292" s="188"/>
      <c r="AB292" s="188"/>
      <c r="AC292" s="188"/>
      <c r="AD292" s="188"/>
      <c r="AE292" s="188"/>
      <c r="AF292" s="188"/>
      <c r="AG292" s="188"/>
      <c r="AH292" s="188"/>
      <c r="AI292" s="188"/>
      <c r="AJ292" s="188"/>
      <c r="AK292" s="188"/>
      <c r="AL292" s="188"/>
      <c r="AM292" s="188"/>
      <c r="AN292" s="188"/>
      <c r="AO292" s="188"/>
      <c r="AP292" s="188"/>
      <c r="AQ292" s="188"/>
      <c r="AR292" s="188"/>
      <c r="AS292" s="188"/>
      <c r="AT292" s="202"/>
      <c r="AU292" s="203">
        <f>LicenseeSelect!AU385</f>
        <v>0</v>
      </c>
      <c r="AV292" s="204">
        <f>LicenseeSelect!AV385</f>
        <v>0</v>
      </c>
      <c r="AW292" s="204">
        <f>LicenseeSelect!AW385</f>
        <v>0</v>
      </c>
      <c r="AX292" s="204">
        <f>LicenseeSelect!AX385</f>
        <v>0</v>
      </c>
      <c r="AY292" s="205">
        <f>LicenseeSelect!AY385</f>
        <v>0</v>
      </c>
      <c r="BA292" s="34" t="str">
        <f t="shared" ca="1" si="19"/>
        <v>VariantAllowances</v>
      </c>
      <c r="BB292" s="34" t="str">
        <f t="shared" si="17"/>
        <v>Variant allowances detailed calculation</v>
      </c>
      <c r="BC292" s="34" t="str">
        <f t="shared" si="18"/>
        <v>Variant allowances percentage allocation</v>
      </c>
    </row>
    <row r="293" spans="5:55" x14ac:dyDescent="0.35">
      <c r="E293" s="193" t="str">
        <f>LicenseeSelect!E386</f>
        <v>Re-opener_Net zero re-opener / Decarbonisation and Environmental Policy Re-opener</v>
      </c>
      <c r="F293" s="126">
        <f>LicenseeSelect!F386</f>
        <v>0</v>
      </c>
      <c r="G293" s="33" t="s">
        <v>109</v>
      </c>
      <c r="H293" s="33" t="str">
        <f>LicenseeSelect!H386</f>
        <v>Non-load related capex - other</v>
      </c>
      <c r="AU293" s="162">
        <f>LicenseeSelect!AU386</f>
        <v>0</v>
      </c>
      <c r="AV293" s="41">
        <f>LicenseeSelect!AV386</f>
        <v>0</v>
      </c>
      <c r="AW293" s="41">
        <f>LicenseeSelect!AW386</f>
        <v>0</v>
      </c>
      <c r="AX293" s="41">
        <f>LicenseeSelect!AX386</f>
        <v>0</v>
      </c>
      <c r="AY293" s="206">
        <f>LicenseeSelect!AY386</f>
        <v>0</v>
      </c>
      <c r="BA293" s="34" t="str">
        <f t="shared" ca="1" si="19"/>
        <v>VariantAllowances</v>
      </c>
      <c r="BB293" s="34" t="str">
        <f t="shared" si="17"/>
        <v>Variant allowances detailed calculation</v>
      </c>
      <c r="BC293" s="34" t="str">
        <f t="shared" si="18"/>
        <v>Variant allowances percentage allocation</v>
      </c>
    </row>
    <row r="294" spans="5:55" x14ac:dyDescent="0.35">
      <c r="E294" s="193" t="str">
        <f>LicenseeSelect!E387</f>
        <v>Re-opener_Net zero re-opener / Decarbonisation and Environmental Policy Re-opener</v>
      </c>
      <c r="F294" s="126">
        <f>LicenseeSelect!F387</f>
        <v>0</v>
      </c>
      <c r="G294" s="33" t="s">
        <v>109</v>
      </c>
      <c r="H294" s="33" t="str">
        <f>LicenseeSelect!H387</f>
        <v>Business support (opex)</v>
      </c>
      <c r="AU294" s="162">
        <f>LicenseeSelect!AU387</f>
        <v>0</v>
      </c>
      <c r="AV294" s="41">
        <f>LicenseeSelect!AV387</f>
        <v>0</v>
      </c>
      <c r="AW294" s="41">
        <f>LicenseeSelect!AW387</f>
        <v>0</v>
      </c>
      <c r="AX294" s="41">
        <f>LicenseeSelect!AX387</f>
        <v>0</v>
      </c>
      <c r="AY294" s="206">
        <f>LicenseeSelect!AY387</f>
        <v>0</v>
      </c>
      <c r="BA294" s="34" t="str">
        <f t="shared" ca="1" si="19"/>
        <v>VariantAllowances</v>
      </c>
      <c r="BB294" s="34" t="str">
        <f t="shared" si="17"/>
        <v>Variant allowances detailed calculation</v>
      </c>
      <c r="BC294" s="34" t="str">
        <f t="shared" si="18"/>
        <v>Variant allowances percentage allocation</v>
      </c>
    </row>
    <row r="295" spans="5:55" x14ac:dyDescent="0.35">
      <c r="E295" s="193" t="str">
        <f>LicenseeSelect!E388</f>
        <v>Re-opener_Net zero re-opener / Decarbonisation and Environmental Policy Re-opener</v>
      </c>
      <c r="F295" s="126">
        <f>LicenseeSelect!F388</f>
        <v>0</v>
      </c>
      <c r="G295" s="33" t="s">
        <v>109</v>
      </c>
      <c r="H295" s="33" t="str">
        <f>LicenseeSelect!H388</f>
        <v>Directs opex</v>
      </c>
      <c r="AU295" s="162">
        <f>LicenseeSelect!AU388</f>
        <v>0</v>
      </c>
      <c r="AV295" s="41">
        <f>LicenseeSelect!AV388</f>
        <v>0</v>
      </c>
      <c r="AW295" s="41">
        <f>LicenseeSelect!AW388</f>
        <v>0</v>
      </c>
      <c r="AX295" s="41">
        <f>LicenseeSelect!AX388</f>
        <v>0</v>
      </c>
      <c r="AY295" s="206">
        <f>LicenseeSelect!AY388</f>
        <v>0</v>
      </c>
      <c r="BA295" s="34" t="str">
        <f t="shared" ca="1" si="19"/>
        <v>VariantAllowances</v>
      </c>
      <c r="BB295" s="34" t="str">
        <f t="shared" ref="BB295:BB358" si="20">$A$363</f>
        <v>Variant allowances detailed calculation</v>
      </c>
      <c r="BC295" s="34" t="str">
        <f t="shared" ref="BC295:BC358" si="21">$B$111</f>
        <v>Variant allowances percentage allocation</v>
      </c>
    </row>
    <row r="296" spans="5:55" x14ac:dyDescent="0.35">
      <c r="E296" s="195" t="str">
        <f>LicenseeSelect!E389</f>
        <v>Re-opener_Net zero re-opener / Decarbonisation and Environmental Policy Re-opener</v>
      </c>
      <c r="F296" s="207">
        <f>LicenseeSelect!F389</f>
        <v>0</v>
      </c>
      <c r="G296" s="196" t="s">
        <v>109</v>
      </c>
      <c r="H296" s="196" t="str">
        <f>LicenseeSelect!H389</f>
        <v>Repex</v>
      </c>
      <c r="I296" s="196"/>
      <c r="J296" s="196"/>
      <c r="K296" s="196"/>
      <c r="L296" s="196"/>
      <c r="M296" s="196"/>
      <c r="N296" s="196"/>
      <c r="O296" s="196"/>
      <c r="P296" s="196"/>
      <c r="Q296" s="196"/>
      <c r="R296" s="196"/>
      <c r="S296" s="196"/>
      <c r="T296" s="196"/>
      <c r="U296" s="196"/>
      <c r="V296" s="196"/>
      <c r="W296" s="196"/>
      <c r="X296" s="196"/>
      <c r="Y296" s="196"/>
      <c r="Z296" s="196"/>
      <c r="AA296" s="196"/>
      <c r="AB296" s="196"/>
      <c r="AC296" s="196"/>
      <c r="AD296" s="196"/>
      <c r="AE296" s="196"/>
      <c r="AF296" s="196"/>
      <c r="AG296" s="196"/>
      <c r="AH296" s="196"/>
      <c r="AI296" s="196"/>
      <c r="AJ296" s="196"/>
      <c r="AK296" s="196"/>
      <c r="AL296" s="196"/>
      <c r="AM296" s="196"/>
      <c r="AN296" s="196"/>
      <c r="AO296" s="196"/>
      <c r="AP296" s="196"/>
      <c r="AQ296" s="196"/>
      <c r="AR296" s="196"/>
      <c r="AS296" s="196"/>
      <c r="AT296" s="208"/>
      <c r="AU296" s="209">
        <f>LicenseeSelect!AU389</f>
        <v>0</v>
      </c>
      <c r="AV296" s="210">
        <f>LicenseeSelect!AV389</f>
        <v>0</v>
      </c>
      <c r="AW296" s="210">
        <f>LicenseeSelect!AW389</f>
        <v>0</v>
      </c>
      <c r="AX296" s="210">
        <f>LicenseeSelect!AX389</f>
        <v>0</v>
      </c>
      <c r="AY296" s="211">
        <f>LicenseeSelect!AY389</f>
        <v>0</v>
      </c>
      <c r="BA296" s="34" t="str">
        <f t="shared" ca="1" si="19"/>
        <v>VariantAllowances</v>
      </c>
      <c r="BB296" s="34" t="str">
        <f t="shared" si="20"/>
        <v>Variant allowances detailed calculation</v>
      </c>
      <c r="BC296" s="34" t="str">
        <f t="shared" si="21"/>
        <v>Variant allowances percentage allocation</v>
      </c>
    </row>
    <row r="297" spans="5:55" x14ac:dyDescent="0.35">
      <c r="E297" s="187" t="str">
        <f>LicenseeSelect!E390</f>
        <v>Re-opener_New Large Load Connections Re-opener</v>
      </c>
      <c r="F297" s="201">
        <f>LicenseeSelect!F390</f>
        <v>0</v>
      </c>
      <c r="G297" s="188" t="s">
        <v>109</v>
      </c>
      <c r="H297" s="188" t="str">
        <f>LicenseeSelect!H390</f>
        <v>Load related capex</v>
      </c>
      <c r="I297" s="188"/>
      <c r="J297" s="188"/>
      <c r="K297" s="188"/>
      <c r="L297" s="188"/>
      <c r="M297" s="188"/>
      <c r="N297" s="188"/>
      <c r="O297" s="188"/>
      <c r="P297" s="188"/>
      <c r="Q297" s="188"/>
      <c r="R297" s="188"/>
      <c r="S297" s="188"/>
      <c r="T297" s="188"/>
      <c r="U297" s="188"/>
      <c r="V297" s="188"/>
      <c r="W297" s="188"/>
      <c r="X297" s="188"/>
      <c r="Y297" s="188"/>
      <c r="Z297" s="188"/>
      <c r="AA297" s="188"/>
      <c r="AB297" s="188"/>
      <c r="AC297" s="188"/>
      <c r="AD297" s="188"/>
      <c r="AE297" s="188"/>
      <c r="AF297" s="188"/>
      <c r="AG297" s="188"/>
      <c r="AH297" s="188"/>
      <c r="AI297" s="188"/>
      <c r="AJ297" s="188"/>
      <c r="AK297" s="188"/>
      <c r="AL297" s="188"/>
      <c r="AM297" s="188"/>
      <c r="AN297" s="188"/>
      <c r="AO297" s="188"/>
      <c r="AP297" s="188"/>
      <c r="AQ297" s="188"/>
      <c r="AR297" s="188"/>
      <c r="AS297" s="188"/>
      <c r="AT297" s="202"/>
      <c r="AU297" s="203">
        <f>LicenseeSelect!AU390</f>
        <v>0</v>
      </c>
      <c r="AV297" s="204">
        <f>LicenseeSelect!AV390</f>
        <v>0</v>
      </c>
      <c r="AW297" s="204">
        <f>LicenseeSelect!AW390</f>
        <v>0</v>
      </c>
      <c r="AX297" s="204">
        <f>LicenseeSelect!AX390</f>
        <v>0</v>
      </c>
      <c r="AY297" s="205">
        <f>LicenseeSelect!AY390</f>
        <v>0</v>
      </c>
      <c r="BA297" s="34" t="str">
        <f t="shared" ca="1" si="19"/>
        <v>VariantAllowances</v>
      </c>
      <c r="BB297" s="34" t="str">
        <f t="shared" si="20"/>
        <v>Variant allowances detailed calculation</v>
      </c>
      <c r="BC297" s="34" t="str">
        <f t="shared" si="21"/>
        <v>Variant allowances percentage allocation</v>
      </c>
    </row>
    <row r="298" spans="5:55" x14ac:dyDescent="0.35">
      <c r="E298" s="193" t="str">
        <f>LicenseeSelect!E391</f>
        <v>Re-opener_New Large Load Connections Re-opener</v>
      </c>
      <c r="F298" s="126">
        <f>LicenseeSelect!F391</f>
        <v>0</v>
      </c>
      <c r="G298" s="33" t="s">
        <v>109</v>
      </c>
      <c r="H298" s="33" t="str">
        <f>LicenseeSelect!H391</f>
        <v>Non-load related capex - other</v>
      </c>
      <c r="AU298" s="162">
        <f>LicenseeSelect!AU391</f>
        <v>0</v>
      </c>
      <c r="AV298" s="41">
        <f>LicenseeSelect!AV391</f>
        <v>0</v>
      </c>
      <c r="AW298" s="41">
        <f>LicenseeSelect!AW391</f>
        <v>0</v>
      </c>
      <c r="AX298" s="41">
        <f>LicenseeSelect!AX391</f>
        <v>0</v>
      </c>
      <c r="AY298" s="206">
        <f>LicenseeSelect!AY391</f>
        <v>0</v>
      </c>
      <c r="BA298" s="34" t="str">
        <f t="shared" ca="1" si="19"/>
        <v>VariantAllowances</v>
      </c>
      <c r="BB298" s="34" t="str">
        <f t="shared" si="20"/>
        <v>Variant allowances detailed calculation</v>
      </c>
      <c r="BC298" s="34" t="str">
        <f t="shared" si="21"/>
        <v>Variant allowances percentage allocation</v>
      </c>
    </row>
    <row r="299" spans="5:55" x14ac:dyDescent="0.35">
      <c r="E299" s="193" t="str">
        <f>LicenseeSelect!E392</f>
        <v>Re-opener_New Large Load Connections Re-opener</v>
      </c>
      <c r="F299" s="126">
        <f>LicenseeSelect!F392</f>
        <v>0</v>
      </c>
      <c r="G299" s="33" t="s">
        <v>109</v>
      </c>
      <c r="H299" s="33" t="str">
        <f>LicenseeSelect!H392</f>
        <v>Business support (opex)</v>
      </c>
      <c r="AU299" s="162">
        <f>LicenseeSelect!AU392</f>
        <v>0</v>
      </c>
      <c r="AV299" s="41">
        <f>LicenseeSelect!AV392</f>
        <v>0</v>
      </c>
      <c r="AW299" s="41">
        <f>LicenseeSelect!AW392</f>
        <v>0</v>
      </c>
      <c r="AX299" s="41">
        <f>LicenseeSelect!AX392</f>
        <v>0</v>
      </c>
      <c r="AY299" s="206">
        <f>LicenseeSelect!AY392</f>
        <v>0</v>
      </c>
      <c r="BA299" s="34" t="str">
        <f t="shared" ca="1" si="19"/>
        <v>VariantAllowances</v>
      </c>
      <c r="BB299" s="34" t="str">
        <f t="shared" si="20"/>
        <v>Variant allowances detailed calculation</v>
      </c>
      <c r="BC299" s="34" t="str">
        <f t="shared" si="21"/>
        <v>Variant allowances percentage allocation</v>
      </c>
    </row>
    <row r="300" spans="5:55" x14ac:dyDescent="0.35">
      <c r="E300" s="193" t="str">
        <f>LicenseeSelect!E393</f>
        <v>Re-opener_New Large Load Connections Re-opener</v>
      </c>
      <c r="F300" s="126">
        <f>LicenseeSelect!F393</f>
        <v>0</v>
      </c>
      <c r="G300" s="33" t="s">
        <v>109</v>
      </c>
      <c r="H300" s="33" t="str">
        <f>LicenseeSelect!H393</f>
        <v>Directs opex</v>
      </c>
      <c r="AU300" s="162">
        <f>LicenseeSelect!AU393</f>
        <v>0</v>
      </c>
      <c r="AV300" s="41">
        <f>LicenseeSelect!AV393</f>
        <v>0</v>
      </c>
      <c r="AW300" s="41">
        <f>LicenseeSelect!AW393</f>
        <v>0</v>
      </c>
      <c r="AX300" s="41">
        <f>LicenseeSelect!AX393</f>
        <v>0</v>
      </c>
      <c r="AY300" s="206">
        <f>LicenseeSelect!AY393</f>
        <v>0</v>
      </c>
      <c r="BA300" s="34" t="str">
        <f t="shared" ca="1" si="19"/>
        <v>VariantAllowances</v>
      </c>
      <c r="BB300" s="34" t="str">
        <f t="shared" si="20"/>
        <v>Variant allowances detailed calculation</v>
      </c>
      <c r="BC300" s="34" t="str">
        <f t="shared" si="21"/>
        <v>Variant allowances percentage allocation</v>
      </c>
    </row>
    <row r="301" spans="5:55" x14ac:dyDescent="0.35">
      <c r="E301" s="195" t="str">
        <f>LicenseeSelect!E394</f>
        <v>Re-opener_New Large Load Connections Re-opener</v>
      </c>
      <c r="F301" s="207">
        <f>LicenseeSelect!F394</f>
        <v>0</v>
      </c>
      <c r="G301" s="196" t="s">
        <v>109</v>
      </c>
      <c r="H301" s="196" t="str">
        <f>LicenseeSelect!H394</f>
        <v>Repex</v>
      </c>
      <c r="I301" s="196"/>
      <c r="J301" s="196"/>
      <c r="K301" s="196"/>
      <c r="L301" s="196"/>
      <c r="M301" s="196"/>
      <c r="N301" s="196"/>
      <c r="O301" s="196"/>
      <c r="P301" s="196"/>
      <c r="Q301" s="196"/>
      <c r="R301" s="196"/>
      <c r="S301" s="196"/>
      <c r="T301" s="196"/>
      <c r="U301" s="196"/>
      <c r="V301" s="196"/>
      <c r="W301" s="196"/>
      <c r="X301" s="196"/>
      <c r="Y301" s="196"/>
      <c r="Z301" s="196"/>
      <c r="AA301" s="196"/>
      <c r="AB301" s="196"/>
      <c r="AC301" s="196"/>
      <c r="AD301" s="196"/>
      <c r="AE301" s="196"/>
      <c r="AF301" s="196"/>
      <c r="AG301" s="196"/>
      <c r="AH301" s="196"/>
      <c r="AI301" s="196"/>
      <c r="AJ301" s="196"/>
      <c r="AK301" s="196"/>
      <c r="AL301" s="196"/>
      <c r="AM301" s="196"/>
      <c r="AN301" s="196"/>
      <c r="AO301" s="196"/>
      <c r="AP301" s="196"/>
      <c r="AQ301" s="196"/>
      <c r="AR301" s="196"/>
      <c r="AS301" s="196"/>
      <c r="AT301" s="208"/>
      <c r="AU301" s="209">
        <f>LicenseeSelect!AU394</f>
        <v>0</v>
      </c>
      <c r="AV301" s="210">
        <f>LicenseeSelect!AV394</f>
        <v>0</v>
      </c>
      <c r="AW301" s="210">
        <f>LicenseeSelect!AW394</f>
        <v>0</v>
      </c>
      <c r="AX301" s="210">
        <f>LicenseeSelect!AX394</f>
        <v>0</v>
      </c>
      <c r="AY301" s="211">
        <f>LicenseeSelect!AY394</f>
        <v>0</v>
      </c>
      <c r="BA301" s="34" t="str">
        <f t="shared" ca="1" si="19"/>
        <v>VariantAllowances</v>
      </c>
      <c r="BB301" s="34" t="str">
        <f t="shared" si="20"/>
        <v>Variant allowances detailed calculation</v>
      </c>
      <c r="BC301" s="34" t="str">
        <f t="shared" si="21"/>
        <v>Variant allowances percentage allocation</v>
      </c>
    </row>
    <row r="302" spans="5:55" x14ac:dyDescent="0.35">
      <c r="E302" s="187" t="str">
        <f>LicenseeSelect!E395</f>
        <v>Re-opener_Resilience re-opener / Resilience Activity Re-opener</v>
      </c>
      <c r="F302" s="201">
        <f>LicenseeSelect!F395</f>
        <v>0</v>
      </c>
      <c r="G302" s="188" t="s">
        <v>109</v>
      </c>
      <c r="H302" s="188" t="str">
        <f>LicenseeSelect!H395</f>
        <v>Load related capex</v>
      </c>
      <c r="I302" s="188"/>
      <c r="J302" s="188"/>
      <c r="K302" s="188"/>
      <c r="L302" s="188"/>
      <c r="M302" s="188"/>
      <c r="N302" s="188"/>
      <c r="O302" s="188"/>
      <c r="P302" s="188"/>
      <c r="Q302" s="188"/>
      <c r="R302" s="188"/>
      <c r="S302" s="188"/>
      <c r="T302" s="188"/>
      <c r="U302" s="188"/>
      <c r="V302" s="188"/>
      <c r="W302" s="188"/>
      <c r="X302" s="188"/>
      <c r="Y302" s="188"/>
      <c r="Z302" s="188"/>
      <c r="AA302" s="188"/>
      <c r="AB302" s="188"/>
      <c r="AC302" s="188"/>
      <c r="AD302" s="188"/>
      <c r="AE302" s="188"/>
      <c r="AF302" s="188"/>
      <c r="AG302" s="188"/>
      <c r="AH302" s="188"/>
      <c r="AI302" s="188"/>
      <c r="AJ302" s="188"/>
      <c r="AK302" s="188"/>
      <c r="AL302" s="188"/>
      <c r="AM302" s="188"/>
      <c r="AN302" s="188"/>
      <c r="AO302" s="188"/>
      <c r="AP302" s="188"/>
      <c r="AQ302" s="188"/>
      <c r="AR302" s="188"/>
      <c r="AS302" s="188"/>
      <c r="AT302" s="202"/>
      <c r="AU302" s="203">
        <f>LicenseeSelect!AU395</f>
        <v>0</v>
      </c>
      <c r="AV302" s="204">
        <f>LicenseeSelect!AV395</f>
        <v>0</v>
      </c>
      <c r="AW302" s="204">
        <f>LicenseeSelect!AW395</f>
        <v>0</v>
      </c>
      <c r="AX302" s="204">
        <f>LicenseeSelect!AX395</f>
        <v>0</v>
      </c>
      <c r="AY302" s="205">
        <f>LicenseeSelect!AY395</f>
        <v>0</v>
      </c>
      <c r="BA302" s="34" t="str">
        <f t="shared" ca="1" si="19"/>
        <v>VariantAllowances</v>
      </c>
      <c r="BB302" s="34" t="str">
        <f t="shared" si="20"/>
        <v>Variant allowances detailed calculation</v>
      </c>
      <c r="BC302" s="34" t="str">
        <f t="shared" si="21"/>
        <v>Variant allowances percentage allocation</v>
      </c>
    </row>
    <row r="303" spans="5:55" x14ac:dyDescent="0.35">
      <c r="E303" s="193" t="str">
        <f>LicenseeSelect!E396</f>
        <v>Re-opener_Resilience re-opener / Resilience Activity Re-opener</v>
      </c>
      <c r="F303" s="126">
        <f>LicenseeSelect!F396</f>
        <v>0</v>
      </c>
      <c r="G303" s="33" t="s">
        <v>109</v>
      </c>
      <c r="H303" s="33" t="str">
        <f>LicenseeSelect!H396</f>
        <v>Non-load related capex - other</v>
      </c>
      <c r="AU303" s="162">
        <f>LicenseeSelect!AU396</f>
        <v>0</v>
      </c>
      <c r="AV303" s="41">
        <f>LicenseeSelect!AV396</f>
        <v>0</v>
      </c>
      <c r="AW303" s="41">
        <f>LicenseeSelect!AW396</f>
        <v>0</v>
      </c>
      <c r="AX303" s="41">
        <f>LicenseeSelect!AX396</f>
        <v>0</v>
      </c>
      <c r="AY303" s="206">
        <f>LicenseeSelect!AY396</f>
        <v>0</v>
      </c>
      <c r="BA303" s="34" t="str">
        <f t="shared" ca="1" si="19"/>
        <v>VariantAllowances</v>
      </c>
      <c r="BB303" s="34" t="str">
        <f t="shared" si="20"/>
        <v>Variant allowances detailed calculation</v>
      </c>
      <c r="BC303" s="34" t="str">
        <f t="shared" si="21"/>
        <v>Variant allowances percentage allocation</v>
      </c>
    </row>
    <row r="304" spans="5:55" x14ac:dyDescent="0.35">
      <c r="E304" s="193" t="str">
        <f>LicenseeSelect!E397</f>
        <v>Re-opener_Resilience re-opener / Resilience Activity Re-opener</v>
      </c>
      <c r="F304" s="126">
        <f>LicenseeSelect!F397</f>
        <v>0</v>
      </c>
      <c r="G304" s="33" t="s">
        <v>109</v>
      </c>
      <c r="H304" s="33" t="str">
        <f>LicenseeSelect!H397</f>
        <v>Business support (opex)</v>
      </c>
      <c r="AU304" s="162">
        <f>LicenseeSelect!AU397</f>
        <v>0</v>
      </c>
      <c r="AV304" s="41">
        <f>LicenseeSelect!AV397</f>
        <v>0</v>
      </c>
      <c r="AW304" s="41">
        <f>LicenseeSelect!AW397</f>
        <v>0</v>
      </c>
      <c r="AX304" s="41">
        <f>LicenseeSelect!AX397</f>
        <v>0</v>
      </c>
      <c r="AY304" s="206">
        <f>LicenseeSelect!AY397</f>
        <v>0</v>
      </c>
      <c r="BA304" s="34" t="str">
        <f t="shared" ca="1" si="19"/>
        <v>VariantAllowances</v>
      </c>
      <c r="BB304" s="34" t="str">
        <f t="shared" si="20"/>
        <v>Variant allowances detailed calculation</v>
      </c>
      <c r="BC304" s="34" t="str">
        <f t="shared" si="21"/>
        <v>Variant allowances percentage allocation</v>
      </c>
    </row>
    <row r="305" spans="5:55" x14ac:dyDescent="0.35">
      <c r="E305" s="193" t="str">
        <f>LicenseeSelect!E398</f>
        <v>Re-opener_Resilience re-opener / Resilience Activity Re-opener</v>
      </c>
      <c r="F305" s="126">
        <f>LicenseeSelect!F398</f>
        <v>0</v>
      </c>
      <c r="G305" s="33" t="s">
        <v>109</v>
      </c>
      <c r="H305" s="33" t="str">
        <f>LicenseeSelect!H398</f>
        <v>Directs opex</v>
      </c>
      <c r="AU305" s="162">
        <f>LicenseeSelect!AU398</f>
        <v>0</v>
      </c>
      <c r="AV305" s="41">
        <f>LicenseeSelect!AV398</f>
        <v>0</v>
      </c>
      <c r="AW305" s="41">
        <f>LicenseeSelect!AW398</f>
        <v>0</v>
      </c>
      <c r="AX305" s="41">
        <f>LicenseeSelect!AX398</f>
        <v>0</v>
      </c>
      <c r="AY305" s="206">
        <f>LicenseeSelect!AY398</f>
        <v>0</v>
      </c>
      <c r="BA305" s="34" t="str">
        <f t="shared" ca="1" si="19"/>
        <v>VariantAllowances</v>
      </c>
      <c r="BB305" s="34" t="str">
        <f t="shared" si="20"/>
        <v>Variant allowances detailed calculation</v>
      </c>
      <c r="BC305" s="34" t="str">
        <f t="shared" si="21"/>
        <v>Variant allowances percentage allocation</v>
      </c>
    </row>
    <row r="306" spans="5:55" x14ac:dyDescent="0.35">
      <c r="E306" s="195" t="str">
        <f>LicenseeSelect!E399</f>
        <v>Re-opener_Resilience re-opener / Resilience Activity Re-opener</v>
      </c>
      <c r="F306" s="207">
        <f>LicenseeSelect!F399</f>
        <v>0</v>
      </c>
      <c r="G306" s="196" t="s">
        <v>109</v>
      </c>
      <c r="H306" s="196" t="str">
        <f>LicenseeSelect!H399</f>
        <v>Repex</v>
      </c>
      <c r="I306" s="196"/>
      <c r="J306" s="196"/>
      <c r="K306" s="196"/>
      <c r="L306" s="196"/>
      <c r="M306" s="196"/>
      <c r="N306" s="196"/>
      <c r="O306" s="196"/>
      <c r="P306" s="196"/>
      <c r="Q306" s="196"/>
      <c r="R306" s="196"/>
      <c r="S306" s="196"/>
      <c r="T306" s="196"/>
      <c r="U306" s="196"/>
      <c r="V306" s="196"/>
      <c r="W306" s="196"/>
      <c r="X306" s="196"/>
      <c r="Y306" s="196"/>
      <c r="Z306" s="196"/>
      <c r="AA306" s="196"/>
      <c r="AB306" s="196"/>
      <c r="AC306" s="196"/>
      <c r="AD306" s="196"/>
      <c r="AE306" s="196"/>
      <c r="AF306" s="196"/>
      <c r="AG306" s="196"/>
      <c r="AH306" s="196"/>
      <c r="AI306" s="196"/>
      <c r="AJ306" s="196"/>
      <c r="AK306" s="196"/>
      <c r="AL306" s="196"/>
      <c r="AM306" s="196"/>
      <c r="AN306" s="196"/>
      <c r="AO306" s="196"/>
      <c r="AP306" s="196"/>
      <c r="AQ306" s="196"/>
      <c r="AR306" s="196"/>
      <c r="AS306" s="196"/>
      <c r="AT306" s="208"/>
      <c r="AU306" s="209">
        <f>LicenseeSelect!AU399</f>
        <v>0</v>
      </c>
      <c r="AV306" s="210">
        <f>LicenseeSelect!AV399</f>
        <v>0</v>
      </c>
      <c r="AW306" s="210">
        <f>LicenseeSelect!AW399</f>
        <v>0</v>
      </c>
      <c r="AX306" s="210">
        <f>LicenseeSelect!AX399</f>
        <v>0</v>
      </c>
      <c r="AY306" s="211">
        <f>LicenseeSelect!AY399</f>
        <v>0</v>
      </c>
      <c r="BA306" s="34" t="str">
        <f t="shared" ca="1" si="19"/>
        <v>VariantAllowances</v>
      </c>
      <c r="BB306" s="34" t="str">
        <f t="shared" si="20"/>
        <v>Variant allowances detailed calculation</v>
      </c>
      <c r="BC306" s="34" t="str">
        <f t="shared" si="21"/>
        <v>Variant allowances percentage allocation</v>
      </c>
    </row>
    <row r="307" spans="5:55" x14ac:dyDescent="0.35">
      <c r="E307" s="187" t="str">
        <f>LicenseeSelect!E400</f>
        <v>Re-opener_Specified Streetworks Costs Re-opener</v>
      </c>
      <c r="F307" s="201">
        <f>LicenseeSelect!F400</f>
        <v>0</v>
      </c>
      <c r="G307" s="188" t="s">
        <v>109</v>
      </c>
      <c r="H307" s="188" t="str">
        <f>LicenseeSelect!H400</f>
        <v>Load related capex</v>
      </c>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202"/>
      <c r="AU307" s="203">
        <f>LicenseeSelect!AU400</f>
        <v>0</v>
      </c>
      <c r="AV307" s="204">
        <f>LicenseeSelect!AV400</f>
        <v>0</v>
      </c>
      <c r="AW307" s="204">
        <f>LicenseeSelect!AW400</f>
        <v>0</v>
      </c>
      <c r="AX307" s="204">
        <f>LicenseeSelect!AX400</f>
        <v>0</v>
      </c>
      <c r="AY307" s="205">
        <f>LicenseeSelect!AY400</f>
        <v>0</v>
      </c>
      <c r="BA307" s="34" t="str">
        <f t="shared" ca="1" si="19"/>
        <v>VariantAllowances</v>
      </c>
      <c r="BB307" s="34" t="str">
        <f t="shared" si="20"/>
        <v>Variant allowances detailed calculation</v>
      </c>
      <c r="BC307" s="34" t="str">
        <f t="shared" si="21"/>
        <v>Variant allowances percentage allocation</v>
      </c>
    </row>
    <row r="308" spans="5:55" x14ac:dyDescent="0.35">
      <c r="E308" s="193" t="str">
        <f>LicenseeSelect!E401</f>
        <v>Re-opener_Specified Streetworks Costs Re-opener</v>
      </c>
      <c r="F308" s="126">
        <f>LicenseeSelect!F401</f>
        <v>0</v>
      </c>
      <c r="G308" s="33" t="s">
        <v>109</v>
      </c>
      <c r="H308" s="33" t="str">
        <f>LicenseeSelect!H401</f>
        <v>Non-load related capex - other</v>
      </c>
      <c r="AU308" s="162">
        <f>LicenseeSelect!AU401</f>
        <v>0</v>
      </c>
      <c r="AV308" s="41">
        <f>LicenseeSelect!AV401</f>
        <v>0</v>
      </c>
      <c r="AW308" s="41">
        <f>LicenseeSelect!AW401</f>
        <v>0</v>
      </c>
      <c r="AX308" s="41">
        <f>LicenseeSelect!AX401</f>
        <v>0</v>
      </c>
      <c r="AY308" s="206">
        <f>LicenseeSelect!AY401</f>
        <v>0</v>
      </c>
      <c r="BA308" s="34" t="str">
        <f t="shared" ca="1" si="19"/>
        <v>VariantAllowances</v>
      </c>
      <c r="BB308" s="34" t="str">
        <f t="shared" si="20"/>
        <v>Variant allowances detailed calculation</v>
      </c>
      <c r="BC308" s="34" t="str">
        <f t="shared" si="21"/>
        <v>Variant allowances percentage allocation</v>
      </c>
    </row>
    <row r="309" spans="5:55" x14ac:dyDescent="0.35">
      <c r="E309" s="193" t="str">
        <f>LicenseeSelect!E402</f>
        <v>Re-opener_Specified Streetworks Costs Re-opener</v>
      </c>
      <c r="F309" s="126">
        <f>LicenseeSelect!F402</f>
        <v>0</v>
      </c>
      <c r="G309" s="33" t="s">
        <v>109</v>
      </c>
      <c r="H309" s="33" t="str">
        <f>LicenseeSelect!H402</f>
        <v>Business support (opex)</v>
      </c>
      <c r="AU309" s="162">
        <f>LicenseeSelect!AU402</f>
        <v>0</v>
      </c>
      <c r="AV309" s="41">
        <f>LicenseeSelect!AV402</f>
        <v>0</v>
      </c>
      <c r="AW309" s="41">
        <f>LicenseeSelect!AW402</f>
        <v>0</v>
      </c>
      <c r="AX309" s="41">
        <f>LicenseeSelect!AX402</f>
        <v>0</v>
      </c>
      <c r="AY309" s="206">
        <f>LicenseeSelect!AY402</f>
        <v>0</v>
      </c>
      <c r="BA309" s="34" t="str">
        <f t="shared" ca="1" si="19"/>
        <v>VariantAllowances</v>
      </c>
      <c r="BB309" s="34" t="str">
        <f t="shared" si="20"/>
        <v>Variant allowances detailed calculation</v>
      </c>
      <c r="BC309" s="34" t="str">
        <f t="shared" si="21"/>
        <v>Variant allowances percentage allocation</v>
      </c>
    </row>
    <row r="310" spans="5:55" x14ac:dyDescent="0.35">
      <c r="E310" s="193" t="str">
        <f>LicenseeSelect!E403</f>
        <v>Re-opener_Specified Streetworks Costs Re-opener</v>
      </c>
      <c r="F310" s="126">
        <f>LicenseeSelect!F403</f>
        <v>0</v>
      </c>
      <c r="G310" s="33" t="s">
        <v>109</v>
      </c>
      <c r="H310" s="33" t="str">
        <f>LicenseeSelect!H403</f>
        <v>Directs opex</v>
      </c>
      <c r="AU310" s="162">
        <f>LicenseeSelect!AU403</f>
        <v>0</v>
      </c>
      <c r="AV310" s="41">
        <f>LicenseeSelect!AV403</f>
        <v>0</v>
      </c>
      <c r="AW310" s="41">
        <f>LicenseeSelect!AW403</f>
        <v>0</v>
      </c>
      <c r="AX310" s="41">
        <f>LicenseeSelect!AX403</f>
        <v>0</v>
      </c>
      <c r="AY310" s="206">
        <f>LicenseeSelect!AY403</f>
        <v>0</v>
      </c>
      <c r="BA310" s="34" t="str">
        <f t="shared" ref="BA310:BA361" ca="1" si="22">$A$1</f>
        <v>VariantAllowances</v>
      </c>
      <c r="BB310" s="34" t="str">
        <f t="shared" si="20"/>
        <v>Variant allowances detailed calculation</v>
      </c>
      <c r="BC310" s="34" t="str">
        <f t="shared" si="21"/>
        <v>Variant allowances percentage allocation</v>
      </c>
    </row>
    <row r="311" spans="5:55" x14ac:dyDescent="0.35">
      <c r="E311" s="195" t="str">
        <f>LicenseeSelect!E404</f>
        <v>Re-opener_Specified Streetworks Costs Re-opener</v>
      </c>
      <c r="F311" s="207">
        <f>LicenseeSelect!F404</f>
        <v>0</v>
      </c>
      <c r="G311" s="196" t="s">
        <v>109</v>
      </c>
      <c r="H311" s="196" t="str">
        <f>LicenseeSelect!H404</f>
        <v>Repex</v>
      </c>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208"/>
      <c r="AU311" s="209">
        <f>LicenseeSelect!AU404</f>
        <v>0</v>
      </c>
      <c r="AV311" s="210">
        <f>LicenseeSelect!AV404</f>
        <v>0</v>
      </c>
      <c r="AW311" s="210">
        <f>LicenseeSelect!AW404</f>
        <v>0</v>
      </c>
      <c r="AX311" s="210">
        <f>LicenseeSelect!AX404</f>
        <v>0</v>
      </c>
      <c r="AY311" s="211">
        <f>LicenseeSelect!AY404</f>
        <v>0</v>
      </c>
      <c r="BA311" s="34" t="str">
        <f t="shared" ca="1" si="22"/>
        <v>VariantAllowances</v>
      </c>
      <c r="BB311" s="34" t="str">
        <f t="shared" si="20"/>
        <v>Variant allowances detailed calculation</v>
      </c>
      <c r="BC311" s="34" t="str">
        <f t="shared" si="21"/>
        <v>Variant allowances percentage allocation</v>
      </c>
    </row>
    <row r="312" spans="5:55" x14ac:dyDescent="0.35">
      <c r="E312" s="187" t="str">
        <f>LicenseeSelect!E405</f>
        <v>Re-opener_Physical Security Re-opener</v>
      </c>
      <c r="F312" s="201">
        <f>LicenseeSelect!F405</f>
        <v>0</v>
      </c>
      <c r="G312" s="188" t="s">
        <v>109</v>
      </c>
      <c r="H312" s="188" t="str">
        <f>LicenseeSelect!H405</f>
        <v>Load related capex</v>
      </c>
      <c r="I312" s="188"/>
      <c r="J312" s="188"/>
      <c r="K312" s="188"/>
      <c r="L312" s="188"/>
      <c r="M312" s="188"/>
      <c r="N312" s="188"/>
      <c r="O312" s="188"/>
      <c r="P312" s="188"/>
      <c r="Q312" s="188"/>
      <c r="R312" s="188"/>
      <c r="S312" s="188"/>
      <c r="T312" s="188"/>
      <c r="U312" s="188"/>
      <c r="V312" s="188"/>
      <c r="W312" s="188"/>
      <c r="X312" s="188"/>
      <c r="Y312" s="188"/>
      <c r="Z312" s="188"/>
      <c r="AA312" s="188"/>
      <c r="AB312" s="188"/>
      <c r="AC312" s="188"/>
      <c r="AD312" s="188"/>
      <c r="AE312" s="188"/>
      <c r="AF312" s="188"/>
      <c r="AG312" s="188"/>
      <c r="AH312" s="188"/>
      <c r="AI312" s="188"/>
      <c r="AJ312" s="188"/>
      <c r="AK312" s="188"/>
      <c r="AL312" s="188"/>
      <c r="AM312" s="188"/>
      <c r="AN312" s="188"/>
      <c r="AO312" s="188"/>
      <c r="AP312" s="188"/>
      <c r="AQ312" s="188"/>
      <c r="AR312" s="188"/>
      <c r="AS312" s="188"/>
      <c r="AT312" s="202"/>
      <c r="AU312" s="203">
        <f>LicenseeSelect!AU405</f>
        <v>0</v>
      </c>
      <c r="AV312" s="204">
        <f>LicenseeSelect!AV405</f>
        <v>0</v>
      </c>
      <c r="AW312" s="204">
        <f>LicenseeSelect!AW405</f>
        <v>0</v>
      </c>
      <c r="AX312" s="204">
        <f>LicenseeSelect!AX405</f>
        <v>0</v>
      </c>
      <c r="AY312" s="205">
        <f>LicenseeSelect!AY405</f>
        <v>0</v>
      </c>
      <c r="BA312" s="34" t="str">
        <f t="shared" ca="1" si="22"/>
        <v>VariantAllowances</v>
      </c>
      <c r="BB312" s="34" t="str">
        <f t="shared" si="20"/>
        <v>Variant allowances detailed calculation</v>
      </c>
      <c r="BC312" s="34" t="str">
        <f t="shared" si="21"/>
        <v>Variant allowances percentage allocation</v>
      </c>
    </row>
    <row r="313" spans="5:55" x14ac:dyDescent="0.35">
      <c r="E313" s="193" t="str">
        <f>LicenseeSelect!E406</f>
        <v>Re-opener_Physical Security Re-opener</v>
      </c>
      <c r="F313" s="126">
        <f>LicenseeSelect!F406</f>
        <v>0</v>
      </c>
      <c r="G313" s="33" t="s">
        <v>109</v>
      </c>
      <c r="H313" s="33" t="str">
        <f>LicenseeSelect!H406</f>
        <v>Non-load related capex - other</v>
      </c>
      <c r="AU313" s="162">
        <f>LicenseeSelect!AU406</f>
        <v>0</v>
      </c>
      <c r="AV313" s="41">
        <f>LicenseeSelect!AV406</f>
        <v>0</v>
      </c>
      <c r="AW313" s="41">
        <f>LicenseeSelect!AW406</f>
        <v>0</v>
      </c>
      <c r="AX313" s="41">
        <f>LicenseeSelect!AX406</f>
        <v>0</v>
      </c>
      <c r="AY313" s="206">
        <f>LicenseeSelect!AY406</f>
        <v>0</v>
      </c>
      <c r="BA313" s="34" t="str">
        <f t="shared" ca="1" si="22"/>
        <v>VariantAllowances</v>
      </c>
      <c r="BB313" s="34" t="str">
        <f t="shared" si="20"/>
        <v>Variant allowances detailed calculation</v>
      </c>
      <c r="BC313" s="34" t="str">
        <f t="shared" si="21"/>
        <v>Variant allowances percentage allocation</v>
      </c>
    </row>
    <row r="314" spans="5:55" x14ac:dyDescent="0.35">
      <c r="E314" s="193" t="str">
        <f>LicenseeSelect!E407</f>
        <v>Re-opener_Physical Security Re-opener</v>
      </c>
      <c r="F314" s="126">
        <f>LicenseeSelect!F407</f>
        <v>0</v>
      </c>
      <c r="G314" s="33" t="s">
        <v>109</v>
      </c>
      <c r="H314" s="33" t="str">
        <f>LicenseeSelect!H407</f>
        <v>Business support (opex)</v>
      </c>
      <c r="AU314" s="162">
        <f>LicenseeSelect!AU407</f>
        <v>0</v>
      </c>
      <c r="AV314" s="41">
        <f>LicenseeSelect!AV407</f>
        <v>0</v>
      </c>
      <c r="AW314" s="41">
        <f>LicenseeSelect!AW407</f>
        <v>0</v>
      </c>
      <c r="AX314" s="41">
        <f>LicenseeSelect!AX407</f>
        <v>0</v>
      </c>
      <c r="AY314" s="206">
        <f>LicenseeSelect!AY407</f>
        <v>0</v>
      </c>
      <c r="BA314" s="34" t="str">
        <f t="shared" ca="1" si="22"/>
        <v>VariantAllowances</v>
      </c>
      <c r="BB314" s="34" t="str">
        <f t="shared" si="20"/>
        <v>Variant allowances detailed calculation</v>
      </c>
      <c r="BC314" s="34" t="str">
        <f t="shared" si="21"/>
        <v>Variant allowances percentage allocation</v>
      </c>
    </row>
    <row r="315" spans="5:55" x14ac:dyDescent="0.35">
      <c r="E315" s="193" t="str">
        <f>LicenseeSelect!E408</f>
        <v>Re-opener_Physical Security Re-opener</v>
      </c>
      <c r="F315" s="126">
        <f>LicenseeSelect!F408</f>
        <v>0</v>
      </c>
      <c r="G315" s="33" t="s">
        <v>109</v>
      </c>
      <c r="H315" s="33" t="str">
        <f>LicenseeSelect!H408</f>
        <v>Directs opex</v>
      </c>
      <c r="AU315" s="162">
        <f>LicenseeSelect!AU408</f>
        <v>0</v>
      </c>
      <c r="AV315" s="41">
        <f>LicenseeSelect!AV408</f>
        <v>0</v>
      </c>
      <c r="AW315" s="41">
        <f>LicenseeSelect!AW408</f>
        <v>0</v>
      </c>
      <c r="AX315" s="41">
        <f>LicenseeSelect!AX408</f>
        <v>0</v>
      </c>
      <c r="AY315" s="206">
        <f>LicenseeSelect!AY408</f>
        <v>0</v>
      </c>
      <c r="BA315" s="34" t="str">
        <f t="shared" ca="1" si="22"/>
        <v>VariantAllowances</v>
      </c>
      <c r="BB315" s="34" t="str">
        <f t="shared" si="20"/>
        <v>Variant allowances detailed calculation</v>
      </c>
      <c r="BC315" s="34" t="str">
        <f t="shared" si="21"/>
        <v>Variant allowances percentage allocation</v>
      </c>
    </row>
    <row r="316" spans="5:55" x14ac:dyDescent="0.35">
      <c r="E316" s="195" t="str">
        <f>LicenseeSelect!E409</f>
        <v>Re-opener_Physical Security Re-opener</v>
      </c>
      <c r="F316" s="207">
        <f>LicenseeSelect!F409</f>
        <v>0</v>
      </c>
      <c r="G316" s="196" t="s">
        <v>109</v>
      </c>
      <c r="H316" s="196" t="str">
        <f>LicenseeSelect!H409</f>
        <v>Repex</v>
      </c>
      <c r="I316" s="196"/>
      <c r="J316" s="196"/>
      <c r="K316" s="196"/>
      <c r="L316" s="196"/>
      <c r="M316" s="196"/>
      <c r="N316" s="196"/>
      <c r="O316" s="196"/>
      <c r="P316" s="196"/>
      <c r="Q316" s="196"/>
      <c r="R316" s="196"/>
      <c r="S316" s="196"/>
      <c r="T316" s="196"/>
      <c r="U316" s="196"/>
      <c r="V316" s="196"/>
      <c r="W316" s="196"/>
      <c r="X316" s="196"/>
      <c r="Y316" s="196"/>
      <c r="Z316" s="196"/>
      <c r="AA316" s="196"/>
      <c r="AB316" s="196"/>
      <c r="AC316" s="196"/>
      <c r="AD316" s="196"/>
      <c r="AE316" s="196"/>
      <c r="AF316" s="196"/>
      <c r="AG316" s="196"/>
      <c r="AH316" s="196"/>
      <c r="AI316" s="196"/>
      <c r="AJ316" s="196"/>
      <c r="AK316" s="196"/>
      <c r="AL316" s="196"/>
      <c r="AM316" s="196"/>
      <c r="AN316" s="196"/>
      <c r="AO316" s="196"/>
      <c r="AP316" s="196"/>
      <c r="AQ316" s="196"/>
      <c r="AR316" s="196"/>
      <c r="AS316" s="196"/>
      <c r="AT316" s="208"/>
      <c r="AU316" s="209">
        <f>LicenseeSelect!AU409</f>
        <v>0</v>
      </c>
      <c r="AV316" s="210">
        <f>LicenseeSelect!AV409</f>
        <v>0</v>
      </c>
      <c r="AW316" s="210">
        <f>LicenseeSelect!AW409</f>
        <v>0</v>
      </c>
      <c r="AX316" s="210">
        <f>LicenseeSelect!AX409</f>
        <v>0</v>
      </c>
      <c r="AY316" s="211">
        <f>LicenseeSelect!AY409</f>
        <v>0</v>
      </c>
      <c r="BA316" s="34" t="str">
        <f t="shared" ca="1" si="22"/>
        <v>VariantAllowances</v>
      </c>
      <c r="BB316" s="34" t="str">
        <f t="shared" si="20"/>
        <v>Variant allowances detailed calculation</v>
      </c>
      <c r="BC316" s="34" t="str">
        <f t="shared" si="21"/>
        <v>Variant allowances percentage allocation</v>
      </c>
    </row>
    <row r="317" spans="5:55" x14ac:dyDescent="0.35">
      <c r="E317" s="187" t="str">
        <f>LicenseeSelect!E410</f>
        <v>Re-opener_East Coast Hydrogen NZASP Re-Opener (EoE and NGN) / GD2/GD3 Crossover Adjustment</v>
      </c>
      <c r="F317" s="201">
        <f>LicenseeSelect!F410</f>
        <v>0</v>
      </c>
      <c r="G317" s="188" t="s">
        <v>109</v>
      </c>
      <c r="H317" s="188" t="str">
        <f>LicenseeSelect!H410</f>
        <v>Load related capex</v>
      </c>
      <c r="I317" s="188"/>
      <c r="J317" s="188"/>
      <c r="K317" s="188"/>
      <c r="L317" s="188"/>
      <c r="M317" s="188"/>
      <c r="N317" s="188"/>
      <c r="O317" s="188"/>
      <c r="P317" s="188"/>
      <c r="Q317" s="188"/>
      <c r="R317" s="188"/>
      <c r="S317" s="188"/>
      <c r="T317" s="188"/>
      <c r="U317" s="188"/>
      <c r="V317" s="188"/>
      <c r="W317" s="188"/>
      <c r="X317" s="188"/>
      <c r="Y317" s="188"/>
      <c r="Z317" s="188"/>
      <c r="AA317" s="188"/>
      <c r="AB317" s="188"/>
      <c r="AC317" s="188"/>
      <c r="AD317" s="188"/>
      <c r="AE317" s="188"/>
      <c r="AF317" s="188"/>
      <c r="AG317" s="188"/>
      <c r="AH317" s="188"/>
      <c r="AI317" s="188"/>
      <c r="AJ317" s="188"/>
      <c r="AK317" s="188"/>
      <c r="AL317" s="188"/>
      <c r="AM317" s="188"/>
      <c r="AN317" s="188"/>
      <c r="AO317" s="188"/>
      <c r="AP317" s="188"/>
      <c r="AQ317" s="188"/>
      <c r="AR317" s="188"/>
      <c r="AS317" s="188"/>
      <c r="AT317" s="202"/>
      <c r="AU317" s="203">
        <f>LicenseeSelect!AU410</f>
        <v>0</v>
      </c>
      <c r="AV317" s="204">
        <f>LicenseeSelect!AV410</f>
        <v>0</v>
      </c>
      <c r="AW317" s="204">
        <f>LicenseeSelect!AW410</f>
        <v>0</v>
      </c>
      <c r="AX317" s="204">
        <f>LicenseeSelect!AX410</f>
        <v>0</v>
      </c>
      <c r="AY317" s="205">
        <f>LicenseeSelect!AY410</f>
        <v>0</v>
      </c>
      <c r="BA317" s="34" t="str">
        <f t="shared" ca="1" si="22"/>
        <v>VariantAllowances</v>
      </c>
      <c r="BB317" s="34" t="str">
        <f t="shared" si="20"/>
        <v>Variant allowances detailed calculation</v>
      </c>
      <c r="BC317" s="34" t="str">
        <f t="shared" si="21"/>
        <v>Variant allowances percentage allocation</v>
      </c>
    </row>
    <row r="318" spans="5:55" x14ac:dyDescent="0.35">
      <c r="E318" s="193" t="str">
        <f>LicenseeSelect!E411</f>
        <v>Re-opener_East Coast Hydrogen NZASP Re-Opener (EoE and NGN) / GD2/GD3 Crossover Adjustment</v>
      </c>
      <c r="F318" s="126">
        <f>LicenseeSelect!F411</f>
        <v>0</v>
      </c>
      <c r="G318" s="33" t="s">
        <v>109</v>
      </c>
      <c r="H318" s="33" t="str">
        <f>LicenseeSelect!H411</f>
        <v>Non-load related capex - other</v>
      </c>
      <c r="AU318" s="162">
        <f>LicenseeSelect!AU411</f>
        <v>0</v>
      </c>
      <c r="AV318" s="41">
        <f>LicenseeSelect!AV411</f>
        <v>0</v>
      </c>
      <c r="AW318" s="41">
        <f>LicenseeSelect!AW411</f>
        <v>0</v>
      </c>
      <c r="AX318" s="41">
        <f>LicenseeSelect!AX411</f>
        <v>0</v>
      </c>
      <c r="AY318" s="206">
        <f>LicenseeSelect!AY411</f>
        <v>0</v>
      </c>
      <c r="BA318" s="34" t="str">
        <f t="shared" ca="1" si="22"/>
        <v>VariantAllowances</v>
      </c>
      <c r="BB318" s="34" t="str">
        <f t="shared" si="20"/>
        <v>Variant allowances detailed calculation</v>
      </c>
      <c r="BC318" s="34" t="str">
        <f t="shared" si="21"/>
        <v>Variant allowances percentage allocation</v>
      </c>
    </row>
    <row r="319" spans="5:55" x14ac:dyDescent="0.35">
      <c r="E319" s="193" t="str">
        <f>LicenseeSelect!E412</f>
        <v>Re-opener_East Coast Hydrogen NZASP Re-Opener (EoE and NGN) / GD2/GD3 Crossover Adjustment</v>
      </c>
      <c r="F319" s="126">
        <f>LicenseeSelect!F412</f>
        <v>0</v>
      </c>
      <c r="G319" s="33" t="s">
        <v>109</v>
      </c>
      <c r="H319" s="33" t="str">
        <f>LicenseeSelect!H412</f>
        <v>Business support (opex)</v>
      </c>
      <c r="AU319" s="162">
        <f>LicenseeSelect!AU412</f>
        <v>0.6</v>
      </c>
      <c r="AV319" s="41">
        <f>LicenseeSelect!AV412</f>
        <v>0.6</v>
      </c>
      <c r="AW319" s="41">
        <f>LicenseeSelect!AW412</f>
        <v>0.6</v>
      </c>
      <c r="AX319" s="41">
        <f>LicenseeSelect!AX412</f>
        <v>0.6</v>
      </c>
      <c r="AY319" s="206">
        <f>LicenseeSelect!AY412</f>
        <v>0.6</v>
      </c>
      <c r="BA319" s="34" t="str">
        <f t="shared" ca="1" si="22"/>
        <v>VariantAllowances</v>
      </c>
      <c r="BB319" s="34" t="str">
        <f t="shared" si="20"/>
        <v>Variant allowances detailed calculation</v>
      </c>
      <c r="BC319" s="34" t="str">
        <f t="shared" si="21"/>
        <v>Variant allowances percentage allocation</v>
      </c>
    </row>
    <row r="320" spans="5:55" x14ac:dyDescent="0.35">
      <c r="E320" s="193" t="str">
        <f>LicenseeSelect!E413</f>
        <v>Re-opener_East Coast Hydrogen NZASP Re-Opener (EoE and NGN) / GD2/GD3 Crossover Adjustment</v>
      </c>
      <c r="F320" s="126">
        <f>LicenseeSelect!F413</f>
        <v>0</v>
      </c>
      <c r="G320" s="33" t="s">
        <v>109</v>
      </c>
      <c r="H320" s="33" t="str">
        <f>LicenseeSelect!H413</f>
        <v>Directs opex</v>
      </c>
      <c r="AU320" s="162">
        <f>LicenseeSelect!AU413</f>
        <v>0.4</v>
      </c>
      <c r="AV320" s="41">
        <f>LicenseeSelect!AV413</f>
        <v>0.4</v>
      </c>
      <c r="AW320" s="41">
        <f>LicenseeSelect!AW413</f>
        <v>0.4</v>
      </c>
      <c r="AX320" s="41">
        <f>LicenseeSelect!AX413</f>
        <v>0.4</v>
      </c>
      <c r="AY320" s="206">
        <f>LicenseeSelect!AY413</f>
        <v>0.4</v>
      </c>
      <c r="BA320" s="34" t="str">
        <f t="shared" ca="1" si="22"/>
        <v>VariantAllowances</v>
      </c>
      <c r="BB320" s="34" t="str">
        <f t="shared" si="20"/>
        <v>Variant allowances detailed calculation</v>
      </c>
      <c r="BC320" s="34" t="str">
        <f t="shared" si="21"/>
        <v>Variant allowances percentage allocation</v>
      </c>
    </row>
    <row r="321" spans="5:55" x14ac:dyDescent="0.35">
      <c r="E321" s="195" t="str">
        <f>LicenseeSelect!E414</f>
        <v>Re-opener_East Coast Hydrogen NZASP Re-Opener (EoE and NGN) / GD2/GD3 Crossover Adjustment</v>
      </c>
      <c r="F321" s="207">
        <f>LicenseeSelect!F414</f>
        <v>0</v>
      </c>
      <c r="G321" s="196" t="s">
        <v>109</v>
      </c>
      <c r="H321" s="196" t="str">
        <f>LicenseeSelect!H414</f>
        <v>Repex</v>
      </c>
      <c r="I321" s="196"/>
      <c r="J321" s="196"/>
      <c r="K321" s="196"/>
      <c r="L321" s="196"/>
      <c r="M321" s="196"/>
      <c r="N321" s="196"/>
      <c r="O321" s="196"/>
      <c r="P321" s="196"/>
      <c r="Q321" s="196"/>
      <c r="R321" s="196"/>
      <c r="S321" s="196"/>
      <c r="T321" s="196"/>
      <c r="U321" s="196"/>
      <c r="V321" s="196"/>
      <c r="W321" s="196"/>
      <c r="X321" s="196"/>
      <c r="Y321" s="196"/>
      <c r="Z321" s="196"/>
      <c r="AA321" s="196"/>
      <c r="AB321" s="196"/>
      <c r="AC321" s="196"/>
      <c r="AD321" s="196"/>
      <c r="AE321" s="196"/>
      <c r="AF321" s="196"/>
      <c r="AG321" s="196"/>
      <c r="AH321" s="196"/>
      <c r="AI321" s="196"/>
      <c r="AJ321" s="196"/>
      <c r="AK321" s="196"/>
      <c r="AL321" s="196"/>
      <c r="AM321" s="196"/>
      <c r="AN321" s="196"/>
      <c r="AO321" s="196"/>
      <c r="AP321" s="196"/>
      <c r="AQ321" s="196"/>
      <c r="AR321" s="196"/>
      <c r="AS321" s="196"/>
      <c r="AT321" s="208"/>
      <c r="AU321" s="209">
        <f>LicenseeSelect!AU414</f>
        <v>0</v>
      </c>
      <c r="AV321" s="210">
        <f>LicenseeSelect!AV414</f>
        <v>0</v>
      </c>
      <c r="AW321" s="210">
        <f>LicenseeSelect!AW414</f>
        <v>0</v>
      </c>
      <c r="AX321" s="210">
        <f>LicenseeSelect!AX414</f>
        <v>0</v>
      </c>
      <c r="AY321" s="211">
        <f>LicenseeSelect!AY414</f>
        <v>0</v>
      </c>
      <c r="BA321" s="34" t="str">
        <f t="shared" ca="1" si="22"/>
        <v>VariantAllowances</v>
      </c>
      <c r="BB321" s="34" t="str">
        <f t="shared" si="20"/>
        <v>Variant allowances detailed calculation</v>
      </c>
      <c r="BC321" s="34" t="str">
        <f t="shared" si="21"/>
        <v>Variant allowances percentage allocation</v>
      </c>
    </row>
    <row r="322" spans="5:55" x14ac:dyDescent="0.35">
      <c r="E322" s="187" t="str">
        <f>LicenseeSelect!E415</f>
        <v>Re-opener_Complex Distributions Systems Re-opener</v>
      </c>
      <c r="F322" s="201">
        <f>LicenseeSelect!F415</f>
        <v>0</v>
      </c>
      <c r="G322" s="188" t="s">
        <v>109</v>
      </c>
      <c r="H322" s="188" t="str">
        <f>LicenseeSelect!H415</f>
        <v>Load related capex</v>
      </c>
      <c r="I322" s="188"/>
      <c r="J322" s="188"/>
      <c r="K322" s="188"/>
      <c r="L322" s="188"/>
      <c r="M322" s="188"/>
      <c r="N322" s="188"/>
      <c r="O322" s="188"/>
      <c r="P322" s="188"/>
      <c r="Q322" s="188"/>
      <c r="R322" s="188"/>
      <c r="S322" s="188"/>
      <c r="T322" s="188"/>
      <c r="U322" s="188"/>
      <c r="V322" s="188"/>
      <c r="W322" s="188"/>
      <c r="X322" s="188"/>
      <c r="Y322" s="188"/>
      <c r="Z322" s="188"/>
      <c r="AA322" s="188"/>
      <c r="AB322" s="188"/>
      <c r="AC322" s="188"/>
      <c r="AD322" s="188"/>
      <c r="AE322" s="188"/>
      <c r="AF322" s="188"/>
      <c r="AG322" s="188"/>
      <c r="AH322" s="188"/>
      <c r="AI322" s="188"/>
      <c r="AJ322" s="188"/>
      <c r="AK322" s="188"/>
      <c r="AL322" s="188"/>
      <c r="AM322" s="188"/>
      <c r="AN322" s="188"/>
      <c r="AO322" s="188"/>
      <c r="AP322" s="188"/>
      <c r="AQ322" s="188"/>
      <c r="AR322" s="188"/>
      <c r="AS322" s="188"/>
      <c r="AT322" s="202"/>
      <c r="AU322" s="203">
        <f>LicenseeSelect!AU415</f>
        <v>0</v>
      </c>
      <c r="AV322" s="204">
        <f>LicenseeSelect!AV415</f>
        <v>0</v>
      </c>
      <c r="AW322" s="204">
        <f>LicenseeSelect!AW415</f>
        <v>0</v>
      </c>
      <c r="AX322" s="204">
        <f>LicenseeSelect!AX415</f>
        <v>0</v>
      </c>
      <c r="AY322" s="205">
        <f>LicenseeSelect!AY415</f>
        <v>0</v>
      </c>
      <c r="BA322" s="34" t="str">
        <f t="shared" ca="1" si="22"/>
        <v>VariantAllowances</v>
      </c>
      <c r="BB322" s="34" t="str">
        <f t="shared" si="20"/>
        <v>Variant allowances detailed calculation</v>
      </c>
      <c r="BC322" s="34" t="str">
        <f t="shared" si="21"/>
        <v>Variant allowances percentage allocation</v>
      </c>
    </row>
    <row r="323" spans="5:55" x14ac:dyDescent="0.35">
      <c r="E323" s="193" t="str">
        <f>LicenseeSelect!E416</f>
        <v>Re-opener_Complex Distributions Systems Re-opener</v>
      </c>
      <c r="F323" s="126">
        <f>LicenseeSelect!F416</f>
        <v>0</v>
      </c>
      <c r="G323" s="33" t="s">
        <v>109</v>
      </c>
      <c r="H323" s="33" t="str">
        <f>LicenseeSelect!H416</f>
        <v>Non-load related capex - other</v>
      </c>
      <c r="AU323" s="162">
        <f>LicenseeSelect!AU416</f>
        <v>0</v>
      </c>
      <c r="AV323" s="41">
        <f>LicenseeSelect!AV416</f>
        <v>0</v>
      </c>
      <c r="AW323" s="41">
        <f>LicenseeSelect!AW416</f>
        <v>0</v>
      </c>
      <c r="AX323" s="41">
        <f>LicenseeSelect!AX416</f>
        <v>0</v>
      </c>
      <c r="AY323" s="206">
        <f>LicenseeSelect!AY416</f>
        <v>0</v>
      </c>
      <c r="BA323" s="34" t="str">
        <f t="shared" ca="1" si="22"/>
        <v>VariantAllowances</v>
      </c>
      <c r="BB323" s="34" t="str">
        <f t="shared" si="20"/>
        <v>Variant allowances detailed calculation</v>
      </c>
      <c r="BC323" s="34" t="str">
        <f t="shared" si="21"/>
        <v>Variant allowances percentage allocation</v>
      </c>
    </row>
    <row r="324" spans="5:55" x14ac:dyDescent="0.35">
      <c r="E324" s="193" t="str">
        <f>LicenseeSelect!E417</f>
        <v>Re-opener_Complex Distributions Systems Re-opener</v>
      </c>
      <c r="F324" s="126">
        <f>LicenseeSelect!F417</f>
        <v>0</v>
      </c>
      <c r="G324" s="33" t="s">
        <v>109</v>
      </c>
      <c r="H324" s="33" t="str">
        <f>LicenseeSelect!H417</f>
        <v>Business support (opex)</v>
      </c>
      <c r="AU324" s="162">
        <f>LicenseeSelect!AU417</f>
        <v>0</v>
      </c>
      <c r="AV324" s="41">
        <f>LicenseeSelect!AV417</f>
        <v>0</v>
      </c>
      <c r="AW324" s="41">
        <f>LicenseeSelect!AW417</f>
        <v>0</v>
      </c>
      <c r="AX324" s="41">
        <f>LicenseeSelect!AX417</f>
        <v>0</v>
      </c>
      <c r="AY324" s="206">
        <f>LicenseeSelect!AY417</f>
        <v>0</v>
      </c>
      <c r="BA324" s="34" t="str">
        <f t="shared" ca="1" si="22"/>
        <v>VariantAllowances</v>
      </c>
      <c r="BB324" s="34" t="str">
        <f t="shared" si="20"/>
        <v>Variant allowances detailed calculation</v>
      </c>
      <c r="BC324" s="34" t="str">
        <f t="shared" si="21"/>
        <v>Variant allowances percentage allocation</v>
      </c>
    </row>
    <row r="325" spans="5:55" x14ac:dyDescent="0.35">
      <c r="E325" s="193" t="str">
        <f>LicenseeSelect!E418</f>
        <v>Re-opener_Complex Distributions Systems Re-opener</v>
      </c>
      <c r="F325" s="126">
        <f>LicenseeSelect!F418</f>
        <v>0</v>
      </c>
      <c r="G325" s="33" t="s">
        <v>109</v>
      </c>
      <c r="H325" s="33" t="str">
        <f>LicenseeSelect!H418</f>
        <v>Directs opex</v>
      </c>
      <c r="AU325" s="162">
        <f>LicenseeSelect!AU418</f>
        <v>0</v>
      </c>
      <c r="AV325" s="41">
        <f>LicenseeSelect!AV418</f>
        <v>0</v>
      </c>
      <c r="AW325" s="41">
        <f>LicenseeSelect!AW418</f>
        <v>0</v>
      </c>
      <c r="AX325" s="41">
        <f>LicenseeSelect!AX418</f>
        <v>0</v>
      </c>
      <c r="AY325" s="206">
        <f>LicenseeSelect!AY418</f>
        <v>0</v>
      </c>
      <c r="BA325" s="34" t="str">
        <f t="shared" ca="1" si="22"/>
        <v>VariantAllowances</v>
      </c>
      <c r="BB325" s="34" t="str">
        <f t="shared" si="20"/>
        <v>Variant allowances detailed calculation</v>
      </c>
      <c r="BC325" s="34" t="str">
        <f t="shared" si="21"/>
        <v>Variant allowances percentage allocation</v>
      </c>
    </row>
    <row r="326" spans="5:55" x14ac:dyDescent="0.35">
      <c r="E326" s="195" t="str">
        <f>LicenseeSelect!E419</f>
        <v>Re-opener_Complex Distributions Systems Re-opener</v>
      </c>
      <c r="F326" s="207">
        <f>LicenseeSelect!F419</f>
        <v>0</v>
      </c>
      <c r="G326" s="196" t="s">
        <v>109</v>
      </c>
      <c r="H326" s="196" t="str">
        <f>LicenseeSelect!H419</f>
        <v>Repex</v>
      </c>
      <c r="I326" s="196"/>
      <c r="J326" s="196"/>
      <c r="K326" s="196"/>
      <c r="L326" s="196"/>
      <c r="M326" s="196"/>
      <c r="N326" s="196"/>
      <c r="O326" s="196"/>
      <c r="P326" s="196"/>
      <c r="Q326" s="196"/>
      <c r="R326" s="196"/>
      <c r="S326" s="196"/>
      <c r="T326" s="196"/>
      <c r="U326" s="196"/>
      <c r="V326" s="196"/>
      <c r="W326" s="196"/>
      <c r="X326" s="196"/>
      <c r="Y326" s="196"/>
      <c r="Z326" s="196"/>
      <c r="AA326" s="196"/>
      <c r="AB326" s="196"/>
      <c r="AC326" s="196"/>
      <c r="AD326" s="196"/>
      <c r="AE326" s="196"/>
      <c r="AF326" s="196"/>
      <c r="AG326" s="196"/>
      <c r="AH326" s="196"/>
      <c r="AI326" s="196"/>
      <c r="AJ326" s="196"/>
      <c r="AK326" s="196"/>
      <c r="AL326" s="196"/>
      <c r="AM326" s="196"/>
      <c r="AN326" s="196"/>
      <c r="AO326" s="196"/>
      <c r="AP326" s="196"/>
      <c r="AQ326" s="196"/>
      <c r="AR326" s="196"/>
      <c r="AS326" s="196"/>
      <c r="AT326" s="208"/>
      <c r="AU326" s="209">
        <f>LicenseeSelect!AU419</f>
        <v>1</v>
      </c>
      <c r="AV326" s="210">
        <f>LicenseeSelect!AV419</f>
        <v>1</v>
      </c>
      <c r="AW326" s="210">
        <f>LicenseeSelect!AW419</f>
        <v>1</v>
      </c>
      <c r="AX326" s="210">
        <f>LicenseeSelect!AX419</f>
        <v>1</v>
      </c>
      <c r="AY326" s="211">
        <f>LicenseeSelect!AY419</f>
        <v>1</v>
      </c>
      <c r="BA326" s="34" t="str">
        <f t="shared" ca="1" si="22"/>
        <v>VariantAllowances</v>
      </c>
      <c r="BB326" s="34" t="str">
        <f t="shared" si="20"/>
        <v>Variant allowances detailed calculation</v>
      </c>
      <c r="BC326" s="34" t="str">
        <f t="shared" si="21"/>
        <v>Variant allowances percentage allocation</v>
      </c>
    </row>
    <row r="327" spans="5:55" x14ac:dyDescent="0.35">
      <c r="E327" s="187" t="str">
        <f>LicenseeSelect!E420</f>
        <v>Re-opener_Mandated Category 3 Security Re-opener</v>
      </c>
      <c r="F327" s="201">
        <f>LicenseeSelect!F420</f>
        <v>0</v>
      </c>
      <c r="G327" s="188" t="s">
        <v>109</v>
      </c>
      <c r="H327" s="188" t="str">
        <f>LicenseeSelect!H420</f>
        <v>Load related capex</v>
      </c>
      <c r="I327" s="188"/>
      <c r="J327" s="188"/>
      <c r="K327" s="188"/>
      <c r="L327" s="188"/>
      <c r="M327" s="188"/>
      <c r="N327" s="188"/>
      <c r="O327" s="188"/>
      <c r="P327" s="188"/>
      <c r="Q327" s="188"/>
      <c r="R327" s="188"/>
      <c r="S327" s="188"/>
      <c r="T327" s="188"/>
      <c r="U327" s="188"/>
      <c r="V327" s="188"/>
      <c r="W327" s="188"/>
      <c r="X327" s="188"/>
      <c r="Y327" s="188"/>
      <c r="Z327" s="188"/>
      <c r="AA327" s="188"/>
      <c r="AB327" s="188"/>
      <c r="AC327" s="188"/>
      <c r="AD327" s="188"/>
      <c r="AE327" s="188"/>
      <c r="AF327" s="188"/>
      <c r="AG327" s="188"/>
      <c r="AH327" s="188"/>
      <c r="AI327" s="188"/>
      <c r="AJ327" s="188"/>
      <c r="AK327" s="188"/>
      <c r="AL327" s="188"/>
      <c r="AM327" s="188"/>
      <c r="AN327" s="188"/>
      <c r="AO327" s="188"/>
      <c r="AP327" s="188"/>
      <c r="AQ327" s="188"/>
      <c r="AR327" s="188"/>
      <c r="AS327" s="188"/>
      <c r="AT327" s="202"/>
      <c r="AU327" s="203">
        <f>LicenseeSelect!AU420</f>
        <v>0</v>
      </c>
      <c r="AV327" s="204">
        <f>LicenseeSelect!AV420</f>
        <v>0</v>
      </c>
      <c r="AW327" s="204">
        <f>LicenseeSelect!AW420</f>
        <v>0</v>
      </c>
      <c r="AX327" s="204">
        <f>LicenseeSelect!AX420</f>
        <v>0</v>
      </c>
      <c r="AY327" s="205">
        <f>LicenseeSelect!AY420</f>
        <v>0</v>
      </c>
      <c r="BA327" s="34" t="str">
        <f t="shared" ca="1" si="22"/>
        <v>VariantAllowances</v>
      </c>
      <c r="BB327" s="34" t="str">
        <f t="shared" si="20"/>
        <v>Variant allowances detailed calculation</v>
      </c>
      <c r="BC327" s="34" t="str">
        <f t="shared" si="21"/>
        <v>Variant allowances percentage allocation</v>
      </c>
    </row>
    <row r="328" spans="5:55" x14ac:dyDescent="0.35">
      <c r="E328" s="193" t="str">
        <f>LicenseeSelect!E421</f>
        <v>Re-opener_Mandated Category 3 Security Re-opener</v>
      </c>
      <c r="F328" s="126">
        <f>LicenseeSelect!F421</f>
        <v>0</v>
      </c>
      <c r="G328" s="33" t="s">
        <v>109</v>
      </c>
      <c r="H328" s="33" t="str">
        <f>LicenseeSelect!H421</f>
        <v>Non-load related capex - other</v>
      </c>
      <c r="AU328" s="162">
        <f>LicenseeSelect!AU421</f>
        <v>0</v>
      </c>
      <c r="AV328" s="41">
        <f>LicenseeSelect!AV421</f>
        <v>0</v>
      </c>
      <c r="AW328" s="41">
        <f>LicenseeSelect!AW421</f>
        <v>0</v>
      </c>
      <c r="AX328" s="41">
        <f>LicenseeSelect!AX421</f>
        <v>0</v>
      </c>
      <c r="AY328" s="206">
        <f>LicenseeSelect!AY421</f>
        <v>0</v>
      </c>
      <c r="BA328" s="34" t="str">
        <f t="shared" ca="1" si="22"/>
        <v>VariantAllowances</v>
      </c>
      <c r="BB328" s="34" t="str">
        <f t="shared" si="20"/>
        <v>Variant allowances detailed calculation</v>
      </c>
      <c r="BC328" s="34" t="str">
        <f t="shared" si="21"/>
        <v>Variant allowances percentage allocation</v>
      </c>
    </row>
    <row r="329" spans="5:55" x14ac:dyDescent="0.35">
      <c r="E329" s="193" t="str">
        <f>LicenseeSelect!E422</f>
        <v>Re-opener_Mandated Category 3 Security Re-opener</v>
      </c>
      <c r="F329" s="126">
        <f>LicenseeSelect!F422</f>
        <v>0</v>
      </c>
      <c r="G329" s="33" t="s">
        <v>109</v>
      </c>
      <c r="H329" s="33" t="str">
        <f>LicenseeSelect!H422</f>
        <v>Business support (opex)</v>
      </c>
      <c r="AU329" s="162">
        <f>LicenseeSelect!AU422</f>
        <v>0</v>
      </c>
      <c r="AV329" s="41">
        <f>LicenseeSelect!AV422</f>
        <v>0</v>
      </c>
      <c r="AW329" s="41">
        <f>LicenseeSelect!AW422</f>
        <v>0</v>
      </c>
      <c r="AX329" s="41">
        <f>LicenseeSelect!AX422</f>
        <v>0</v>
      </c>
      <c r="AY329" s="206">
        <f>LicenseeSelect!AY422</f>
        <v>0</v>
      </c>
      <c r="BA329" s="34" t="str">
        <f t="shared" ca="1" si="22"/>
        <v>VariantAllowances</v>
      </c>
      <c r="BB329" s="34" t="str">
        <f t="shared" si="20"/>
        <v>Variant allowances detailed calculation</v>
      </c>
      <c r="BC329" s="34" t="str">
        <f t="shared" si="21"/>
        <v>Variant allowances percentage allocation</v>
      </c>
    </row>
    <row r="330" spans="5:55" x14ac:dyDescent="0.35">
      <c r="E330" s="193" t="str">
        <f>LicenseeSelect!E423</f>
        <v>Re-opener_Mandated Category 3 Security Re-opener</v>
      </c>
      <c r="F330" s="126">
        <f>LicenseeSelect!F423</f>
        <v>0</v>
      </c>
      <c r="G330" s="33" t="s">
        <v>109</v>
      </c>
      <c r="H330" s="33" t="str">
        <f>LicenseeSelect!H423</f>
        <v>Directs opex</v>
      </c>
      <c r="AU330" s="162">
        <f>LicenseeSelect!AU423</f>
        <v>0</v>
      </c>
      <c r="AV330" s="41">
        <f>LicenseeSelect!AV423</f>
        <v>0</v>
      </c>
      <c r="AW330" s="41">
        <f>LicenseeSelect!AW423</f>
        <v>0</v>
      </c>
      <c r="AX330" s="41">
        <f>LicenseeSelect!AX423</f>
        <v>0</v>
      </c>
      <c r="AY330" s="206">
        <f>LicenseeSelect!AY423</f>
        <v>0</v>
      </c>
      <c r="BA330" s="34" t="str">
        <f t="shared" ca="1" si="22"/>
        <v>VariantAllowances</v>
      </c>
      <c r="BB330" s="34" t="str">
        <f t="shared" si="20"/>
        <v>Variant allowances detailed calculation</v>
      </c>
      <c r="BC330" s="34" t="str">
        <f t="shared" si="21"/>
        <v>Variant allowances percentage allocation</v>
      </c>
    </row>
    <row r="331" spans="5:55" x14ac:dyDescent="0.35">
      <c r="E331" s="195" t="str">
        <f>LicenseeSelect!E424</f>
        <v>Re-opener_Mandated Category 3 Security Re-opener</v>
      </c>
      <c r="F331" s="207">
        <f>LicenseeSelect!F424</f>
        <v>0</v>
      </c>
      <c r="G331" s="196" t="s">
        <v>109</v>
      </c>
      <c r="H331" s="196" t="str">
        <f>LicenseeSelect!H424</f>
        <v>Repex</v>
      </c>
      <c r="I331" s="196"/>
      <c r="J331" s="196"/>
      <c r="K331" s="196"/>
      <c r="L331" s="196"/>
      <c r="M331" s="196"/>
      <c r="N331" s="196"/>
      <c r="O331" s="196"/>
      <c r="P331" s="196"/>
      <c r="Q331" s="196"/>
      <c r="R331" s="196"/>
      <c r="S331" s="196"/>
      <c r="T331" s="196"/>
      <c r="U331" s="196"/>
      <c r="V331" s="196"/>
      <c r="W331" s="196"/>
      <c r="X331" s="196"/>
      <c r="Y331" s="196"/>
      <c r="Z331" s="196"/>
      <c r="AA331" s="196"/>
      <c r="AB331" s="196"/>
      <c r="AC331" s="196"/>
      <c r="AD331" s="196"/>
      <c r="AE331" s="196"/>
      <c r="AF331" s="196"/>
      <c r="AG331" s="196"/>
      <c r="AH331" s="196"/>
      <c r="AI331" s="196"/>
      <c r="AJ331" s="196"/>
      <c r="AK331" s="196"/>
      <c r="AL331" s="196"/>
      <c r="AM331" s="196"/>
      <c r="AN331" s="196"/>
      <c r="AO331" s="196"/>
      <c r="AP331" s="196"/>
      <c r="AQ331" s="196"/>
      <c r="AR331" s="196"/>
      <c r="AS331" s="196"/>
      <c r="AT331" s="208"/>
      <c r="AU331" s="209">
        <f>LicenseeSelect!AU424</f>
        <v>0</v>
      </c>
      <c r="AV331" s="210">
        <f>LicenseeSelect!AV424</f>
        <v>0</v>
      </c>
      <c r="AW331" s="210">
        <f>LicenseeSelect!AW424</f>
        <v>0</v>
      </c>
      <c r="AX331" s="210">
        <f>LicenseeSelect!AX424</f>
        <v>0</v>
      </c>
      <c r="AY331" s="211">
        <f>LicenseeSelect!AY424</f>
        <v>0</v>
      </c>
      <c r="BA331" s="34" t="str">
        <f t="shared" ca="1" si="22"/>
        <v>VariantAllowances</v>
      </c>
      <c r="BB331" s="34" t="str">
        <f t="shared" si="20"/>
        <v>Variant allowances detailed calculation</v>
      </c>
      <c r="BC331" s="34" t="str">
        <f t="shared" si="21"/>
        <v>Variant allowances percentage allocation</v>
      </c>
    </row>
    <row r="332" spans="5:55" x14ac:dyDescent="0.35">
      <c r="E332" s="187" t="str">
        <f>LicenseeSelect!E425</f>
        <v>Re-opener_General Reinforcement</v>
      </c>
      <c r="F332" s="201">
        <f>LicenseeSelect!F425</f>
        <v>0</v>
      </c>
      <c r="G332" s="188" t="s">
        <v>109</v>
      </c>
      <c r="H332" s="188" t="str">
        <f>LicenseeSelect!H425</f>
        <v>Load related capex</v>
      </c>
      <c r="I332" s="188"/>
      <c r="J332" s="188"/>
      <c r="K332" s="188"/>
      <c r="L332" s="188"/>
      <c r="M332" s="188"/>
      <c r="N332" s="188"/>
      <c r="O332" s="188"/>
      <c r="P332" s="188"/>
      <c r="Q332" s="188"/>
      <c r="R332" s="188"/>
      <c r="S332" s="188"/>
      <c r="T332" s="188"/>
      <c r="U332" s="188"/>
      <c r="V332" s="188"/>
      <c r="W332" s="188"/>
      <c r="X332" s="188"/>
      <c r="Y332" s="188"/>
      <c r="Z332" s="188"/>
      <c r="AA332" s="188"/>
      <c r="AB332" s="188"/>
      <c r="AC332" s="188"/>
      <c r="AD332" s="188"/>
      <c r="AE332" s="188"/>
      <c r="AF332" s="188"/>
      <c r="AG332" s="188"/>
      <c r="AH332" s="188"/>
      <c r="AI332" s="188"/>
      <c r="AJ332" s="188"/>
      <c r="AK332" s="188"/>
      <c r="AL332" s="188"/>
      <c r="AM332" s="188"/>
      <c r="AN332" s="188"/>
      <c r="AO332" s="188"/>
      <c r="AP332" s="188"/>
      <c r="AQ332" s="188"/>
      <c r="AR332" s="188"/>
      <c r="AS332" s="188"/>
      <c r="AT332" s="202"/>
      <c r="AU332" s="203">
        <f>LicenseeSelect!AU425</f>
        <v>0</v>
      </c>
      <c r="AV332" s="204">
        <f>LicenseeSelect!AV425</f>
        <v>0</v>
      </c>
      <c r="AW332" s="204">
        <f>LicenseeSelect!AW425</f>
        <v>0</v>
      </c>
      <c r="AX332" s="204">
        <f>LicenseeSelect!AX425</f>
        <v>0</v>
      </c>
      <c r="AY332" s="205">
        <f>LicenseeSelect!AY425</f>
        <v>0</v>
      </c>
      <c r="BA332" s="34" t="str">
        <f t="shared" ca="1" si="22"/>
        <v>VariantAllowances</v>
      </c>
      <c r="BB332" s="34" t="str">
        <f t="shared" si="20"/>
        <v>Variant allowances detailed calculation</v>
      </c>
      <c r="BC332" s="34" t="str">
        <f t="shared" si="21"/>
        <v>Variant allowances percentage allocation</v>
      </c>
    </row>
    <row r="333" spans="5:55" x14ac:dyDescent="0.35">
      <c r="E333" s="193" t="str">
        <f>LicenseeSelect!E426</f>
        <v>Re-opener_General Reinforcement</v>
      </c>
      <c r="F333" s="126">
        <f>LicenseeSelect!F426</f>
        <v>0</v>
      </c>
      <c r="G333" s="33" t="s">
        <v>109</v>
      </c>
      <c r="H333" s="33" t="str">
        <f>LicenseeSelect!H426</f>
        <v>Non-load related capex - other</v>
      </c>
      <c r="AU333" s="162">
        <f>LicenseeSelect!AU426</f>
        <v>0</v>
      </c>
      <c r="AV333" s="41">
        <f>LicenseeSelect!AV426</f>
        <v>0</v>
      </c>
      <c r="AW333" s="41">
        <f>LicenseeSelect!AW426</f>
        <v>0</v>
      </c>
      <c r="AX333" s="41">
        <f>LicenseeSelect!AX426</f>
        <v>0</v>
      </c>
      <c r="AY333" s="206">
        <f>LicenseeSelect!AY426</f>
        <v>0</v>
      </c>
      <c r="BA333" s="34" t="str">
        <f t="shared" ca="1" si="22"/>
        <v>VariantAllowances</v>
      </c>
      <c r="BB333" s="34" t="str">
        <f t="shared" si="20"/>
        <v>Variant allowances detailed calculation</v>
      </c>
      <c r="BC333" s="34" t="str">
        <f t="shared" si="21"/>
        <v>Variant allowances percentage allocation</v>
      </c>
    </row>
    <row r="334" spans="5:55" x14ac:dyDescent="0.35">
      <c r="E334" s="193" t="str">
        <f>LicenseeSelect!E427</f>
        <v>Re-opener_General Reinforcement</v>
      </c>
      <c r="F334" s="126">
        <f>LicenseeSelect!F427</f>
        <v>0</v>
      </c>
      <c r="G334" s="33" t="s">
        <v>109</v>
      </c>
      <c r="H334" s="33" t="str">
        <f>LicenseeSelect!H427</f>
        <v>Business support (opex)</v>
      </c>
      <c r="AU334" s="162">
        <f>LicenseeSelect!AU427</f>
        <v>0</v>
      </c>
      <c r="AV334" s="41">
        <f>LicenseeSelect!AV427</f>
        <v>0</v>
      </c>
      <c r="AW334" s="41">
        <f>LicenseeSelect!AW427</f>
        <v>0</v>
      </c>
      <c r="AX334" s="41">
        <f>LicenseeSelect!AX427</f>
        <v>0</v>
      </c>
      <c r="AY334" s="206">
        <f>LicenseeSelect!AY427</f>
        <v>0</v>
      </c>
      <c r="BA334" s="34" t="str">
        <f t="shared" ca="1" si="22"/>
        <v>VariantAllowances</v>
      </c>
      <c r="BB334" s="34" t="str">
        <f t="shared" si="20"/>
        <v>Variant allowances detailed calculation</v>
      </c>
      <c r="BC334" s="34" t="str">
        <f t="shared" si="21"/>
        <v>Variant allowances percentage allocation</v>
      </c>
    </row>
    <row r="335" spans="5:55" x14ac:dyDescent="0.35">
      <c r="E335" s="193" t="str">
        <f>LicenseeSelect!E428</f>
        <v>Re-opener_General Reinforcement</v>
      </c>
      <c r="F335" s="126">
        <f>LicenseeSelect!F428</f>
        <v>0</v>
      </c>
      <c r="G335" s="33" t="s">
        <v>109</v>
      </c>
      <c r="H335" s="33" t="str">
        <f>LicenseeSelect!H428</f>
        <v>Directs opex</v>
      </c>
      <c r="AU335" s="162">
        <f>LicenseeSelect!AU428</f>
        <v>0</v>
      </c>
      <c r="AV335" s="41">
        <f>LicenseeSelect!AV428</f>
        <v>0</v>
      </c>
      <c r="AW335" s="41">
        <f>LicenseeSelect!AW428</f>
        <v>0</v>
      </c>
      <c r="AX335" s="41">
        <f>LicenseeSelect!AX428</f>
        <v>0</v>
      </c>
      <c r="AY335" s="206">
        <f>LicenseeSelect!AY428</f>
        <v>0</v>
      </c>
      <c r="BA335" s="34" t="str">
        <f t="shared" ca="1" si="22"/>
        <v>VariantAllowances</v>
      </c>
      <c r="BB335" s="34" t="str">
        <f t="shared" si="20"/>
        <v>Variant allowances detailed calculation</v>
      </c>
      <c r="BC335" s="34" t="str">
        <f t="shared" si="21"/>
        <v>Variant allowances percentage allocation</v>
      </c>
    </row>
    <row r="336" spans="5:55" x14ac:dyDescent="0.35">
      <c r="E336" s="195" t="str">
        <f>LicenseeSelect!E429</f>
        <v>Re-opener_General Reinforcement</v>
      </c>
      <c r="F336" s="207">
        <f>LicenseeSelect!F429</f>
        <v>0</v>
      </c>
      <c r="G336" s="196" t="s">
        <v>109</v>
      </c>
      <c r="H336" s="196" t="str">
        <f>LicenseeSelect!H429</f>
        <v>Repex</v>
      </c>
      <c r="I336" s="196"/>
      <c r="J336" s="196"/>
      <c r="K336" s="196"/>
      <c r="L336" s="196"/>
      <c r="M336" s="196"/>
      <c r="N336" s="196"/>
      <c r="O336" s="196"/>
      <c r="P336" s="196"/>
      <c r="Q336" s="196"/>
      <c r="R336" s="196"/>
      <c r="S336" s="196"/>
      <c r="T336" s="196"/>
      <c r="U336" s="196"/>
      <c r="V336" s="196"/>
      <c r="W336" s="196"/>
      <c r="X336" s="196"/>
      <c r="Y336" s="196"/>
      <c r="Z336" s="196"/>
      <c r="AA336" s="196"/>
      <c r="AB336" s="196"/>
      <c r="AC336" s="196"/>
      <c r="AD336" s="196"/>
      <c r="AE336" s="196"/>
      <c r="AF336" s="196"/>
      <c r="AG336" s="196"/>
      <c r="AH336" s="196"/>
      <c r="AI336" s="196"/>
      <c r="AJ336" s="196"/>
      <c r="AK336" s="196"/>
      <c r="AL336" s="196"/>
      <c r="AM336" s="196"/>
      <c r="AN336" s="196"/>
      <c r="AO336" s="196"/>
      <c r="AP336" s="196"/>
      <c r="AQ336" s="196"/>
      <c r="AR336" s="196"/>
      <c r="AS336" s="196"/>
      <c r="AT336" s="208"/>
      <c r="AU336" s="209">
        <f>LicenseeSelect!AU429</f>
        <v>0</v>
      </c>
      <c r="AV336" s="210">
        <f>LicenseeSelect!AV429</f>
        <v>0</v>
      </c>
      <c r="AW336" s="210">
        <f>LicenseeSelect!AW429</f>
        <v>0</v>
      </c>
      <c r="AX336" s="210">
        <f>LicenseeSelect!AX429</f>
        <v>0</v>
      </c>
      <c r="AY336" s="211">
        <f>LicenseeSelect!AY429</f>
        <v>0</v>
      </c>
      <c r="BA336" s="34" t="str">
        <f t="shared" ca="1" si="22"/>
        <v>VariantAllowances</v>
      </c>
      <c r="BB336" s="34" t="str">
        <f t="shared" si="20"/>
        <v>Variant allowances detailed calculation</v>
      </c>
      <c r="BC336" s="34" t="str">
        <f t="shared" si="21"/>
        <v>Variant allowances percentage allocation</v>
      </c>
    </row>
    <row r="337" spans="5:55" x14ac:dyDescent="0.35">
      <c r="E337" s="187" t="str">
        <f>LicenseeSelect!E430</f>
        <v>Spare 2</v>
      </c>
      <c r="F337" s="201">
        <f>LicenseeSelect!F430</f>
        <v>0</v>
      </c>
      <c r="G337" s="188" t="s">
        <v>109</v>
      </c>
      <c r="H337" s="188" t="str">
        <f>LicenseeSelect!H430</f>
        <v>Load related capex</v>
      </c>
      <c r="I337" s="188"/>
      <c r="J337" s="188"/>
      <c r="K337" s="188"/>
      <c r="L337" s="188"/>
      <c r="M337" s="188"/>
      <c r="N337" s="188"/>
      <c r="O337" s="188"/>
      <c r="P337" s="188"/>
      <c r="Q337" s="188"/>
      <c r="R337" s="188"/>
      <c r="S337" s="188"/>
      <c r="T337" s="188"/>
      <c r="U337" s="188"/>
      <c r="V337" s="188"/>
      <c r="W337" s="188"/>
      <c r="X337" s="188"/>
      <c r="Y337" s="188"/>
      <c r="Z337" s="188"/>
      <c r="AA337" s="188"/>
      <c r="AB337" s="188"/>
      <c r="AC337" s="188"/>
      <c r="AD337" s="188"/>
      <c r="AE337" s="188"/>
      <c r="AF337" s="188"/>
      <c r="AG337" s="188"/>
      <c r="AH337" s="188"/>
      <c r="AI337" s="188"/>
      <c r="AJ337" s="188"/>
      <c r="AK337" s="188"/>
      <c r="AL337" s="188"/>
      <c r="AM337" s="188"/>
      <c r="AN337" s="188"/>
      <c r="AO337" s="188"/>
      <c r="AP337" s="188"/>
      <c r="AQ337" s="188"/>
      <c r="AR337" s="188"/>
      <c r="AS337" s="188"/>
      <c r="AT337" s="202"/>
      <c r="AU337" s="203">
        <f>LicenseeSelect!AU430</f>
        <v>0</v>
      </c>
      <c r="AV337" s="204">
        <f>LicenseeSelect!AV430</f>
        <v>0</v>
      </c>
      <c r="AW337" s="204">
        <f>LicenseeSelect!AW430</f>
        <v>0</v>
      </c>
      <c r="AX337" s="204">
        <f>LicenseeSelect!AX430</f>
        <v>0</v>
      </c>
      <c r="AY337" s="205">
        <f>LicenseeSelect!AY430</f>
        <v>0</v>
      </c>
      <c r="BA337" s="34" t="str">
        <f t="shared" ca="1" si="22"/>
        <v>VariantAllowances</v>
      </c>
      <c r="BB337" s="34" t="str">
        <f t="shared" si="20"/>
        <v>Variant allowances detailed calculation</v>
      </c>
      <c r="BC337" s="34" t="str">
        <f t="shared" si="21"/>
        <v>Variant allowances percentage allocation</v>
      </c>
    </row>
    <row r="338" spans="5:55" x14ac:dyDescent="0.35">
      <c r="E338" s="193" t="str">
        <f>LicenseeSelect!E431</f>
        <v>Spare 2</v>
      </c>
      <c r="F338" s="126">
        <f>LicenseeSelect!F431</f>
        <v>0</v>
      </c>
      <c r="G338" s="33" t="s">
        <v>109</v>
      </c>
      <c r="H338" s="33" t="str">
        <f>LicenseeSelect!H431</f>
        <v>Non-load related capex - other</v>
      </c>
      <c r="AU338" s="162">
        <f>LicenseeSelect!AU431</f>
        <v>0</v>
      </c>
      <c r="AV338" s="41">
        <f>LicenseeSelect!AV431</f>
        <v>0</v>
      </c>
      <c r="AW338" s="41">
        <f>LicenseeSelect!AW431</f>
        <v>0</v>
      </c>
      <c r="AX338" s="41">
        <f>LicenseeSelect!AX431</f>
        <v>0</v>
      </c>
      <c r="AY338" s="206">
        <f>LicenseeSelect!AY431</f>
        <v>0</v>
      </c>
      <c r="BA338" s="34" t="str">
        <f t="shared" ca="1" si="22"/>
        <v>VariantAllowances</v>
      </c>
      <c r="BB338" s="34" t="str">
        <f t="shared" si="20"/>
        <v>Variant allowances detailed calculation</v>
      </c>
      <c r="BC338" s="34" t="str">
        <f t="shared" si="21"/>
        <v>Variant allowances percentage allocation</v>
      </c>
    </row>
    <row r="339" spans="5:55" x14ac:dyDescent="0.35">
      <c r="E339" s="193" t="str">
        <f>LicenseeSelect!E432</f>
        <v>Spare 2</v>
      </c>
      <c r="F339" s="126">
        <f>LicenseeSelect!F432</f>
        <v>0</v>
      </c>
      <c r="G339" s="33" t="s">
        <v>109</v>
      </c>
      <c r="H339" s="33" t="str">
        <f>LicenseeSelect!H432</f>
        <v>Business support (opex)</v>
      </c>
      <c r="AU339" s="162">
        <f>LicenseeSelect!AU432</f>
        <v>0</v>
      </c>
      <c r="AV339" s="41">
        <f>LicenseeSelect!AV432</f>
        <v>0</v>
      </c>
      <c r="AW339" s="41">
        <f>LicenseeSelect!AW432</f>
        <v>0</v>
      </c>
      <c r="AX339" s="41">
        <f>LicenseeSelect!AX432</f>
        <v>0</v>
      </c>
      <c r="AY339" s="206">
        <f>LicenseeSelect!AY432</f>
        <v>0</v>
      </c>
      <c r="BA339" s="34" t="str">
        <f t="shared" ca="1" si="22"/>
        <v>VariantAllowances</v>
      </c>
      <c r="BB339" s="34" t="str">
        <f t="shared" si="20"/>
        <v>Variant allowances detailed calculation</v>
      </c>
      <c r="BC339" s="34" t="str">
        <f t="shared" si="21"/>
        <v>Variant allowances percentage allocation</v>
      </c>
    </row>
    <row r="340" spans="5:55" x14ac:dyDescent="0.35">
      <c r="E340" s="193" t="str">
        <f>LicenseeSelect!E433</f>
        <v>Spare 2</v>
      </c>
      <c r="F340" s="126">
        <f>LicenseeSelect!F433</f>
        <v>0</v>
      </c>
      <c r="G340" s="33" t="s">
        <v>109</v>
      </c>
      <c r="H340" s="33" t="str">
        <f>LicenseeSelect!H433</f>
        <v>Directs opex</v>
      </c>
      <c r="AU340" s="162">
        <f>LicenseeSelect!AU433</f>
        <v>0</v>
      </c>
      <c r="AV340" s="41">
        <f>LicenseeSelect!AV433</f>
        <v>0</v>
      </c>
      <c r="AW340" s="41">
        <f>LicenseeSelect!AW433</f>
        <v>0</v>
      </c>
      <c r="AX340" s="41">
        <f>LicenseeSelect!AX433</f>
        <v>0</v>
      </c>
      <c r="AY340" s="206">
        <f>LicenseeSelect!AY433</f>
        <v>0</v>
      </c>
      <c r="BA340" s="34" t="str">
        <f t="shared" ca="1" si="22"/>
        <v>VariantAllowances</v>
      </c>
      <c r="BB340" s="34" t="str">
        <f t="shared" si="20"/>
        <v>Variant allowances detailed calculation</v>
      </c>
      <c r="BC340" s="34" t="str">
        <f t="shared" si="21"/>
        <v>Variant allowances percentage allocation</v>
      </c>
    </row>
    <row r="341" spans="5:55" x14ac:dyDescent="0.35">
      <c r="E341" s="195" t="str">
        <f>LicenseeSelect!E434</f>
        <v>Spare 2</v>
      </c>
      <c r="F341" s="207">
        <f>LicenseeSelect!F434</f>
        <v>0</v>
      </c>
      <c r="G341" s="196" t="s">
        <v>109</v>
      </c>
      <c r="H341" s="196" t="str">
        <f>LicenseeSelect!H434</f>
        <v>Repex</v>
      </c>
      <c r="I341" s="196"/>
      <c r="J341" s="196"/>
      <c r="K341" s="196"/>
      <c r="L341" s="196"/>
      <c r="M341" s="196"/>
      <c r="N341" s="196"/>
      <c r="O341" s="196"/>
      <c r="P341" s="196"/>
      <c r="Q341" s="196"/>
      <c r="R341" s="196"/>
      <c r="S341" s="196"/>
      <c r="T341" s="196"/>
      <c r="U341" s="196"/>
      <c r="V341" s="196"/>
      <c r="W341" s="196"/>
      <c r="X341" s="196"/>
      <c r="Y341" s="196"/>
      <c r="Z341" s="196"/>
      <c r="AA341" s="196"/>
      <c r="AB341" s="196"/>
      <c r="AC341" s="196"/>
      <c r="AD341" s="196"/>
      <c r="AE341" s="196"/>
      <c r="AF341" s="196"/>
      <c r="AG341" s="196"/>
      <c r="AH341" s="196"/>
      <c r="AI341" s="196"/>
      <c r="AJ341" s="196"/>
      <c r="AK341" s="196"/>
      <c r="AL341" s="196"/>
      <c r="AM341" s="196"/>
      <c r="AN341" s="196"/>
      <c r="AO341" s="196"/>
      <c r="AP341" s="196"/>
      <c r="AQ341" s="196"/>
      <c r="AR341" s="196"/>
      <c r="AS341" s="196"/>
      <c r="AT341" s="208"/>
      <c r="AU341" s="209">
        <f>LicenseeSelect!AU434</f>
        <v>0</v>
      </c>
      <c r="AV341" s="210">
        <f>LicenseeSelect!AV434</f>
        <v>0</v>
      </c>
      <c r="AW341" s="210">
        <f>LicenseeSelect!AW434</f>
        <v>0</v>
      </c>
      <c r="AX341" s="210">
        <f>LicenseeSelect!AX434</f>
        <v>0</v>
      </c>
      <c r="AY341" s="211">
        <f>LicenseeSelect!AY434</f>
        <v>0</v>
      </c>
      <c r="BA341" s="34" t="str">
        <f t="shared" ca="1" si="22"/>
        <v>VariantAllowances</v>
      </c>
      <c r="BB341" s="34" t="str">
        <f t="shared" si="20"/>
        <v>Variant allowances detailed calculation</v>
      </c>
      <c r="BC341" s="34" t="str">
        <f t="shared" si="21"/>
        <v>Variant allowances percentage allocation</v>
      </c>
    </row>
    <row r="342" spans="5:55" x14ac:dyDescent="0.35">
      <c r="E342" s="187" t="str">
        <f>LicenseeSelect!E435</f>
        <v>Spare 3</v>
      </c>
      <c r="F342" s="201">
        <f>LicenseeSelect!F435</f>
        <v>0</v>
      </c>
      <c r="G342" s="188" t="s">
        <v>109</v>
      </c>
      <c r="H342" s="188" t="str">
        <f>LicenseeSelect!H435</f>
        <v>Load related capex</v>
      </c>
      <c r="I342" s="188"/>
      <c r="J342" s="188"/>
      <c r="K342" s="188"/>
      <c r="L342" s="188"/>
      <c r="M342" s="188"/>
      <c r="N342" s="188"/>
      <c r="O342" s="188"/>
      <c r="P342" s="188"/>
      <c r="Q342" s="188"/>
      <c r="R342" s="188"/>
      <c r="S342" s="188"/>
      <c r="T342" s="188"/>
      <c r="U342" s="188"/>
      <c r="V342" s="188"/>
      <c r="W342" s="188"/>
      <c r="X342" s="188"/>
      <c r="Y342" s="188"/>
      <c r="Z342" s="188"/>
      <c r="AA342" s="188"/>
      <c r="AB342" s="188"/>
      <c r="AC342" s="188"/>
      <c r="AD342" s="188"/>
      <c r="AE342" s="188"/>
      <c r="AF342" s="188"/>
      <c r="AG342" s="188"/>
      <c r="AH342" s="188"/>
      <c r="AI342" s="188"/>
      <c r="AJ342" s="188"/>
      <c r="AK342" s="188"/>
      <c r="AL342" s="188"/>
      <c r="AM342" s="188"/>
      <c r="AN342" s="188"/>
      <c r="AO342" s="188"/>
      <c r="AP342" s="188"/>
      <c r="AQ342" s="188"/>
      <c r="AR342" s="188"/>
      <c r="AS342" s="188"/>
      <c r="AT342" s="202"/>
      <c r="AU342" s="203">
        <f>LicenseeSelect!AU435</f>
        <v>0</v>
      </c>
      <c r="AV342" s="204">
        <f>LicenseeSelect!AV435</f>
        <v>0</v>
      </c>
      <c r="AW342" s="204">
        <f>LicenseeSelect!AW435</f>
        <v>0</v>
      </c>
      <c r="AX342" s="204">
        <f>LicenseeSelect!AX435</f>
        <v>0</v>
      </c>
      <c r="AY342" s="205">
        <f>LicenseeSelect!AY435</f>
        <v>0</v>
      </c>
      <c r="BA342" s="34" t="str">
        <f t="shared" ca="1" si="22"/>
        <v>VariantAllowances</v>
      </c>
      <c r="BB342" s="34" t="str">
        <f t="shared" si="20"/>
        <v>Variant allowances detailed calculation</v>
      </c>
      <c r="BC342" s="34" t="str">
        <f t="shared" si="21"/>
        <v>Variant allowances percentage allocation</v>
      </c>
    </row>
    <row r="343" spans="5:55" x14ac:dyDescent="0.35">
      <c r="E343" s="193" t="str">
        <f>LicenseeSelect!E436</f>
        <v>Spare 3</v>
      </c>
      <c r="F343" s="126">
        <f>LicenseeSelect!F436</f>
        <v>0</v>
      </c>
      <c r="G343" s="33" t="s">
        <v>109</v>
      </c>
      <c r="H343" s="33" t="str">
        <f>LicenseeSelect!H436</f>
        <v>Non-load related capex - other</v>
      </c>
      <c r="AU343" s="162">
        <f>LicenseeSelect!AU436</f>
        <v>0</v>
      </c>
      <c r="AV343" s="41">
        <f>LicenseeSelect!AV436</f>
        <v>0</v>
      </c>
      <c r="AW343" s="41">
        <f>LicenseeSelect!AW436</f>
        <v>0</v>
      </c>
      <c r="AX343" s="41">
        <f>LicenseeSelect!AX436</f>
        <v>0</v>
      </c>
      <c r="AY343" s="206">
        <f>LicenseeSelect!AY436</f>
        <v>0</v>
      </c>
      <c r="BA343" s="34" t="str">
        <f t="shared" ca="1" si="22"/>
        <v>VariantAllowances</v>
      </c>
      <c r="BB343" s="34" t="str">
        <f t="shared" si="20"/>
        <v>Variant allowances detailed calculation</v>
      </c>
      <c r="BC343" s="34" t="str">
        <f t="shared" si="21"/>
        <v>Variant allowances percentage allocation</v>
      </c>
    </row>
    <row r="344" spans="5:55" x14ac:dyDescent="0.35">
      <c r="E344" s="193" t="str">
        <f>LicenseeSelect!E437</f>
        <v>Spare 3</v>
      </c>
      <c r="F344" s="126">
        <f>LicenseeSelect!F437</f>
        <v>0</v>
      </c>
      <c r="G344" s="33" t="s">
        <v>109</v>
      </c>
      <c r="H344" s="33" t="str">
        <f>LicenseeSelect!H437</f>
        <v>Business support (opex)</v>
      </c>
      <c r="AU344" s="162">
        <f>LicenseeSelect!AU437</f>
        <v>0</v>
      </c>
      <c r="AV344" s="41">
        <f>LicenseeSelect!AV437</f>
        <v>0</v>
      </c>
      <c r="AW344" s="41">
        <f>LicenseeSelect!AW437</f>
        <v>0</v>
      </c>
      <c r="AX344" s="41">
        <f>LicenseeSelect!AX437</f>
        <v>0</v>
      </c>
      <c r="AY344" s="206">
        <f>LicenseeSelect!AY437</f>
        <v>0</v>
      </c>
      <c r="BA344" s="34" t="str">
        <f t="shared" ca="1" si="22"/>
        <v>VariantAllowances</v>
      </c>
      <c r="BB344" s="34" t="str">
        <f t="shared" si="20"/>
        <v>Variant allowances detailed calculation</v>
      </c>
      <c r="BC344" s="34" t="str">
        <f t="shared" si="21"/>
        <v>Variant allowances percentage allocation</v>
      </c>
    </row>
    <row r="345" spans="5:55" x14ac:dyDescent="0.35">
      <c r="E345" s="193" t="str">
        <f>LicenseeSelect!E438</f>
        <v>Spare 3</v>
      </c>
      <c r="F345" s="126">
        <f>LicenseeSelect!F438</f>
        <v>0</v>
      </c>
      <c r="G345" s="33" t="s">
        <v>109</v>
      </c>
      <c r="H345" s="33" t="str">
        <f>LicenseeSelect!H438</f>
        <v>Directs opex</v>
      </c>
      <c r="AU345" s="162">
        <f>LicenseeSelect!AU438</f>
        <v>0</v>
      </c>
      <c r="AV345" s="41">
        <f>LicenseeSelect!AV438</f>
        <v>0</v>
      </c>
      <c r="AW345" s="41">
        <f>LicenseeSelect!AW438</f>
        <v>0</v>
      </c>
      <c r="AX345" s="41">
        <f>LicenseeSelect!AX438</f>
        <v>0</v>
      </c>
      <c r="AY345" s="206">
        <f>LicenseeSelect!AY438</f>
        <v>0</v>
      </c>
      <c r="BA345" s="34" t="str">
        <f t="shared" ca="1" si="22"/>
        <v>VariantAllowances</v>
      </c>
      <c r="BB345" s="34" t="str">
        <f t="shared" si="20"/>
        <v>Variant allowances detailed calculation</v>
      </c>
      <c r="BC345" s="34" t="str">
        <f t="shared" si="21"/>
        <v>Variant allowances percentage allocation</v>
      </c>
    </row>
    <row r="346" spans="5:55" x14ac:dyDescent="0.35">
      <c r="E346" s="195" t="str">
        <f>LicenseeSelect!E439</f>
        <v>Spare 3</v>
      </c>
      <c r="F346" s="207">
        <f>LicenseeSelect!F439</f>
        <v>0</v>
      </c>
      <c r="G346" s="196" t="s">
        <v>109</v>
      </c>
      <c r="H346" s="196" t="str">
        <f>LicenseeSelect!H439</f>
        <v>Repex</v>
      </c>
      <c r="I346" s="196"/>
      <c r="J346" s="196"/>
      <c r="K346" s="196"/>
      <c r="L346" s="196"/>
      <c r="M346" s="196"/>
      <c r="N346" s="196"/>
      <c r="O346" s="196"/>
      <c r="P346" s="196"/>
      <c r="Q346" s="196"/>
      <c r="R346" s="196"/>
      <c r="S346" s="196"/>
      <c r="T346" s="196"/>
      <c r="U346" s="196"/>
      <c r="V346" s="196"/>
      <c r="W346" s="196"/>
      <c r="X346" s="196"/>
      <c r="Y346" s="196"/>
      <c r="Z346" s="196"/>
      <c r="AA346" s="196"/>
      <c r="AB346" s="196"/>
      <c r="AC346" s="196"/>
      <c r="AD346" s="196"/>
      <c r="AE346" s="196"/>
      <c r="AF346" s="196"/>
      <c r="AG346" s="196"/>
      <c r="AH346" s="196"/>
      <c r="AI346" s="196"/>
      <c r="AJ346" s="196"/>
      <c r="AK346" s="196"/>
      <c r="AL346" s="196"/>
      <c r="AM346" s="196"/>
      <c r="AN346" s="196"/>
      <c r="AO346" s="196"/>
      <c r="AP346" s="196"/>
      <c r="AQ346" s="196"/>
      <c r="AR346" s="196"/>
      <c r="AS346" s="196"/>
      <c r="AT346" s="208"/>
      <c r="AU346" s="209">
        <f>LicenseeSelect!AU439</f>
        <v>0</v>
      </c>
      <c r="AV346" s="210">
        <f>LicenseeSelect!AV439</f>
        <v>0</v>
      </c>
      <c r="AW346" s="210">
        <f>LicenseeSelect!AW439</f>
        <v>0</v>
      </c>
      <c r="AX346" s="210">
        <f>LicenseeSelect!AX439</f>
        <v>0</v>
      </c>
      <c r="AY346" s="211">
        <f>LicenseeSelect!AY439</f>
        <v>0</v>
      </c>
      <c r="BA346" s="34" t="str">
        <f t="shared" ca="1" si="22"/>
        <v>VariantAllowances</v>
      </c>
      <c r="BB346" s="34" t="str">
        <f t="shared" si="20"/>
        <v>Variant allowances detailed calculation</v>
      </c>
      <c r="BC346" s="34" t="str">
        <f t="shared" si="21"/>
        <v>Variant allowances percentage allocation</v>
      </c>
    </row>
    <row r="347" spans="5:55" x14ac:dyDescent="0.35">
      <c r="E347" s="187" t="str">
        <f>LicenseeSelect!E440</f>
        <v>Spare 4</v>
      </c>
      <c r="F347" s="201">
        <f>LicenseeSelect!F440</f>
        <v>0</v>
      </c>
      <c r="G347" s="188" t="s">
        <v>109</v>
      </c>
      <c r="H347" s="188" t="str">
        <f>LicenseeSelect!H440</f>
        <v>Load related capex</v>
      </c>
      <c r="I347" s="188"/>
      <c r="J347" s="188"/>
      <c r="K347" s="188"/>
      <c r="L347" s="188"/>
      <c r="M347" s="188"/>
      <c r="N347" s="188"/>
      <c r="O347" s="188"/>
      <c r="P347" s="188"/>
      <c r="Q347" s="188"/>
      <c r="R347" s="188"/>
      <c r="S347" s="188"/>
      <c r="T347" s="188"/>
      <c r="U347" s="188"/>
      <c r="V347" s="188"/>
      <c r="W347" s="188"/>
      <c r="X347" s="188"/>
      <c r="Y347" s="188"/>
      <c r="Z347" s="188"/>
      <c r="AA347" s="188"/>
      <c r="AB347" s="188"/>
      <c r="AC347" s="188"/>
      <c r="AD347" s="188"/>
      <c r="AE347" s="188"/>
      <c r="AF347" s="188"/>
      <c r="AG347" s="188"/>
      <c r="AH347" s="188"/>
      <c r="AI347" s="188"/>
      <c r="AJ347" s="188"/>
      <c r="AK347" s="188"/>
      <c r="AL347" s="188"/>
      <c r="AM347" s="188"/>
      <c r="AN347" s="188"/>
      <c r="AO347" s="188"/>
      <c r="AP347" s="188"/>
      <c r="AQ347" s="188"/>
      <c r="AR347" s="188"/>
      <c r="AS347" s="188"/>
      <c r="AT347" s="202"/>
      <c r="AU347" s="203">
        <f>LicenseeSelect!AU440</f>
        <v>0</v>
      </c>
      <c r="AV347" s="204">
        <f>LicenseeSelect!AV440</f>
        <v>0</v>
      </c>
      <c r="AW347" s="204">
        <f>LicenseeSelect!AW440</f>
        <v>0</v>
      </c>
      <c r="AX347" s="204">
        <f>LicenseeSelect!AX440</f>
        <v>0</v>
      </c>
      <c r="AY347" s="205">
        <f>LicenseeSelect!AY440</f>
        <v>0</v>
      </c>
      <c r="BA347" s="34" t="str">
        <f t="shared" ca="1" si="22"/>
        <v>VariantAllowances</v>
      </c>
      <c r="BB347" s="34" t="str">
        <f t="shared" si="20"/>
        <v>Variant allowances detailed calculation</v>
      </c>
      <c r="BC347" s="34" t="str">
        <f t="shared" si="21"/>
        <v>Variant allowances percentage allocation</v>
      </c>
    </row>
    <row r="348" spans="5:55" x14ac:dyDescent="0.35">
      <c r="E348" s="193" t="str">
        <f>LicenseeSelect!E441</f>
        <v>Spare 4</v>
      </c>
      <c r="F348" s="126">
        <f>LicenseeSelect!F441</f>
        <v>0</v>
      </c>
      <c r="G348" s="33" t="s">
        <v>109</v>
      </c>
      <c r="H348" s="33" t="str">
        <f>LicenseeSelect!H441</f>
        <v>Non-load related capex - other</v>
      </c>
      <c r="AU348" s="162">
        <f>LicenseeSelect!AU441</f>
        <v>0</v>
      </c>
      <c r="AV348" s="41">
        <f>LicenseeSelect!AV441</f>
        <v>0</v>
      </c>
      <c r="AW348" s="41">
        <f>LicenseeSelect!AW441</f>
        <v>0</v>
      </c>
      <c r="AX348" s="41">
        <f>LicenseeSelect!AX441</f>
        <v>0</v>
      </c>
      <c r="AY348" s="206">
        <f>LicenseeSelect!AY441</f>
        <v>0</v>
      </c>
      <c r="BA348" s="34" t="str">
        <f t="shared" ca="1" si="22"/>
        <v>VariantAllowances</v>
      </c>
      <c r="BB348" s="34" t="str">
        <f t="shared" si="20"/>
        <v>Variant allowances detailed calculation</v>
      </c>
      <c r="BC348" s="34" t="str">
        <f t="shared" si="21"/>
        <v>Variant allowances percentage allocation</v>
      </c>
    </row>
    <row r="349" spans="5:55" x14ac:dyDescent="0.35">
      <c r="E349" s="193" t="str">
        <f>LicenseeSelect!E442</f>
        <v>Spare 4</v>
      </c>
      <c r="F349" s="126">
        <f>LicenseeSelect!F442</f>
        <v>0</v>
      </c>
      <c r="G349" s="33" t="s">
        <v>109</v>
      </c>
      <c r="H349" s="33" t="str">
        <f>LicenseeSelect!H442</f>
        <v>Business support (opex)</v>
      </c>
      <c r="AU349" s="162">
        <f>LicenseeSelect!AU442</f>
        <v>0</v>
      </c>
      <c r="AV349" s="41">
        <f>LicenseeSelect!AV442</f>
        <v>0</v>
      </c>
      <c r="AW349" s="41">
        <f>LicenseeSelect!AW442</f>
        <v>0</v>
      </c>
      <c r="AX349" s="41">
        <f>LicenseeSelect!AX442</f>
        <v>0</v>
      </c>
      <c r="AY349" s="206">
        <f>LicenseeSelect!AY442</f>
        <v>0</v>
      </c>
      <c r="BA349" s="34" t="str">
        <f t="shared" ca="1" si="22"/>
        <v>VariantAllowances</v>
      </c>
      <c r="BB349" s="34" t="str">
        <f t="shared" si="20"/>
        <v>Variant allowances detailed calculation</v>
      </c>
      <c r="BC349" s="34" t="str">
        <f t="shared" si="21"/>
        <v>Variant allowances percentage allocation</v>
      </c>
    </row>
    <row r="350" spans="5:55" x14ac:dyDescent="0.35">
      <c r="E350" s="193" t="str">
        <f>LicenseeSelect!E443</f>
        <v>Spare 4</v>
      </c>
      <c r="F350" s="126">
        <f>LicenseeSelect!F443</f>
        <v>0</v>
      </c>
      <c r="G350" s="33" t="s">
        <v>109</v>
      </c>
      <c r="H350" s="33" t="str">
        <f>LicenseeSelect!H443</f>
        <v>Directs opex</v>
      </c>
      <c r="AU350" s="162">
        <f>LicenseeSelect!AU443</f>
        <v>0</v>
      </c>
      <c r="AV350" s="41">
        <f>LicenseeSelect!AV443</f>
        <v>0</v>
      </c>
      <c r="AW350" s="41">
        <f>LicenseeSelect!AW443</f>
        <v>0</v>
      </c>
      <c r="AX350" s="41">
        <f>LicenseeSelect!AX443</f>
        <v>0</v>
      </c>
      <c r="AY350" s="206">
        <f>LicenseeSelect!AY443</f>
        <v>0</v>
      </c>
      <c r="BA350" s="34" t="str">
        <f t="shared" ca="1" si="22"/>
        <v>VariantAllowances</v>
      </c>
      <c r="BB350" s="34" t="str">
        <f t="shared" si="20"/>
        <v>Variant allowances detailed calculation</v>
      </c>
      <c r="BC350" s="34" t="str">
        <f t="shared" si="21"/>
        <v>Variant allowances percentage allocation</v>
      </c>
    </row>
    <row r="351" spans="5:55" x14ac:dyDescent="0.35">
      <c r="E351" s="195" t="str">
        <f>LicenseeSelect!E444</f>
        <v>Spare 4</v>
      </c>
      <c r="F351" s="207">
        <f>LicenseeSelect!F444</f>
        <v>0</v>
      </c>
      <c r="G351" s="196" t="s">
        <v>109</v>
      </c>
      <c r="H351" s="196" t="str">
        <f>LicenseeSelect!H444</f>
        <v>Repex</v>
      </c>
      <c r="I351" s="196"/>
      <c r="J351" s="196"/>
      <c r="K351" s="196"/>
      <c r="L351" s="196"/>
      <c r="M351" s="196"/>
      <c r="N351" s="196"/>
      <c r="O351" s="196"/>
      <c r="P351" s="196"/>
      <c r="Q351" s="196"/>
      <c r="R351" s="196"/>
      <c r="S351" s="196"/>
      <c r="T351" s="196"/>
      <c r="U351" s="196"/>
      <c r="V351" s="196"/>
      <c r="W351" s="196"/>
      <c r="X351" s="196"/>
      <c r="Y351" s="196"/>
      <c r="Z351" s="196"/>
      <c r="AA351" s="196"/>
      <c r="AB351" s="196"/>
      <c r="AC351" s="196"/>
      <c r="AD351" s="196"/>
      <c r="AE351" s="196"/>
      <c r="AF351" s="196"/>
      <c r="AG351" s="196"/>
      <c r="AH351" s="196"/>
      <c r="AI351" s="196"/>
      <c r="AJ351" s="196"/>
      <c r="AK351" s="196"/>
      <c r="AL351" s="196"/>
      <c r="AM351" s="196"/>
      <c r="AN351" s="196"/>
      <c r="AO351" s="196"/>
      <c r="AP351" s="196"/>
      <c r="AQ351" s="196"/>
      <c r="AR351" s="196"/>
      <c r="AS351" s="196"/>
      <c r="AT351" s="208"/>
      <c r="AU351" s="209">
        <f>LicenseeSelect!AU444</f>
        <v>0</v>
      </c>
      <c r="AV351" s="210">
        <f>LicenseeSelect!AV444</f>
        <v>0</v>
      </c>
      <c r="AW351" s="210">
        <f>LicenseeSelect!AW444</f>
        <v>0</v>
      </c>
      <c r="AX351" s="210">
        <f>LicenseeSelect!AX444</f>
        <v>0</v>
      </c>
      <c r="AY351" s="211">
        <f>LicenseeSelect!AY444</f>
        <v>0</v>
      </c>
      <c r="BA351" s="34" t="str">
        <f t="shared" ca="1" si="22"/>
        <v>VariantAllowances</v>
      </c>
      <c r="BB351" s="34" t="str">
        <f t="shared" si="20"/>
        <v>Variant allowances detailed calculation</v>
      </c>
      <c r="BC351" s="34" t="str">
        <f t="shared" si="21"/>
        <v>Variant allowances percentage allocation</v>
      </c>
    </row>
    <row r="352" spans="5:55" x14ac:dyDescent="0.35">
      <c r="E352" s="187" t="str">
        <f>LicenseeSelect!E445</f>
        <v>Spare 5</v>
      </c>
      <c r="F352" s="201">
        <f>LicenseeSelect!F445</f>
        <v>0</v>
      </c>
      <c r="G352" s="188" t="s">
        <v>109</v>
      </c>
      <c r="H352" s="188" t="str">
        <f>LicenseeSelect!H445</f>
        <v>Load related capex</v>
      </c>
      <c r="I352" s="188"/>
      <c r="J352" s="188"/>
      <c r="K352" s="188"/>
      <c r="L352" s="188"/>
      <c r="M352" s="188"/>
      <c r="N352" s="188"/>
      <c r="O352" s="188"/>
      <c r="P352" s="188"/>
      <c r="Q352" s="188"/>
      <c r="R352" s="188"/>
      <c r="S352" s="188"/>
      <c r="T352" s="188"/>
      <c r="U352" s="188"/>
      <c r="V352" s="188"/>
      <c r="W352" s="188"/>
      <c r="X352" s="188"/>
      <c r="Y352" s="188"/>
      <c r="Z352" s="188"/>
      <c r="AA352" s="188"/>
      <c r="AB352" s="188"/>
      <c r="AC352" s="188"/>
      <c r="AD352" s="188"/>
      <c r="AE352" s="188"/>
      <c r="AF352" s="188"/>
      <c r="AG352" s="188"/>
      <c r="AH352" s="188"/>
      <c r="AI352" s="188"/>
      <c r="AJ352" s="188"/>
      <c r="AK352" s="188"/>
      <c r="AL352" s="188"/>
      <c r="AM352" s="188"/>
      <c r="AN352" s="188"/>
      <c r="AO352" s="188"/>
      <c r="AP352" s="188"/>
      <c r="AQ352" s="188"/>
      <c r="AR352" s="188"/>
      <c r="AS352" s="188"/>
      <c r="AT352" s="202"/>
      <c r="AU352" s="203">
        <f>LicenseeSelect!AU445</f>
        <v>0</v>
      </c>
      <c r="AV352" s="204">
        <f>LicenseeSelect!AV445</f>
        <v>0</v>
      </c>
      <c r="AW352" s="204">
        <f>LicenseeSelect!AW445</f>
        <v>0</v>
      </c>
      <c r="AX352" s="204">
        <f>LicenseeSelect!AX445</f>
        <v>0</v>
      </c>
      <c r="AY352" s="205">
        <f>LicenseeSelect!AY445</f>
        <v>0</v>
      </c>
      <c r="BA352" s="34" t="str">
        <f t="shared" ca="1" si="22"/>
        <v>VariantAllowances</v>
      </c>
      <c r="BB352" s="34" t="str">
        <f t="shared" si="20"/>
        <v>Variant allowances detailed calculation</v>
      </c>
      <c r="BC352" s="34" t="str">
        <f t="shared" si="21"/>
        <v>Variant allowances percentage allocation</v>
      </c>
    </row>
    <row r="353" spans="1:55" x14ac:dyDescent="0.35">
      <c r="E353" s="193" t="str">
        <f>LicenseeSelect!E446</f>
        <v>Spare 5</v>
      </c>
      <c r="F353" s="126">
        <f>LicenseeSelect!F446</f>
        <v>0</v>
      </c>
      <c r="G353" s="33" t="s">
        <v>109</v>
      </c>
      <c r="H353" s="33" t="str">
        <f>LicenseeSelect!H446</f>
        <v>Non-load related capex - other</v>
      </c>
      <c r="AU353" s="162">
        <f>LicenseeSelect!AU446</f>
        <v>0</v>
      </c>
      <c r="AV353" s="41">
        <f>LicenseeSelect!AV446</f>
        <v>0</v>
      </c>
      <c r="AW353" s="41">
        <f>LicenseeSelect!AW446</f>
        <v>0</v>
      </c>
      <c r="AX353" s="41">
        <f>LicenseeSelect!AX446</f>
        <v>0</v>
      </c>
      <c r="AY353" s="206">
        <f>LicenseeSelect!AY446</f>
        <v>0</v>
      </c>
      <c r="BA353" s="34" t="str">
        <f t="shared" ca="1" si="22"/>
        <v>VariantAllowances</v>
      </c>
      <c r="BB353" s="34" t="str">
        <f t="shared" si="20"/>
        <v>Variant allowances detailed calculation</v>
      </c>
      <c r="BC353" s="34" t="str">
        <f t="shared" si="21"/>
        <v>Variant allowances percentage allocation</v>
      </c>
    </row>
    <row r="354" spans="1:55" x14ac:dyDescent="0.35">
      <c r="E354" s="193" t="str">
        <f>LicenseeSelect!E447</f>
        <v>Spare 5</v>
      </c>
      <c r="F354" s="126">
        <f>LicenseeSelect!F447</f>
        <v>0</v>
      </c>
      <c r="G354" s="33" t="s">
        <v>109</v>
      </c>
      <c r="H354" s="33" t="str">
        <f>LicenseeSelect!H447</f>
        <v>Business support (opex)</v>
      </c>
      <c r="AU354" s="162">
        <f>LicenseeSelect!AU447</f>
        <v>0</v>
      </c>
      <c r="AV354" s="41">
        <f>LicenseeSelect!AV447</f>
        <v>0</v>
      </c>
      <c r="AW354" s="41">
        <f>LicenseeSelect!AW447</f>
        <v>0</v>
      </c>
      <c r="AX354" s="41">
        <f>LicenseeSelect!AX447</f>
        <v>0</v>
      </c>
      <c r="AY354" s="206">
        <f>LicenseeSelect!AY447</f>
        <v>0</v>
      </c>
      <c r="BA354" s="34" t="str">
        <f t="shared" ca="1" si="22"/>
        <v>VariantAllowances</v>
      </c>
      <c r="BB354" s="34" t="str">
        <f t="shared" si="20"/>
        <v>Variant allowances detailed calculation</v>
      </c>
      <c r="BC354" s="34" t="str">
        <f t="shared" si="21"/>
        <v>Variant allowances percentage allocation</v>
      </c>
    </row>
    <row r="355" spans="1:55" x14ac:dyDescent="0.35">
      <c r="E355" s="193" t="str">
        <f>LicenseeSelect!E448</f>
        <v>Spare 5</v>
      </c>
      <c r="F355" s="126">
        <f>LicenseeSelect!F448</f>
        <v>0</v>
      </c>
      <c r="G355" s="33" t="s">
        <v>109</v>
      </c>
      <c r="H355" s="33" t="str">
        <f>LicenseeSelect!H448</f>
        <v>Directs opex</v>
      </c>
      <c r="AU355" s="162">
        <f>LicenseeSelect!AU448</f>
        <v>0</v>
      </c>
      <c r="AV355" s="41">
        <f>LicenseeSelect!AV448</f>
        <v>0</v>
      </c>
      <c r="AW355" s="41">
        <f>LicenseeSelect!AW448</f>
        <v>0</v>
      </c>
      <c r="AX355" s="41">
        <f>LicenseeSelect!AX448</f>
        <v>0</v>
      </c>
      <c r="AY355" s="206">
        <f>LicenseeSelect!AY448</f>
        <v>0</v>
      </c>
      <c r="BA355" s="34" t="str">
        <f t="shared" ca="1" si="22"/>
        <v>VariantAllowances</v>
      </c>
      <c r="BB355" s="34" t="str">
        <f t="shared" si="20"/>
        <v>Variant allowances detailed calculation</v>
      </c>
      <c r="BC355" s="34" t="str">
        <f t="shared" si="21"/>
        <v>Variant allowances percentage allocation</v>
      </c>
    </row>
    <row r="356" spans="1:55" x14ac:dyDescent="0.35">
      <c r="E356" s="195" t="str">
        <f>LicenseeSelect!E449</f>
        <v>Spare 5</v>
      </c>
      <c r="F356" s="207">
        <f>LicenseeSelect!F449</f>
        <v>0</v>
      </c>
      <c r="G356" s="196" t="s">
        <v>109</v>
      </c>
      <c r="H356" s="196" t="str">
        <f>LicenseeSelect!H449</f>
        <v>Repex</v>
      </c>
      <c r="I356" s="196"/>
      <c r="J356" s="196"/>
      <c r="K356" s="196"/>
      <c r="L356" s="196"/>
      <c r="M356" s="196"/>
      <c r="N356" s="196"/>
      <c r="O356" s="196"/>
      <c r="P356" s="196"/>
      <c r="Q356" s="196"/>
      <c r="R356" s="196"/>
      <c r="S356" s="196"/>
      <c r="T356" s="196"/>
      <c r="U356" s="196"/>
      <c r="V356" s="196"/>
      <c r="W356" s="196"/>
      <c r="X356" s="196"/>
      <c r="Y356" s="196"/>
      <c r="Z356" s="196"/>
      <c r="AA356" s="196"/>
      <c r="AB356" s="196"/>
      <c r="AC356" s="196"/>
      <c r="AD356" s="196"/>
      <c r="AE356" s="196"/>
      <c r="AF356" s="196"/>
      <c r="AG356" s="196"/>
      <c r="AH356" s="196"/>
      <c r="AI356" s="196"/>
      <c r="AJ356" s="196"/>
      <c r="AK356" s="196"/>
      <c r="AL356" s="196"/>
      <c r="AM356" s="196"/>
      <c r="AN356" s="196"/>
      <c r="AO356" s="196"/>
      <c r="AP356" s="196"/>
      <c r="AQ356" s="196"/>
      <c r="AR356" s="196"/>
      <c r="AS356" s="196"/>
      <c r="AT356" s="208"/>
      <c r="AU356" s="209">
        <f>LicenseeSelect!AU449</f>
        <v>0</v>
      </c>
      <c r="AV356" s="210">
        <f>LicenseeSelect!AV449</f>
        <v>0</v>
      </c>
      <c r="AW356" s="210">
        <f>LicenseeSelect!AW449</f>
        <v>0</v>
      </c>
      <c r="AX356" s="210">
        <f>LicenseeSelect!AX449</f>
        <v>0</v>
      </c>
      <c r="AY356" s="211">
        <f>LicenseeSelect!AY449</f>
        <v>0</v>
      </c>
      <c r="BA356" s="34" t="str">
        <f t="shared" ca="1" si="22"/>
        <v>VariantAllowances</v>
      </c>
      <c r="BB356" s="34" t="str">
        <f t="shared" si="20"/>
        <v>Variant allowances detailed calculation</v>
      </c>
      <c r="BC356" s="34" t="str">
        <f t="shared" si="21"/>
        <v>Variant allowances percentage allocation</v>
      </c>
    </row>
    <row r="357" spans="1:55" x14ac:dyDescent="0.35">
      <c r="E357" s="187" t="str">
        <f>LicenseeSelect!E450</f>
        <v>Spare 6</v>
      </c>
      <c r="F357" s="201">
        <f>LicenseeSelect!F450</f>
        <v>0</v>
      </c>
      <c r="G357" s="188" t="s">
        <v>109</v>
      </c>
      <c r="H357" s="188" t="str">
        <f>LicenseeSelect!H450</f>
        <v>Load related capex</v>
      </c>
      <c r="I357" s="188"/>
      <c r="J357" s="188"/>
      <c r="K357" s="188"/>
      <c r="L357" s="188"/>
      <c r="M357" s="188"/>
      <c r="N357" s="188"/>
      <c r="O357" s="188"/>
      <c r="P357" s="188"/>
      <c r="Q357" s="188"/>
      <c r="R357" s="188"/>
      <c r="S357" s="188"/>
      <c r="T357" s="188"/>
      <c r="U357" s="188"/>
      <c r="V357" s="188"/>
      <c r="W357" s="188"/>
      <c r="X357" s="188"/>
      <c r="Y357" s="188"/>
      <c r="Z357" s="188"/>
      <c r="AA357" s="188"/>
      <c r="AB357" s="188"/>
      <c r="AC357" s="188"/>
      <c r="AD357" s="188"/>
      <c r="AE357" s="188"/>
      <c r="AF357" s="188"/>
      <c r="AG357" s="188"/>
      <c r="AH357" s="188"/>
      <c r="AI357" s="188"/>
      <c r="AJ357" s="188"/>
      <c r="AK357" s="188"/>
      <c r="AL357" s="188"/>
      <c r="AM357" s="188"/>
      <c r="AN357" s="188"/>
      <c r="AO357" s="188"/>
      <c r="AP357" s="188"/>
      <c r="AQ357" s="188"/>
      <c r="AR357" s="188"/>
      <c r="AS357" s="188"/>
      <c r="AT357" s="202"/>
      <c r="AU357" s="203">
        <f>LicenseeSelect!AU450</f>
        <v>0</v>
      </c>
      <c r="AV357" s="204">
        <f>LicenseeSelect!AV450</f>
        <v>0</v>
      </c>
      <c r="AW357" s="204">
        <f>LicenseeSelect!AW450</f>
        <v>0</v>
      </c>
      <c r="AX357" s="204">
        <f>LicenseeSelect!AX450</f>
        <v>0</v>
      </c>
      <c r="AY357" s="205">
        <f>LicenseeSelect!AY450</f>
        <v>0</v>
      </c>
      <c r="BA357" s="34" t="str">
        <f t="shared" ca="1" si="22"/>
        <v>VariantAllowances</v>
      </c>
      <c r="BB357" s="34" t="str">
        <f t="shared" si="20"/>
        <v>Variant allowances detailed calculation</v>
      </c>
      <c r="BC357" s="34" t="str">
        <f t="shared" si="21"/>
        <v>Variant allowances percentage allocation</v>
      </c>
    </row>
    <row r="358" spans="1:55" x14ac:dyDescent="0.35">
      <c r="E358" s="193" t="str">
        <f>LicenseeSelect!E451</f>
        <v>Spare 6</v>
      </c>
      <c r="F358" s="126">
        <f>LicenseeSelect!F451</f>
        <v>0</v>
      </c>
      <c r="G358" s="33" t="s">
        <v>109</v>
      </c>
      <c r="H358" s="33" t="str">
        <f>LicenseeSelect!H451</f>
        <v>Non-load related capex - other</v>
      </c>
      <c r="AU358" s="162">
        <f>LicenseeSelect!AU451</f>
        <v>0</v>
      </c>
      <c r="AV358" s="41">
        <f>LicenseeSelect!AV451</f>
        <v>0</v>
      </c>
      <c r="AW358" s="41">
        <f>LicenseeSelect!AW451</f>
        <v>0</v>
      </c>
      <c r="AX358" s="41">
        <f>LicenseeSelect!AX451</f>
        <v>0</v>
      </c>
      <c r="AY358" s="206">
        <f>LicenseeSelect!AY451</f>
        <v>0</v>
      </c>
      <c r="BA358" s="34" t="str">
        <f t="shared" ca="1" si="22"/>
        <v>VariantAllowances</v>
      </c>
      <c r="BB358" s="34" t="str">
        <f t="shared" si="20"/>
        <v>Variant allowances detailed calculation</v>
      </c>
      <c r="BC358" s="34" t="str">
        <f t="shared" si="21"/>
        <v>Variant allowances percentage allocation</v>
      </c>
    </row>
    <row r="359" spans="1:55" x14ac:dyDescent="0.35">
      <c r="E359" s="193" t="str">
        <f>LicenseeSelect!E452</f>
        <v>Spare 6</v>
      </c>
      <c r="F359" s="126">
        <f>LicenseeSelect!F452</f>
        <v>0</v>
      </c>
      <c r="G359" s="33" t="s">
        <v>109</v>
      </c>
      <c r="H359" s="33" t="str">
        <f>LicenseeSelect!H452</f>
        <v>Business support (opex)</v>
      </c>
      <c r="AU359" s="162">
        <f>LicenseeSelect!AU452</f>
        <v>0</v>
      </c>
      <c r="AV359" s="41">
        <f>LicenseeSelect!AV452</f>
        <v>0</v>
      </c>
      <c r="AW359" s="41">
        <f>LicenseeSelect!AW452</f>
        <v>0</v>
      </c>
      <c r="AX359" s="41">
        <f>LicenseeSelect!AX452</f>
        <v>0</v>
      </c>
      <c r="AY359" s="206">
        <f>LicenseeSelect!AY452</f>
        <v>0</v>
      </c>
      <c r="BA359" s="34" t="str">
        <f t="shared" ca="1" si="22"/>
        <v>VariantAllowances</v>
      </c>
      <c r="BB359" s="34" t="str">
        <f>$A$363</f>
        <v>Variant allowances detailed calculation</v>
      </c>
      <c r="BC359" s="34" t="str">
        <f t="shared" ref="BC359:BC361" si="23">$B$111</f>
        <v>Variant allowances percentage allocation</v>
      </c>
    </row>
    <row r="360" spans="1:55" x14ac:dyDescent="0.35">
      <c r="E360" s="193" t="str">
        <f>LicenseeSelect!E453</f>
        <v>Spare 6</v>
      </c>
      <c r="F360" s="126">
        <f>LicenseeSelect!F453</f>
        <v>0</v>
      </c>
      <c r="G360" s="33" t="s">
        <v>109</v>
      </c>
      <c r="H360" s="33" t="str">
        <f>LicenseeSelect!H453</f>
        <v>Directs opex</v>
      </c>
      <c r="AU360" s="162">
        <f>LicenseeSelect!AU453</f>
        <v>0</v>
      </c>
      <c r="AV360" s="41">
        <f>LicenseeSelect!AV453</f>
        <v>0</v>
      </c>
      <c r="AW360" s="41">
        <f>LicenseeSelect!AW453</f>
        <v>0</v>
      </c>
      <c r="AX360" s="41">
        <f>LicenseeSelect!AX453</f>
        <v>0</v>
      </c>
      <c r="AY360" s="206">
        <f>LicenseeSelect!AY453</f>
        <v>0</v>
      </c>
      <c r="BA360" s="34" t="str">
        <f t="shared" ca="1" si="22"/>
        <v>VariantAllowances</v>
      </c>
      <c r="BB360" s="34" t="str">
        <f>$A$363</f>
        <v>Variant allowances detailed calculation</v>
      </c>
      <c r="BC360" s="34" t="str">
        <f t="shared" si="23"/>
        <v>Variant allowances percentage allocation</v>
      </c>
    </row>
    <row r="361" spans="1:55" x14ac:dyDescent="0.35">
      <c r="E361" s="195" t="str">
        <f>LicenseeSelect!E454</f>
        <v>Spare 6</v>
      </c>
      <c r="F361" s="207">
        <f>LicenseeSelect!F454</f>
        <v>0</v>
      </c>
      <c r="G361" s="196" t="s">
        <v>109</v>
      </c>
      <c r="H361" s="196" t="str">
        <f>LicenseeSelect!H454</f>
        <v>Repex</v>
      </c>
      <c r="I361" s="196"/>
      <c r="J361" s="196"/>
      <c r="K361" s="196"/>
      <c r="L361" s="196"/>
      <c r="M361" s="196"/>
      <c r="N361" s="196"/>
      <c r="O361" s="196"/>
      <c r="P361" s="196"/>
      <c r="Q361" s="196"/>
      <c r="R361" s="196"/>
      <c r="S361" s="196"/>
      <c r="T361" s="196"/>
      <c r="U361" s="196"/>
      <c r="V361" s="196"/>
      <c r="W361" s="196"/>
      <c r="X361" s="196"/>
      <c r="Y361" s="196"/>
      <c r="Z361" s="196"/>
      <c r="AA361" s="196"/>
      <c r="AB361" s="196"/>
      <c r="AC361" s="196"/>
      <c r="AD361" s="196"/>
      <c r="AE361" s="196"/>
      <c r="AF361" s="196"/>
      <c r="AG361" s="196"/>
      <c r="AH361" s="196"/>
      <c r="AI361" s="196"/>
      <c r="AJ361" s="196"/>
      <c r="AK361" s="196"/>
      <c r="AL361" s="196"/>
      <c r="AM361" s="196"/>
      <c r="AN361" s="196"/>
      <c r="AO361" s="196"/>
      <c r="AP361" s="196"/>
      <c r="AQ361" s="196"/>
      <c r="AR361" s="196"/>
      <c r="AS361" s="196"/>
      <c r="AT361" s="208"/>
      <c r="AU361" s="209">
        <f>LicenseeSelect!AU454</f>
        <v>0</v>
      </c>
      <c r="AV361" s="210">
        <f>LicenseeSelect!AV454</f>
        <v>0</v>
      </c>
      <c r="AW361" s="210">
        <f>LicenseeSelect!AW454</f>
        <v>0</v>
      </c>
      <c r="AX361" s="210">
        <f>LicenseeSelect!AX454</f>
        <v>0</v>
      </c>
      <c r="AY361" s="211">
        <f>LicenseeSelect!AY454</f>
        <v>0</v>
      </c>
      <c r="BA361" s="34" t="str">
        <f t="shared" ca="1" si="22"/>
        <v>VariantAllowances</v>
      </c>
      <c r="BB361" s="34" t="str">
        <f>$A$363</f>
        <v>Variant allowances detailed calculation</v>
      </c>
      <c r="BC361" s="34" t="str">
        <f t="shared" si="23"/>
        <v>Variant allowances percentage allocation</v>
      </c>
    </row>
    <row r="362" spans="1:55" customFormat="1" ht="14.5" x14ac:dyDescent="0.35">
      <c r="F362" s="127"/>
      <c r="AT362" s="61"/>
      <c r="BA362" s="34"/>
      <c r="BB362" s="1"/>
      <c r="BC362" s="1"/>
    </row>
    <row r="363" spans="1:55" ht="20" thickBot="1" x14ac:dyDescent="0.4">
      <c r="A363" s="7" t="s">
        <v>266</v>
      </c>
      <c r="BA363" s="34"/>
    </row>
    <row r="364" spans="1:55" ht="18" thickTop="1" thickBot="1" x14ac:dyDescent="0.4">
      <c r="B364" s="8" t="s">
        <v>271</v>
      </c>
      <c r="BA364" s="34"/>
    </row>
    <row r="365" spans="1:55" ht="16.5" thickTop="1" x14ac:dyDescent="0.35">
      <c r="D365" s="1">
        <f t="shared" ref="D365:D428" si="24">INDEX($AY$60:$AY$109,MATCH(E365,$E$60:$E$109,0))</f>
        <v>1</v>
      </c>
      <c r="E365" s="187" t="str">
        <f t="shared" ref="E365:E428" si="25">E112</f>
        <v>PCD_Baseline Network Risk Output</v>
      </c>
      <c r="F365" s="201"/>
      <c r="G365" s="188" t="str">
        <f t="shared" ref="G365:G483" si="26">price_label</f>
        <v>£m 23/24 prices</v>
      </c>
      <c r="H365" s="188" t="s">
        <v>168</v>
      </c>
      <c r="I365" s="188"/>
      <c r="J365" s="188"/>
      <c r="K365" s="188"/>
      <c r="L365" s="188"/>
      <c r="M365" s="188"/>
      <c r="N365" s="188"/>
      <c r="O365" s="188"/>
      <c r="P365" s="188"/>
      <c r="Q365" s="188"/>
      <c r="R365" s="188"/>
      <c r="S365" s="188"/>
      <c r="T365" s="188"/>
      <c r="U365" s="188"/>
      <c r="V365" s="188"/>
      <c r="W365" s="188"/>
      <c r="X365" s="188"/>
      <c r="Y365" s="188"/>
      <c r="Z365" s="188"/>
      <c r="AA365" s="188"/>
      <c r="AB365" s="188"/>
      <c r="AC365" s="188"/>
      <c r="AD365" s="188"/>
      <c r="AE365" s="188"/>
      <c r="AF365" s="188"/>
      <c r="AG365" s="188"/>
      <c r="AH365" s="188"/>
      <c r="AI365" s="188"/>
      <c r="AJ365" s="188"/>
      <c r="AK365" s="188"/>
      <c r="AL365" s="188"/>
      <c r="AM365" s="188"/>
      <c r="AN365" s="188"/>
      <c r="AO365" s="188"/>
      <c r="AP365" s="188"/>
      <c r="AQ365" s="188"/>
      <c r="AR365" s="188"/>
      <c r="AS365" s="188"/>
      <c r="AT365" s="202"/>
      <c r="AU365" s="212">
        <f t="shared" ref="AU365:AY374" si="27">INDEX(AU$8:AU$57,MATCH($E365,$E$8:$E$57,0))*AU112</f>
        <v>0</v>
      </c>
      <c r="AV365" s="213">
        <f t="shared" si="27"/>
        <v>0</v>
      </c>
      <c r="AW365" s="213">
        <f t="shared" si="27"/>
        <v>0</v>
      </c>
      <c r="AX365" s="213">
        <f t="shared" si="27"/>
        <v>0</v>
      </c>
      <c r="AY365" s="214">
        <f t="shared" si="27"/>
        <v>0</v>
      </c>
      <c r="BA365" s="34" t="str">
        <f ca="1">$A$1</f>
        <v>VariantAllowances</v>
      </c>
      <c r="BB365" s="34" t="str">
        <f t="shared" ref="BB365:BB483" si="28">$A$363</f>
        <v>Variant allowances detailed calculation</v>
      </c>
      <c r="BC365" s="34" t="str">
        <f t="shared" ref="BC365:BC483" si="29">$B$364</f>
        <v>Variant allowances allocation to totex categories</v>
      </c>
    </row>
    <row r="366" spans="1:55" x14ac:dyDescent="0.35">
      <c r="D366" s="1">
        <f t="shared" si="24"/>
        <v>1</v>
      </c>
      <c r="E366" s="193" t="str">
        <f t="shared" si="25"/>
        <v>PCD_Baseline Network Risk Output</v>
      </c>
      <c r="G366" s="33" t="str">
        <f t="shared" si="26"/>
        <v>£m 23/24 prices</v>
      </c>
      <c r="H366" s="33" t="s">
        <v>169</v>
      </c>
      <c r="AU366" s="166">
        <f t="shared" si="27"/>
        <v>10.805513536867942</v>
      </c>
      <c r="AV366" s="38">
        <f t="shared" si="27"/>
        <v>11.320001394204041</v>
      </c>
      <c r="AW366" s="38">
        <f t="shared" si="27"/>
        <v>11.173162383003135</v>
      </c>
      <c r="AX366" s="38">
        <f t="shared" si="27"/>
        <v>10.076717115840344</v>
      </c>
      <c r="AY366" s="215">
        <f t="shared" si="27"/>
        <v>9.1297050573342506</v>
      </c>
      <c r="BA366" s="34" t="str">
        <f t="shared" ref="BA366:BA484" ca="1" si="30">$A$1</f>
        <v>VariantAllowances</v>
      </c>
      <c r="BB366" s="34" t="str">
        <f t="shared" si="28"/>
        <v>Variant allowances detailed calculation</v>
      </c>
      <c r="BC366" s="34" t="str">
        <f t="shared" si="29"/>
        <v>Variant allowances allocation to totex categories</v>
      </c>
    </row>
    <row r="367" spans="1:55" x14ac:dyDescent="0.35">
      <c r="D367" s="1">
        <f t="shared" si="24"/>
        <v>1</v>
      </c>
      <c r="E367" s="193" t="str">
        <f t="shared" si="25"/>
        <v>PCD_Baseline Network Risk Output</v>
      </c>
      <c r="G367" s="33" t="str">
        <f t="shared" si="26"/>
        <v>£m 23/24 prices</v>
      </c>
      <c r="H367" s="33" t="s">
        <v>170</v>
      </c>
      <c r="AU367" s="166">
        <f t="shared" si="27"/>
        <v>0</v>
      </c>
      <c r="AV367" s="38">
        <f t="shared" si="27"/>
        <v>0</v>
      </c>
      <c r="AW367" s="38">
        <f t="shared" si="27"/>
        <v>0</v>
      </c>
      <c r="AX367" s="38">
        <f t="shared" si="27"/>
        <v>0</v>
      </c>
      <c r="AY367" s="215">
        <f t="shared" si="27"/>
        <v>0</v>
      </c>
      <c r="BA367" s="34" t="str">
        <f t="shared" ca="1" si="30"/>
        <v>VariantAllowances</v>
      </c>
      <c r="BB367" s="34" t="str">
        <f t="shared" si="28"/>
        <v>Variant allowances detailed calculation</v>
      </c>
      <c r="BC367" s="34" t="str">
        <f t="shared" si="29"/>
        <v>Variant allowances allocation to totex categories</v>
      </c>
    </row>
    <row r="368" spans="1:55" x14ac:dyDescent="0.35">
      <c r="D368" s="1">
        <f t="shared" si="24"/>
        <v>1</v>
      </c>
      <c r="E368" s="193" t="str">
        <f t="shared" si="25"/>
        <v>PCD_Baseline Network Risk Output</v>
      </c>
      <c r="G368" s="33" t="str">
        <f t="shared" si="26"/>
        <v>£m 23/24 prices</v>
      </c>
      <c r="H368" s="33" t="s">
        <v>171</v>
      </c>
      <c r="AU368" s="166">
        <f t="shared" si="27"/>
        <v>0</v>
      </c>
      <c r="AV368" s="38">
        <f t="shared" si="27"/>
        <v>0</v>
      </c>
      <c r="AW368" s="38">
        <f t="shared" si="27"/>
        <v>0</v>
      </c>
      <c r="AX368" s="38">
        <f t="shared" si="27"/>
        <v>0</v>
      </c>
      <c r="AY368" s="215">
        <f t="shared" si="27"/>
        <v>0</v>
      </c>
      <c r="BA368" s="34" t="str">
        <f t="shared" ca="1" si="30"/>
        <v>VariantAllowances</v>
      </c>
      <c r="BB368" s="34" t="str">
        <f t="shared" si="28"/>
        <v>Variant allowances detailed calculation</v>
      </c>
      <c r="BC368" s="34" t="str">
        <f t="shared" si="29"/>
        <v>Variant allowances allocation to totex categories</v>
      </c>
    </row>
    <row r="369" spans="4:55" x14ac:dyDescent="0.35">
      <c r="D369" s="1">
        <f t="shared" si="24"/>
        <v>1</v>
      </c>
      <c r="E369" s="195" t="str">
        <f t="shared" si="25"/>
        <v>PCD_Baseline Network Risk Output</v>
      </c>
      <c r="F369" s="207"/>
      <c r="G369" s="196" t="str">
        <f t="shared" si="26"/>
        <v>£m 23/24 prices</v>
      </c>
      <c r="H369" s="196" t="s">
        <v>172</v>
      </c>
      <c r="I369" s="196"/>
      <c r="J369" s="196"/>
      <c r="K369" s="196"/>
      <c r="L369" s="196"/>
      <c r="M369" s="196"/>
      <c r="N369" s="196"/>
      <c r="O369" s="196"/>
      <c r="P369" s="196"/>
      <c r="Q369" s="196"/>
      <c r="R369" s="196"/>
      <c r="S369" s="196"/>
      <c r="T369" s="196"/>
      <c r="U369" s="196"/>
      <c r="V369" s="196"/>
      <c r="W369" s="196"/>
      <c r="X369" s="196"/>
      <c r="Y369" s="196"/>
      <c r="Z369" s="196"/>
      <c r="AA369" s="196"/>
      <c r="AB369" s="196"/>
      <c r="AC369" s="196"/>
      <c r="AD369" s="196"/>
      <c r="AE369" s="196"/>
      <c r="AF369" s="196"/>
      <c r="AG369" s="196"/>
      <c r="AH369" s="196"/>
      <c r="AI369" s="196"/>
      <c r="AJ369" s="196"/>
      <c r="AK369" s="196"/>
      <c r="AL369" s="196"/>
      <c r="AM369" s="196"/>
      <c r="AN369" s="196"/>
      <c r="AO369" s="196"/>
      <c r="AP369" s="196"/>
      <c r="AQ369" s="196"/>
      <c r="AR369" s="196"/>
      <c r="AS369" s="196"/>
      <c r="AT369" s="208"/>
      <c r="AU369" s="216">
        <f t="shared" si="27"/>
        <v>27.494873574293329</v>
      </c>
      <c r="AV369" s="217">
        <f t="shared" si="27"/>
        <v>28.803999563049008</v>
      </c>
      <c r="AW369" s="217">
        <f t="shared" si="27"/>
        <v>28.430364378106802</v>
      </c>
      <c r="AX369" s="217">
        <f t="shared" si="27"/>
        <v>25.640434598377755</v>
      </c>
      <c r="AY369" s="218">
        <f t="shared" si="27"/>
        <v>23.230740997688081</v>
      </c>
      <c r="BA369" s="34" t="str">
        <f t="shared" ca="1" si="30"/>
        <v>VariantAllowances</v>
      </c>
      <c r="BB369" s="34" t="str">
        <f t="shared" si="28"/>
        <v>Variant allowances detailed calculation</v>
      </c>
      <c r="BC369" s="34" t="str">
        <f t="shared" si="29"/>
        <v>Variant allowances allocation to totex categories</v>
      </c>
    </row>
    <row r="370" spans="4:55" x14ac:dyDescent="0.35">
      <c r="D370" s="1">
        <f t="shared" si="24"/>
        <v>1</v>
      </c>
      <c r="E370" s="187" t="str">
        <f t="shared" si="25"/>
        <v>PCD_Cyber PCDs</v>
      </c>
      <c r="F370" s="201"/>
      <c r="G370" s="188" t="str">
        <f t="shared" si="26"/>
        <v>£m 23/24 prices</v>
      </c>
      <c r="H370" s="188" t="s">
        <v>168</v>
      </c>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202"/>
      <c r="AU370" s="212">
        <f t="shared" si="27"/>
        <v>0</v>
      </c>
      <c r="AV370" s="213">
        <f t="shared" si="27"/>
        <v>0</v>
      </c>
      <c r="AW370" s="213">
        <f t="shared" si="27"/>
        <v>0</v>
      </c>
      <c r="AX370" s="213">
        <f t="shared" si="27"/>
        <v>0</v>
      </c>
      <c r="AY370" s="214">
        <f t="shared" si="27"/>
        <v>0</v>
      </c>
      <c r="BA370" s="34" t="str">
        <f t="shared" ca="1" si="30"/>
        <v>VariantAllowances</v>
      </c>
      <c r="BB370" s="34" t="str">
        <f t="shared" si="28"/>
        <v>Variant allowances detailed calculation</v>
      </c>
      <c r="BC370" s="34" t="str">
        <f t="shared" si="29"/>
        <v>Variant allowances allocation to totex categories</v>
      </c>
    </row>
    <row r="371" spans="4:55" x14ac:dyDescent="0.35">
      <c r="D371" s="1">
        <f t="shared" si="24"/>
        <v>1</v>
      </c>
      <c r="E371" s="193" t="str">
        <f t="shared" si="25"/>
        <v>PCD_Cyber PCDs</v>
      </c>
      <c r="G371" s="33" t="str">
        <f t="shared" si="26"/>
        <v>£m 23/24 prices</v>
      </c>
      <c r="H371" s="33" t="s">
        <v>169</v>
      </c>
      <c r="AU371" s="166">
        <f t="shared" si="27"/>
        <v>3.810252545807876</v>
      </c>
      <c r="AV371" s="38">
        <f t="shared" si="27"/>
        <v>2.9862929859863643</v>
      </c>
      <c r="AW371" s="38">
        <f t="shared" si="27"/>
        <v>2.6111641642280494</v>
      </c>
      <c r="AX371" s="38">
        <f t="shared" si="27"/>
        <v>2.1873179007208758</v>
      </c>
      <c r="AY371" s="215">
        <f t="shared" si="27"/>
        <v>2.1883843599394326</v>
      </c>
      <c r="BA371" s="34" t="str">
        <f t="shared" ca="1" si="30"/>
        <v>VariantAllowances</v>
      </c>
      <c r="BB371" s="34" t="str">
        <f t="shared" si="28"/>
        <v>Variant allowances detailed calculation</v>
      </c>
      <c r="BC371" s="34" t="str">
        <f t="shared" si="29"/>
        <v>Variant allowances allocation to totex categories</v>
      </c>
    </row>
    <row r="372" spans="4:55" x14ac:dyDescent="0.35">
      <c r="D372" s="1">
        <f t="shared" si="24"/>
        <v>1</v>
      </c>
      <c r="E372" s="193" t="str">
        <f t="shared" si="25"/>
        <v>PCD_Cyber PCDs</v>
      </c>
      <c r="G372" s="33" t="str">
        <f t="shared" si="26"/>
        <v>£m 23/24 prices</v>
      </c>
      <c r="H372" s="33" t="s">
        <v>170</v>
      </c>
      <c r="AU372" s="166">
        <f t="shared" si="27"/>
        <v>9.7008635857427734</v>
      </c>
      <c r="AV372" s="38">
        <f t="shared" si="27"/>
        <v>7.6030710657190399</v>
      </c>
      <c r="AW372" s="38">
        <f t="shared" si="27"/>
        <v>6.6479969641449541</v>
      </c>
      <c r="AX372" s="38">
        <f t="shared" si="27"/>
        <v>5.5688887595894245</v>
      </c>
      <c r="AY372" s="215">
        <f t="shared" si="27"/>
        <v>5.5716039537332769</v>
      </c>
      <c r="BA372" s="34" t="str">
        <f t="shared" ca="1" si="30"/>
        <v>VariantAllowances</v>
      </c>
      <c r="BB372" s="34" t="str">
        <f t="shared" si="28"/>
        <v>Variant allowances detailed calculation</v>
      </c>
      <c r="BC372" s="34" t="str">
        <f t="shared" si="29"/>
        <v>Variant allowances allocation to totex categories</v>
      </c>
    </row>
    <row r="373" spans="4:55" x14ac:dyDescent="0.35">
      <c r="D373" s="1">
        <f t="shared" si="24"/>
        <v>1</v>
      </c>
      <c r="E373" s="193" t="str">
        <f t="shared" si="25"/>
        <v>PCD_Cyber PCDs</v>
      </c>
      <c r="G373" s="33" t="str">
        <f t="shared" si="26"/>
        <v>£m 23/24 prices</v>
      </c>
      <c r="H373" s="33" t="s">
        <v>171</v>
      </c>
      <c r="AU373" s="166">
        <f t="shared" si="27"/>
        <v>0</v>
      </c>
      <c r="AV373" s="38">
        <f t="shared" si="27"/>
        <v>0</v>
      </c>
      <c r="AW373" s="38">
        <f t="shared" si="27"/>
        <v>0</v>
      </c>
      <c r="AX373" s="38">
        <f t="shared" si="27"/>
        <v>0</v>
      </c>
      <c r="AY373" s="215">
        <f t="shared" si="27"/>
        <v>0</v>
      </c>
      <c r="BA373" s="34" t="str">
        <f t="shared" ca="1" si="30"/>
        <v>VariantAllowances</v>
      </c>
      <c r="BB373" s="34" t="str">
        <f t="shared" si="28"/>
        <v>Variant allowances detailed calculation</v>
      </c>
      <c r="BC373" s="34" t="str">
        <f t="shared" si="29"/>
        <v>Variant allowances allocation to totex categories</v>
      </c>
    </row>
    <row r="374" spans="4:55" x14ac:dyDescent="0.35">
      <c r="D374" s="1">
        <f t="shared" si="24"/>
        <v>1</v>
      </c>
      <c r="E374" s="195" t="str">
        <f t="shared" si="25"/>
        <v>PCD_Cyber PCDs</v>
      </c>
      <c r="F374" s="207"/>
      <c r="G374" s="196" t="str">
        <f t="shared" si="26"/>
        <v>£m 23/24 prices</v>
      </c>
      <c r="H374" s="196" t="s">
        <v>172</v>
      </c>
      <c r="I374" s="196"/>
      <c r="J374" s="196"/>
      <c r="K374" s="196"/>
      <c r="L374" s="196"/>
      <c r="M374" s="196"/>
      <c r="N374" s="196"/>
      <c r="O374" s="196"/>
      <c r="P374" s="196"/>
      <c r="Q374" s="196"/>
      <c r="R374" s="196"/>
      <c r="S374" s="196"/>
      <c r="T374" s="196"/>
      <c r="U374" s="196"/>
      <c r="V374" s="196"/>
      <c r="W374" s="196"/>
      <c r="X374" s="196"/>
      <c r="Y374" s="196"/>
      <c r="Z374" s="196"/>
      <c r="AA374" s="196"/>
      <c r="AB374" s="196"/>
      <c r="AC374" s="196"/>
      <c r="AD374" s="196"/>
      <c r="AE374" s="196"/>
      <c r="AF374" s="196"/>
      <c r="AG374" s="196"/>
      <c r="AH374" s="196"/>
      <c r="AI374" s="196"/>
      <c r="AJ374" s="196"/>
      <c r="AK374" s="196"/>
      <c r="AL374" s="196"/>
      <c r="AM374" s="196"/>
      <c r="AN374" s="196"/>
      <c r="AO374" s="196"/>
      <c r="AP374" s="196"/>
      <c r="AQ374" s="196"/>
      <c r="AR374" s="196"/>
      <c r="AS374" s="196"/>
      <c r="AT374" s="208"/>
      <c r="AU374" s="216">
        <f t="shared" si="27"/>
        <v>0</v>
      </c>
      <c r="AV374" s="217">
        <f t="shared" si="27"/>
        <v>0</v>
      </c>
      <c r="AW374" s="217">
        <f t="shared" si="27"/>
        <v>0</v>
      </c>
      <c r="AX374" s="217">
        <f t="shared" si="27"/>
        <v>0</v>
      </c>
      <c r="AY374" s="218">
        <f t="shared" si="27"/>
        <v>0</v>
      </c>
      <c r="BA374" s="34" t="str">
        <f t="shared" ca="1" si="30"/>
        <v>VariantAllowances</v>
      </c>
      <c r="BB374" s="34" t="str">
        <f t="shared" si="28"/>
        <v>Variant allowances detailed calculation</v>
      </c>
      <c r="BC374" s="34" t="str">
        <f t="shared" si="29"/>
        <v>Variant allowances allocation to totex categories</v>
      </c>
    </row>
    <row r="375" spans="4:55" x14ac:dyDescent="0.35">
      <c r="D375" s="1">
        <f t="shared" si="24"/>
        <v>1</v>
      </c>
      <c r="E375" s="187" t="str">
        <f t="shared" si="25"/>
        <v>PCD_Flow Weighted Average Calorific Value Compliance (Cadent_all) / FWACV Compliance (Cadent_all)</v>
      </c>
      <c r="F375" s="201"/>
      <c r="G375" s="188" t="str">
        <f t="shared" si="26"/>
        <v>£m 23/24 prices</v>
      </c>
      <c r="H375" s="188" t="s">
        <v>168</v>
      </c>
      <c r="I375" s="188"/>
      <c r="J375" s="188"/>
      <c r="K375" s="188"/>
      <c r="L375" s="188"/>
      <c r="M375" s="188"/>
      <c r="N375" s="188"/>
      <c r="O375" s="188"/>
      <c r="P375" s="188"/>
      <c r="Q375" s="188"/>
      <c r="R375" s="188"/>
      <c r="S375" s="188"/>
      <c r="T375" s="188"/>
      <c r="U375" s="188"/>
      <c r="V375" s="188"/>
      <c r="W375" s="188"/>
      <c r="X375" s="188"/>
      <c r="Y375" s="188"/>
      <c r="Z375" s="188"/>
      <c r="AA375" s="188"/>
      <c r="AB375" s="188"/>
      <c r="AC375" s="188"/>
      <c r="AD375" s="188"/>
      <c r="AE375" s="188"/>
      <c r="AF375" s="188"/>
      <c r="AG375" s="188"/>
      <c r="AH375" s="188"/>
      <c r="AI375" s="188"/>
      <c r="AJ375" s="188"/>
      <c r="AK375" s="188"/>
      <c r="AL375" s="188"/>
      <c r="AM375" s="188"/>
      <c r="AN375" s="188"/>
      <c r="AO375" s="188"/>
      <c r="AP375" s="188"/>
      <c r="AQ375" s="188"/>
      <c r="AR375" s="188"/>
      <c r="AS375" s="188"/>
      <c r="AT375" s="202"/>
      <c r="AU375" s="212">
        <f t="shared" ref="AU375:AY384" si="31">INDEX(AU$8:AU$57,MATCH($E375,$E$8:$E$57,0))*AU122</f>
        <v>0</v>
      </c>
      <c r="AV375" s="213">
        <f t="shared" si="31"/>
        <v>0</v>
      </c>
      <c r="AW375" s="213">
        <f t="shared" si="31"/>
        <v>0</v>
      </c>
      <c r="AX375" s="213">
        <f t="shared" si="31"/>
        <v>0</v>
      </c>
      <c r="AY375" s="214">
        <f t="shared" si="31"/>
        <v>0</v>
      </c>
      <c r="BA375" s="34" t="str">
        <f t="shared" ca="1" si="30"/>
        <v>VariantAllowances</v>
      </c>
      <c r="BB375" s="34" t="str">
        <f t="shared" si="28"/>
        <v>Variant allowances detailed calculation</v>
      </c>
      <c r="BC375" s="34" t="str">
        <f t="shared" si="29"/>
        <v>Variant allowances allocation to totex categories</v>
      </c>
    </row>
    <row r="376" spans="4:55" x14ac:dyDescent="0.35">
      <c r="D376" s="1">
        <f t="shared" si="24"/>
        <v>1</v>
      </c>
      <c r="E376" s="193" t="str">
        <f t="shared" si="25"/>
        <v>PCD_Flow Weighted Average Calorific Value Compliance (Cadent_all) / FWACV Compliance (Cadent_all)</v>
      </c>
      <c r="G376" s="33" t="str">
        <f t="shared" si="26"/>
        <v>£m 23/24 prices</v>
      </c>
      <c r="H376" s="33" t="s">
        <v>169</v>
      </c>
      <c r="AU376" s="166">
        <f t="shared" si="31"/>
        <v>0</v>
      </c>
      <c r="AV376" s="38">
        <f t="shared" si="31"/>
        <v>0</v>
      </c>
      <c r="AW376" s="38">
        <f t="shared" si="31"/>
        <v>0</v>
      </c>
      <c r="AX376" s="38">
        <f t="shared" si="31"/>
        <v>0</v>
      </c>
      <c r="AY376" s="215">
        <f t="shared" si="31"/>
        <v>0</v>
      </c>
      <c r="BA376" s="34" t="str">
        <f t="shared" ca="1" si="30"/>
        <v>VariantAllowances</v>
      </c>
      <c r="BB376" s="34" t="str">
        <f t="shared" si="28"/>
        <v>Variant allowances detailed calculation</v>
      </c>
      <c r="BC376" s="34" t="str">
        <f t="shared" si="29"/>
        <v>Variant allowances allocation to totex categories</v>
      </c>
    </row>
    <row r="377" spans="4:55" x14ac:dyDescent="0.35">
      <c r="D377" s="1">
        <f t="shared" si="24"/>
        <v>1</v>
      </c>
      <c r="E377" s="193" t="str">
        <f t="shared" si="25"/>
        <v>PCD_Flow Weighted Average Calorific Value Compliance (Cadent_all) / FWACV Compliance (Cadent_all)</v>
      </c>
      <c r="G377" s="33" t="str">
        <f t="shared" si="26"/>
        <v>£m 23/24 prices</v>
      </c>
      <c r="H377" s="33" t="s">
        <v>170</v>
      </c>
      <c r="AU377" s="166">
        <f t="shared" si="31"/>
        <v>0</v>
      </c>
      <c r="AV377" s="38">
        <f t="shared" si="31"/>
        <v>0</v>
      </c>
      <c r="AW377" s="38">
        <f t="shared" si="31"/>
        <v>0</v>
      </c>
      <c r="AX377" s="38">
        <f t="shared" si="31"/>
        <v>0</v>
      </c>
      <c r="AY377" s="215">
        <f t="shared" si="31"/>
        <v>0</v>
      </c>
      <c r="BA377" s="34" t="str">
        <f t="shared" ca="1" si="30"/>
        <v>VariantAllowances</v>
      </c>
      <c r="BB377" s="34" t="str">
        <f t="shared" si="28"/>
        <v>Variant allowances detailed calculation</v>
      </c>
      <c r="BC377" s="34" t="str">
        <f t="shared" si="29"/>
        <v>Variant allowances allocation to totex categories</v>
      </c>
    </row>
    <row r="378" spans="4:55" x14ac:dyDescent="0.35">
      <c r="D378" s="1">
        <f t="shared" si="24"/>
        <v>1</v>
      </c>
      <c r="E378" s="193" t="str">
        <f t="shared" si="25"/>
        <v>PCD_Flow Weighted Average Calorific Value Compliance (Cadent_all) / FWACV Compliance (Cadent_all)</v>
      </c>
      <c r="G378" s="33" t="str">
        <f t="shared" si="26"/>
        <v>£m 23/24 prices</v>
      </c>
      <c r="H378" s="33" t="s">
        <v>171</v>
      </c>
      <c r="AU378" s="166">
        <f t="shared" si="31"/>
        <v>0</v>
      </c>
      <c r="AV378" s="38">
        <f t="shared" si="31"/>
        <v>0</v>
      </c>
      <c r="AW378" s="38">
        <f t="shared" si="31"/>
        <v>0</v>
      </c>
      <c r="AX378" s="38">
        <f t="shared" si="31"/>
        <v>0</v>
      </c>
      <c r="AY378" s="215">
        <f t="shared" si="31"/>
        <v>0</v>
      </c>
      <c r="BA378" s="34" t="str">
        <f t="shared" ca="1" si="30"/>
        <v>VariantAllowances</v>
      </c>
      <c r="BB378" s="34" t="str">
        <f t="shared" si="28"/>
        <v>Variant allowances detailed calculation</v>
      </c>
      <c r="BC378" s="34" t="str">
        <f t="shared" si="29"/>
        <v>Variant allowances allocation to totex categories</v>
      </c>
    </row>
    <row r="379" spans="4:55" x14ac:dyDescent="0.35">
      <c r="D379" s="1">
        <f t="shared" si="24"/>
        <v>1</v>
      </c>
      <c r="E379" s="195" t="str">
        <f t="shared" si="25"/>
        <v>PCD_Flow Weighted Average Calorific Value Compliance (Cadent_all) / FWACV Compliance (Cadent_all)</v>
      </c>
      <c r="F379" s="207"/>
      <c r="G379" s="196" t="str">
        <f t="shared" si="26"/>
        <v>£m 23/24 prices</v>
      </c>
      <c r="H379" s="196" t="s">
        <v>172</v>
      </c>
      <c r="I379" s="196"/>
      <c r="J379" s="196"/>
      <c r="K379" s="196"/>
      <c r="L379" s="196"/>
      <c r="M379" s="196"/>
      <c r="N379" s="196"/>
      <c r="O379" s="196"/>
      <c r="P379" s="196"/>
      <c r="Q379" s="196"/>
      <c r="R379" s="196"/>
      <c r="S379" s="196"/>
      <c r="T379" s="196"/>
      <c r="U379" s="196"/>
      <c r="V379" s="196"/>
      <c r="W379" s="196"/>
      <c r="X379" s="196"/>
      <c r="Y379" s="196"/>
      <c r="Z379" s="196"/>
      <c r="AA379" s="196"/>
      <c r="AB379" s="196"/>
      <c r="AC379" s="196"/>
      <c r="AD379" s="196"/>
      <c r="AE379" s="196"/>
      <c r="AF379" s="196"/>
      <c r="AG379" s="196"/>
      <c r="AH379" s="196"/>
      <c r="AI379" s="196"/>
      <c r="AJ379" s="196"/>
      <c r="AK379" s="196"/>
      <c r="AL379" s="196"/>
      <c r="AM379" s="196"/>
      <c r="AN379" s="196"/>
      <c r="AO379" s="196"/>
      <c r="AP379" s="196"/>
      <c r="AQ379" s="196"/>
      <c r="AR379" s="196"/>
      <c r="AS379" s="196"/>
      <c r="AT379" s="208"/>
      <c r="AU379" s="216">
        <f t="shared" si="31"/>
        <v>0</v>
      </c>
      <c r="AV379" s="217">
        <f t="shared" si="31"/>
        <v>0</v>
      </c>
      <c r="AW379" s="217">
        <f t="shared" si="31"/>
        <v>0</v>
      </c>
      <c r="AX379" s="217">
        <f t="shared" si="31"/>
        <v>0</v>
      </c>
      <c r="AY379" s="218">
        <f t="shared" si="31"/>
        <v>0</v>
      </c>
      <c r="BA379" s="34" t="str">
        <f t="shared" ca="1" si="30"/>
        <v>VariantAllowances</v>
      </c>
      <c r="BB379" s="34" t="str">
        <f t="shared" si="28"/>
        <v>Variant allowances detailed calculation</v>
      </c>
      <c r="BC379" s="34" t="str">
        <f t="shared" si="29"/>
        <v>Variant allowances allocation to totex categories</v>
      </c>
    </row>
    <row r="380" spans="4:55" x14ac:dyDescent="0.35">
      <c r="D380" s="1">
        <f t="shared" si="24"/>
        <v>1</v>
      </c>
      <c r="E380" s="187" t="str">
        <f t="shared" si="25"/>
        <v>PCD_Grays medium pressure (Cadent_Lon)</v>
      </c>
      <c r="F380" s="201"/>
      <c r="G380" s="188" t="str">
        <f t="shared" si="26"/>
        <v>£m 23/24 prices</v>
      </c>
      <c r="H380" s="188" t="s">
        <v>168</v>
      </c>
      <c r="I380" s="188"/>
      <c r="J380" s="188"/>
      <c r="K380" s="188"/>
      <c r="L380" s="188"/>
      <c r="M380" s="188"/>
      <c r="N380" s="188"/>
      <c r="O380" s="188"/>
      <c r="P380" s="188"/>
      <c r="Q380" s="188"/>
      <c r="R380" s="188"/>
      <c r="S380" s="188"/>
      <c r="T380" s="188"/>
      <c r="U380" s="188"/>
      <c r="V380" s="188"/>
      <c r="W380" s="188"/>
      <c r="X380" s="188"/>
      <c r="Y380" s="188"/>
      <c r="Z380" s="188"/>
      <c r="AA380" s="188"/>
      <c r="AB380" s="188"/>
      <c r="AC380" s="188"/>
      <c r="AD380" s="188"/>
      <c r="AE380" s="188"/>
      <c r="AF380" s="188"/>
      <c r="AG380" s="188"/>
      <c r="AH380" s="188"/>
      <c r="AI380" s="188"/>
      <c r="AJ380" s="188"/>
      <c r="AK380" s="188"/>
      <c r="AL380" s="188"/>
      <c r="AM380" s="188"/>
      <c r="AN380" s="188"/>
      <c r="AO380" s="188"/>
      <c r="AP380" s="188"/>
      <c r="AQ380" s="188"/>
      <c r="AR380" s="188"/>
      <c r="AS380" s="188"/>
      <c r="AT380" s="202"/>
      <c r="AU380" s="212">
        <f t="shared" si="31"/>
        <v>0</v>
      </c>
      <c r="AV380" s="213">
        <f t="shared" si="31"/>
        <v>0</v>
      </c>
      <c r="AW380" s="213">
        <f t="shared" si="31"/>
        <v>0</v>
      </c>
      <c r="AX380" s="213">
        <f t="shared" si="31"/>
        <v>0</v>
      </c>
      <c r="AY380" s="214">
        <f t="shared" si="31"/>
        <v>0</v>
      </c>
      <c r="BA380" s="34" t="str">
        <f t="shared" ca="1" si="30"/>
        <v>VariantAllowances</v>
      </c>
      <c r="BB380" s="34" t="str">
        <f t="shared" si="28"/>
        <v>Variant allowances detailed calculation</v>
      </c>
      <c r="BC380" s="34" t="str">
        <f t="shared" si="29"/>
        <v>Variant allowances allocation to totex categories</v>
      </c>
    </row>
    <row r="381" spans="4:55" x14ac:dyDescent="0.35">
      <c r="D381" s="1">
        <f t="shared" si="24"/>
        <v>1</v>
      </c>
      <c r="E381" s="193" t="str">
        <f t="shared" si="25"/>
        <v>PCD_Grays medium pressure (Cadent_Lon)</v>
      </c>
      <c r="G381" s="33" t="str">
        <f t="shared" si="26"/>
        <v>£m 23/24 prices</v>
      </c>
      <c r="H381" s="33" t="s">
        <v>169</v>
      </c>
      <c r="AU381" s="166">
        <f t="shared" si="31"/>
        <v>0</v>
      </c>
      <c r="AV381" s="38">
        <f t="shared" si="31"/>
        <v>0</v>
      </c>
      <c r="AW381" s="38">
        <f t="shared" si="31"/>
        <v>0</v>
      </c>
      <c r="AX381" s="38">
        <f t="shared" si="31"/>
        <v>0</v>
      </c>
      <c r="AY381" s="215">
        <f t="shared" si="31"/>
        <v>0</v>
      </c>
      <c r="BA381" s="34" t="str">
        <f t="shared" ca="1" si="30"/>
        <v>VariantAllowances</v>
      </c>
      <c r="BB381" s="34" t="str">
        <f t="shared" si="28"/>
        <v>Variant allowances detailed calculation</v>
      </c>
      <c r="BC381" s="34" t="str">
        <f t="shared" si="29"/>
        <v>Variant allowances allocation to totex categories</v>
      </c>
    </row>
    <row r="382" spans="4:55" x14ac:dyDescent="0.35">
      <c r="D382" s="1">
        <f t="shared" si="24"/>
        <v>1</v>
      </c>
      <c r="E382" s="193" t="str">
        <f t="shared" si="25"/>
        <v>PCD_Grays medium pressure (Cadent_Lon)</v>
      </c>
      <c r="G382" s="33" t="str">
        <f t="shared" si="26"/>
        <v>£m 23/24 prices</v>
      </c>
      <c r="H382" s="33" t="s">
        <v>170</v>
      </c>
      <c r="AU382" s="166">
        <f t="shared" si="31"/>
        <v>0</v>
      </c>
      <c r="AV382" s="38">
        <f t="shared" si="31"/>
        <v>0</v>
      </c>
      <c r="AW382" s="38">
        <f t="shared" si="31"/>
        <v>0</v>
      </c>
      <c r="AX382" s="38">
        <f t="shared" si="31"/>
        <v>0</v>
      </c>
      <c r="AY382" s="215">
        <f t="shared" si="31"/>
        <v>0</v>
      </c>
      <c r="BA382" s="34" t="str">
        <f t="shared" ca="1" si="30"/>
        <v>VariantAllowances</v>
      </c>
      <c r="BB382" s="34" t="str">
        <f t="shared" si="28"/>
        <v>Variant allowances detailed calculation</v>
      </c>
      <c r="BC382" s="34" t="str">
        <f t="shared" si="29"/>
        <v>Variant allowances allocation to totex categories</v>
      </c>
    </row>
    <row r="383" spans="4:55" x14ac:dyDescent="0.35">
      <c r="D383" s="1">
        <f t="shared" si="24"/>
        <v>1</v>
      </c>
      <c r="E383" s="193" t="str">
        <f t="shared" si="25"/>
        <v>PCD_Grays medium pressure (Cadent_Lon)</v>
      </c>
      <c r="G383" s="33" t="str">
        <f t="shared" si="26"/>
        <v>£m 23/24 prices</v>
      </c>
      <c r="H383" s="33" t="s">
        <v>171</v>
      </c>
      <c r="AU383" s="166">
        <f t="shared" si="31"/>
        <v>0</v>
      </c>
      <c r="AV383" s="38">
        <f t="shared" si="31"/>
        <v>0</v>
      </c>
      <c r="AW383" s="38">
        <f t="shared" si="31"/>
        <v>0</v>
      </c>
      <c r="AX383" s="38">
        <f t="shared" si="31"/>
        <v>0</v>
      </c>
      <c r="AY383" s="215">
        <f t="shared" si="31"/>
        <v>0</v>
      </c>
      <c r="BA383" s="34" t="str">
        <f t="shared" ca="1" si="30"/>
        <v>VariantAllowances</v>
      </c>
      <c r="BB383" s="34" t="str">
        <f t="shared" si="28"/>
        <v>Variant allowances detailed calculation</v>
      </c>
      <c r="BC383" s="34" t="str">
        <f t="shared" si="29"/>
        <v>Variant allowances allocation to totex categories</v>
      </c>
    </row>
    <row r="384" spans="4:55" x14ac:dyDescent="0.35">
      <c r="D384" s="1">
        <f t="shared" si="24"/>
        <v>1</v>
      </c>
      <c r="E384" s="195" t="str">
        <f t="shared" si="25"/>
        <v>PCD_Grays medium pressure (Cadent_Lon)</v>
      </c>
      <c r="F384" s="207"/>
      <c r="G384" s="196" t="str">
        <f t="shared" si="26"/>
        <v>£m 23/24 prices</v>
      </c>
      <c r="H384" s="196" t="s">
        <v>172</v>
      </c>
      <c r="I384" s="196"/>
      <c r="J384" s="196"/>
      <c r="K384" s="196"/>
      <c r="L384" s="196"/>
      <c r="M384" s="196"/>
      <c r="N384" s="196"/>
      <c r="O384" s="196"/>
      <c r="P384" s="196"/>
      <c r="Q384" s="196"/>
      <c r="R384" s="196"/>
      <c r="S384" s="196"/>
      <c r="T384" s="196"/>
      <c r="U384" s="196"/>
      <c r="V384" s="196"/>
      <c r="W384" s="196"/>
      <c r="X384" s="196"/>
      <c r="Y384" s="196"/>
      <c r="Z384" s="196"/>
      <c r="AA384" s="196"/>
      <c r="AB384" s="196"/>
      <c r="AC384" s="196"/>
      <c r="AD384" s="196"/>
      <c r="AE384" s="196"/>
      <c r="AF384" s="196"/>
      <c r="AG384" s="196"/>
      <c r="AH384" s="196"/>
      <c r="AI384" s="196"/>
      <c r="AJ384" s="196"/>
      <c r="AK384" s="196"/>
      <c r="AL384" s="196"/>
      <c r="AM384" s="196"/>
      <c r="AN384" s="196"/>
      <c r="AO384" s="196"/>
      <c r="AP384" s="196"/>
      <c r="AQ384" s="196"/>
      <c r="AR384" s="196"/>
      <c r="AS384" s="196"/>
      <c r="AT384" s="208"/>
      <c r="AU384" s="216">
        <f t="shared" si="31"/>
        <v>0</v>
      </c>
      <c r="AV384" s="217">
        <f t="shared" si="31"/>
        <v>0</v>
      </c>
      <c r="AW384" s="217">
        <f t="shared" si="31"/>
        <v>0</v>
      </c>
      <c r="AX384" s="217">
        <f t="shared" si="31"/>
        <v>0</v>
      </c>
      <c r="AY384" s="218">
        <f t="shared" si="31"/>
        <v>0</v>
      </c>
      <c r="BA384" s="34" t="str">
        <f t="shared" ca="1" si="30"/>
        <v>VariantAllowances</v>
      </c>
      <c r="BB384" s="34" t="str">
        <f t="shared" si="28"/>
        <v>Variant allowances detailed calculation</v>
      </c>
      <c r="BC384" s="34" t="str">
        <f t="shared" si="29"/>
        <v>Variant allowances allocation to totex categories</v>
      </c>
    </row>
    <row r="385" spans="4:55" x14ac:dyDescent="0.35">
      <c r="D385" s="1">
        <f t="shared" si="24"/>
        <v>1</v>
      </c>
      <c r="E385" s="187" t="str">
        <f t="shared" si="25"/>
        <v>PCD_Welling PRS - Full Site Rebuild  (SGN_So) / Full site and system rebuilds PCD (SGN)</v>
      </c>
      <c r="F385" s="201"/>
      <c r="G385" s="188" t="str">
        <f t="shared" si="26"/>
        <v>£m 23/24 prices</v>
      </c>
      <c r="H385" s="188" t="s">
        <v>168</v>
      </c>
      <c r="I385" s="188"/>
      <c r="J385" s="188"/>
      <c r="K385" s="188"/>
      <c r="L385" s="188"/>
      <c r="M385" s="188"/>
      <c r="N385" s="188"/>
      <c r="O385" s="188"/>
      <c r="P385" s="188"/>
      <c r="Q385" s="188"/>
      <c r="R385" s="188"/>
      <c r="S385" s="188"/>
      <c r="T385" s="188"/>
      <c r="U385" s="188"/>
      <c r="V385" s="188"/>
      <c r="W385" s="188"/>
      <c r="X385" s="188"/>
      <c r="Y385" s="188"/>
      <c r="Z385" s="188"/>
      <c r="AA385" s="188"/>
      <c r="AB385" s="188"/>
      <c r="AC385" s="188"/>
      <c r="AD385" s="188"/>
      <c r="AE385" s="188"/>
      <c r="AF385" s="188"/>
      <c r="AG385" s="188"/>
      <c r="AH385" s="188"/>
      <c r="AI385" s="188"/>
      <c r="AJ385" s="188"/>
      <c r="AK385" s="188"/>
      <c r="AL385" s="188"/>
      <c r="AM385" s="188"/>
      <c r="AN385" s="188"/>
      <c r="AO385" s="188"/>
      <c r="AP385" s="188"/>
      <c r="AQ385" s="188"/>
      <c r="AR385" s="188"/>
      <c r="AS385" s="188"/>
      <c r="AT385" s="202"/>
      <c r="AU385" s="212">
        <f t="shared" ref="AU385:AY394" si="32">INDEX(AU$8:AU$57,MATCH($E385,$E$8:$E$57,0))*AU132</f>
        <v>0</v>
      </c>
      <c r="AV385" s="213">
        <f t="shared" si="32"/>
        <v>0</v>
      </c>
      <c r="AW385" s="213">
        <f t="shared" si="32"/>
        <v>0</v>
      </c>
      <c r="AX385" s="213">
        <f t="shared" si="32"/>
        <v>0</v>
      </c>
      <c r="AY385" s="214">
        <f t="shared" si="32"/>
        <v>0</v>
      </c>
      <c r="BA385" s="34" t="str">
        <f t="shared" ca="1" si="30"/>
        <v>VariantAllowances</v>
      </c>
      <c r="BB385" s="34" t="str">
        <f t="shared" si="28"/>
        <v>Variant allowances detailed calculation</v>
      </c>
      <c r="BC385" s="34" t="str">
        <f t="shared" si="29"/>
        <v>Variant allowances allocation to totex categories</v>
      </c>
    </row>
    <row r="386" spans="4:55" x14ac:dyDescent="0.35">
      <c r="D386" s="1">
        <f t="shared" si="24"/>
        <v>1</v>
      </c>
      <c r="E386" s="193" t="str">
        <f t="shared" si="25"/>
        <v>PCD_Welling PRS - Full Site Rebuild  (SGN_So) / Full site and system rebuilds PCD (SGN)</v>
      </c>
      <c r="G386" s="33" t="str">
        <f t="shared" si="26"/>
        <v>£m 23/24 prices</v>
      </c>
      <c r="H386" s="33" t="s">
        <v>169</v>
      </c>
      <c r="AU386" s="166">
        <f t="shared" si="32"/>
        <v>0</v>
      </c>
      <c r="AV386" s="38">
        <f t="shared" si="32"/>
        <v>0</v>
      </c>
      <c r="AW386" s="38">
        <f t="shared" si="32"/>
        <v>0</v>
      </c>
      <c r="AX386" s="38">
        <f t="shared" si="32"/>
        <v>0</v>
      </c>
      <c r="AY386" s="215">
        <f t="shared" si="32"/>
        <v>0</v>
      </c>
      <c r="BA386" s="34" t="str">
        <f t="shared" ca="1" si="30"/>
        <v>VariantAllowances</v>
      </c>
      <c r="BB386" s="34" t="str">
        <f t="shared" si="28"/>
        <v>Variant allowances detailed calculation</v>
      </c>
      <c r="BC386" s="34" t="str">
        <f t="shared" si="29"/>
        <v>Variant allowances allocation to totex categories</v>
      </c>
    </row>
    <row r="387" spans="4:55" x14ac:dyDescent="0.35">
      <c r="D387" s="1">
        <f t="shared" si="24"/>
        <v>1</v>
      </c>
      <c r="E387" s="193" t="str">
        <f t="shared" si="25"/>
        <v>PCD_Welling PRS - Full Site Rebuild  (SGN_So) / Full site and system rebuilds PCD (SGN)</v>
      </c>
      <c r="G387" s="33" t="str">
        <f t="shared" si="26"/>
        <v>£m 23/24 prices</v>
      </c>
      <c r="H387" s="33" t="s">
        <v>170</v>
      </c>
      <c r="AU387" s="166">
        <f t="shared" si="32"/>
        <v>0</v>
      </c>
      <c r="AV387" s="38">
        <f t="shared" si="32"/>
        <v>0</v>
      </c>
      <c r="AW387" s="38">
        <f t="shared" si="32"/>
        <v>0</v>
      </c>
      <c r="AX387" s="38">
        <f t="shared" si="32"/>
        <v>0</v>
      </c>
      <c r="AY387" s="215">
        <f t="shared" si="32"/>
        <v>0</v>
      </c>
      <c r="BA387" s="34" t="str">
        <f t="shared" ca="1" si="30"/>
        <v>VariantAllowances</v>
      </c>
      <c r="BB387" s="34" t="str">
        <f t="shared" si="28"/>
        <v>Variant allowances detailed calculation</v>
      </c>
      <c r="BC387" s="34" t="str">
        <f t="shared" si="29"/>
        <v>Variant allowances allocation to totex categories</v>
      </c>
    </row>
    <row r="388" spans="4:55" x14ac:dyDescent="0.35">
      <c r="D388" s="1">
        <f t="shared" si="24"/>
        <v>1</v>
      </c>
      <c r="E388" s="193" t="str">
        <f t="shared" si="25"/>
        <v>PCD_Welling PRS - Full Site Rebuild  (SGN_So) / Full site and system rebuilds PCD (SGN)</v>
      </c>
      <c r="G388" s="33" t="str">
        <f t="shared" si="26"/>
        <v>£m 23/24 prices</v>
      </c>
      <c r="H388" s="33" t="s">
        <v>171</v>
      </c>
      <c r="AU388" s="166">
        <f t="shared" si="32"/>
        <v>0</v>
      </c>
      <c r="AV388" s="38">
        <f t="shared" si="32"/>
        <v>0</v>
      </c>
      <c r="AW388" s="38">
        <f t="shared" si="32"/>
        <v>0</v>
      </c>
      <c r="AX388" s="38">
        <f t="shared" si="32"/>
        <v>0</v>
      </c>
      <c r="AY388" s="215">
        <f t="shared" si="32"/>
        <v>0</v>
      </c>
      <c r="BA388" s="34" t="str">
        <f t="shared" ca="1" si="30"/>
        <v>VariantAllowances</v>
      </c>
      <c r="BB388" s="34" t="str">
        <f t="shared" si="28"/>
        <v>Variant allowances detailed calculation</v>
      </c>
      <c r="BC388" s="34" t="str">
        <f t="shared" si="29"/>
        <v>Variant allowances allocation to totex categories</v>
      </c>
    </row>
    <row r="389" spans="4:55" x14ac:dyDescent="0.35">
      <c r="D389" s="1">
        <f t="shared" si="24"/>
        <v>1</v>
      </c>
      <c r="E389" s="195" t="str">
        <f t="shared" si="25"/>
        <v>PCD_Welling PRS - Full Site Rebuild  (SGN_So) / Full site and system rebuilds PCD (SGN)</v>
      </c>
      <c r="F389" s="207"/>
      <c r="G389" s="196" t="str">
        <f t="shared" si="26"/>
        <v>£m 23/24 prices</v>
      </c>
      <c r="H389" s="196" t="s">
        <v>172</v>
      </c>
      <c r="I389" s="196"/>
      <c r="J389" s="196"/>
      <c r="K389" s="196"/>
      <c r="L389" s="196"/>
      <c r="M389" s="196"/>
      <c r="N389" s="196"/>
      <c r="O389" s="196"/>
      <c r="P389" s="196"/>
      <c r="Q389" s="196"/>
      <c r="R389" s="196"/>
      <c r="S389" s="196"/>
      <c r="T389" s="196"/>
      <c r="U389" s="196"/>
      <c r="V389" s="196"/>
      <c r="W389" s="196"/>
      <c r="X389" s="196"/>
      <c r="Y389" s="196"/>
      <c r="Z389" s="196"/>
      <c r="AA389" s="196"/>
      <c r="AB389" s="196"/>
      <c r="AC389" s="196"/>
      <c r="AD389" s="196"/>
      <c r="AE389" s="196"/>
      <c r="AF389" s="196"/>
      <c r="AG389" s="196"/>
      <c r="AH389" s="196"/>
      <c r="AI389" s="196"/>
      <c r="AJ389" s="196"/>
      <c r="AK389" s="196"/>
      <c r="AL389" s="196"/>
      <c r="AM389" s="196"/>
      <c r="AN389" s="196"/>
      <c r="AO389" s="196"/>
      <c r="AP389" s="196"/>
      <c r="AQ389" s="196"/>
      <c r="AR389" s="196"/>
      <c r="AS389" s="196"/>
      <c r="AT389" s="208"/>
      <c r="AU389" s="216">
        <f t="shared" si="32"/>
        <v>0</v>
      </c>
      <c r="AV389" s="217">
        <f t="shared" si="32"/>
        <v>0</v>
      </c>
      <c r="AW389" s="217">
        <f t="shared" si="32"/>
        <v>0</v>
      </c>
      <c r="AX389" s="217">
        <f t="shared" si="32"/>
        <v>0</v>
      </c>
      <c r="AY389" s="218">
        <f t="shared" si="32"/>
        <v>0</v>
      </c>
      <c r="BA389" s="34" t="str">
        <f t="shared" ca="1" si="30"/>
        <v>VariantAllowances</v>
      </c>
      <c r="BB389" s="34" t="str">
        <f t="shared" si="28"/>
        <v>Variant allowances detailed calculation</v>
      </c>
      <c r="BC389" s="34" t="str">
        <f t="shared" si="29"/>
        <v>Variant allowances allocation to totex categories</v>
      </c>
    </row>
    <row r="390" spans="4:55" x14ac:dyDescent="0.35">
      <c r="D390" s="1">
        <f t="shared" si="24"/>
        <v>1</v>
      </c>
      <c r="E390" s="187" t="str">
        <f t="shared" si="25"/>
        <v>PCD_London Medium Pressure PCD (Cadent_Lon)</v>
      </c>
      <c r="F390" s="201"/>
      <c r="G390" s="188" t="str">
        <f t="shared" si="26"/>
        <v>£m 23/24 prices</v>
      </c>
      <c r="H390" s="188" t="s">
        <v>168</v>
      </c>
      <c r="I390" s="188"/>
      <c r="J390" s="188"/>
      <c r="K390" s="188"/>
      <c r="L390" s="188"/>
      <c r="M390" s="188"/>
      <c r="N390" s="188"/>
      <c r="O390" s="188"/>
      <c r="P390" s="188"/>
      <c r="Q390" s="188"/>
      <c r="R390" s="188"/>
      <c r="S390" s="188"/>
      <c r="T390" s="188"/>
      <c r="U390" s="188"/>
      <c r="V390" s="188"/>
      <c r="W390" s="188"/>
      <c r="X390" s="188"/>
      <c r="Y390" s="188"/>
      <c r="Z390" s="188"/>
      <c r="AA390" s="188"/>
      <c r="AB390" s="188"/>
      <c r="AC390" s="188"/>
      <c r="AD390" s="188"/>
      <c r="AE390" s="188"/>
      <c r="AF390" s="188"/>
      <c r="AG390" s="188"/>
      <c r="AH390" s="188"/>
      <c r="AI390" s="188"/>
      <c r="AJ390" s="188"/>
      <c r="AK390" s="188"/>
      <c r="AL390" s="188"/>
      <c r="AM390" s="188"/>
      <c r="AN390" s="188"/>
      <c r="AO390" s="188"/>
      <c r="AP390" s="188"/>
      <c r="AQ390" s="188"/>
      <c r="AR390" s="188"/>
      <c r="AS390" s="188"/>
      <c r="AT390" s="202"/>
      <c r="AU390" s="212">
        <f t="shared" si="32"/>
        <v>0</v>
      </c>
      <c r="AV390" s="213">
        <f t="shared" si="32"/>
        <v>0</v>
      </c>
      <c r="AW390" s="213">
        <f t="shared" si="32"/>
        <v>0</v>
      </c>
      <c r="AX390" s="213">
        <f t="shared" si="32"/>
        <v>0</v>
      </c>
      <c r="AY390" s="214">
        <f t="shared" si="32"/>
        <v>0</v>
      </c>
      <c r="BA390" s="34" t="str">
        <f t="shared" ca="1" si="30"/>
        <v>VariantAllowances</v>
      </c>
      <c r="BB390" s="34" t="str">
        <f t="shared" si="28"/>
        <v>Variant allowances detailed calculation</v>
      </c>
      <c r="BC390" s="34" t="str">
        <f t="shared" si="29"/>
        <v>Variant allowances allocation to totex categories</v>
      </c>
    </row>
    <row r="391" spans="4:55" x14ac:dyDescent="0.35">
      <c r="D391" s="1">
        <f t="shared" si="24"/>
        <v>1</v>
      </c>
      <c r="E391" s="193" t="str">
        <f t="shared" si="25"/>
        <v>PCD_London Medium Pressure PCD (Cadent_Lon)</v>
      </c>
      <c r="G391" s="33" t="str">
        <f t="shared" si="26"/>
        <v>£m 23/24 prices</v>
      </c>
      <c r="H391" s="33" t="s">
        <v>169</v>
      </c>
      <c r="AU391" s="166">
        <f t="shared" si="32"/>
        <v>0</v>
      </c>
      <c r="AV391" s="38">
        <f t="shared" si="32"/>
        <v>0</v>
      </c>
      <c r="AW391" s="38">
        <f t="shared" si="32"/>
        <v>0</v>
      </c>
      <c r="AX391" s="38">
        <f t="shared" si="32"/>
        <v>0</v>
      </c>
      <c r="AY391" s="215">
        <f t="shared" si="32"/>
        <v>0</v>
      </c>
      <c r="BA391" s="34" t="str">
        <f t="shared" ca="1" si="30"/>
        <v>VariantAllowances</v>
      </c>
      <c r="BB391" s="34" t="str">
        <f t="shared" si="28"/>
        <v>Variant allowances detailed calculation</v>
      </c>
      <c r="BC391" s="34" t="str">
        <f t="shared" si="29"/>
        <v>Variant allowances allocation to totex categories</v>
      </c>
    </row>
    <row r="392" spans="4:55" x14ac:dyDescent="0.35">
      <c r="D392" s="1">
        <f t="shared" si="24"/>
        <v>1</v>
      </c>
      <c r="E392" s="193" t="str">
        <f t="shared" si="25"/>
        <v>PCD_London Medium Pressure PCD (Cadent_Lon)</v>
      </c>
      <c r="G392" s="33" t="str">
        <f t="shared" si="26"/>
        <v>£m 23/24 prices</v>
      </c>
      <c r="H392" s="33" t="s">
        <v>170</v>
      </c>
      <c r="AU392" s="166">
        <f t="shared" si="32"/>
        <v>0</v>
      </c>
      <c r="AV392" s="38">
        <f t="shared" si="32"/>
        <v>0</v>
      </c>
      <c r="AW392" s="38">
        <f t="shared" si="32"/>
        <v>0</v>
      </c>
      <c r="AX392" s="38">
        <f t="shared" si="32"/>
        <v>0</v>
      </c>
      <c r="AY392" s="215">
        <f t="shared" si="32"/>
        <v>0</v>
      </c>
      <c r="BA392" s="34" t="str">
        <f t="shared" ca="1" si="30"/>
        <v>VariantAllowances</v>
      </c>
      <c r="BB392" s="34" t="str">
        <f t="shared" si="28"/>
        <v>Variant allowances detailed calculation</v>
      </c>
      <c r="BC392" s="34" t="str">
        <f t="shared" si="29"/>
        <v>Variant allowances allocation to totex categories</v>
      </c>
    </row>
    <row r="393" spans="4:55" x14ac:dyDescent="0.35">
      <c r="D393" s="1">
        <f t="shared" si="24"/>
        <v>1</v>
      </c>
      <c r="E393" s="193" t="str">
        <f t="shared" si="25"/>
        <v>PCD_London Medium Pressure PCD (Cadent_Lon)</v>
      </c>
      <c r="G393" s="33" t="str">
        <f t="shared" si="26"/>
        <v>£m 23/24 prices</v>
      </c>
      <c r="H393" s="33" t="s">
        <v>171</v>
      </c>
      <c r="AU393" s="166">
        <f t="shared" si="32"/>
        <v>0</v>
      </c>
      <c r="AV393" s="38">
        <f t="shared" si="32"/>
        <v>0</v>
      </c>
      <c r="AW393" s="38">
        <f t="shared" si="32"/>
        <v>0</v>
      </c>
      <c r="AX393" s="38">
        <f t="shared" si="32"/>
        <v>0</v>
      </c>
      <c r="AY393" s="215">
        <f t="shared" si="32"/>
        <v>0</v>
      </c>
      <c r="BA393" s="34" t="str">
        <f t="shared" ca="1" si="30"/>
        <v>VariantAllowances</v>
      </c>
      <c r="BB393" s="34" t="str">
        <f t="shared" si="28"/>
        <v>Variant allowances detailed calculation</v>
      </c>
      <c r="BC393" s="34" t="str">
        <f t="shared" si="29"/>
        <v>Variant allowances allocation to totex categories</v>
      </c>
    </row>
    <row r="394" spans="4:55" x14ac:dyDescent="0.35">
      <c r="D394" s="1">
        <f t="shared" si="24"/>
        <v>1</v>
      </c>
      <c r="E394" s="195" t="str">
        <f t="shared" si="25"/>
        <v>PCD_London Medium Pressure PCD (Cadent_Lon)</v>
      </c>
      <c r="F394" s="207"/>
      <c r="G394" s="196" t="str">
        <f t="shared" si="26"/>
        <v>£m 23/24 prices</v>
      </c>
      <c r="H394" s="196" t="s">
        <v>172</v>
      </c>
      <c r="I394" s="196"/>
      <c r="J394" s="196"/>
      <c r="K394" s="196"/>
      <c r="L394" s="196"/>
      <c r="M394" s="196"/>
      <c r="N394" s="196"/>
      <c r="O394" s="196"/>
      <c r="P394" s="196"/>
      <c r="Q394" s="196"/>
      <c r="R394" s="196"/>
      <c r="S394" s="196"/>
      <c r="T394" s="196"/>
      <c r="U394" s="196"/>
      <c r="V394" s="196"/>
      <c r="W394" s="196"/>
      <c r="X394" s="196"/>
      <c r="Y394" s="196"/>
      <c r="Z394" s="196"/>
      <c r="AA394" s="196"/>
      <c r="AB394" s="196"/>
      <c r="AC394" s="196"/>
      <c r="AD394" s="196"/>
      <c r="AE394" s="196"/>
      <c r="AF394" s="196"/>
      <c r="AG394" s="196"/>
      <c r="AH394" s="196"/>
      <c r="AI394" s="196"/>
      <c r="AJ394" s="196"/>
      <c r="AK394" s="196"/>
      <c r="AL394" s="196"/>
      <c r="AM394" s="196"/>
      <c r="AN394" s="196"/>
      <c r="AO394" s="196"/>
      <c r="AP394" s="196"/>
      <c r="AQ394" s="196"/>
      <c r="AR394" s="196"/>
      <c r="AS394" s="196"/>
      <c r="AT394" s="208"/>
      <c r="AU394" s="216">
        <f t="shared" si="32"/>
        <v>0</v>
      </c>
      <c r="AV394" s="217">
        <f t="shared" si="32"/>
        <v>0</v>
      </c>
      <c r="AW394" s="217">
        <f t="shared" si="32"/>
        <v>0</v>
      </c>
      <c r="AX394" s="217">
        <f t="shared" si="32"/>
        <v>0</v>
      </c>
      <c r="AY394" s="218">
        <f t="shared" si="32"/>
        <v>0</v>
      </c>
      <c r="BA394" s="34" t="str">
        <f t="shared" ca="1" si="30"/>
        <v>VariantAllowances</v>
      </c>
      <c r="BB394" s="34" t="str">
        <f t="shared" si="28"/>
        <v>Variant allowances detailed calculation</v>
      </c>
      <c r="BC394" s="34" t="str">
        <f t="shared" si="29"/>
        <v>Variant allowances allocation to totex categories</v>
      </c>
    </row>
    <row r="395" spans="4:55" x14ac:dyDescent="0.35">
      <c r="D395" s="1">
        <f t="shared" si="24"/>
        <v>1</v>
      </c>
      <c r="E395" s="187" t="str">
        <f t="shared" si="25"/>
        <v>PCD_Tier 1 Mains Decommissioned PCD</v>
      </c>
      <c r="F395" s="201"/>
      <c r="G395" s="188" t="str">
        <f t="shared" si="26"/>
        <v>£m 23/24 prices</v>
      </c>
      <c r="H395" s="188" t="s">
        <v>168</v>
      </c>
      <c r="I395" s="188"/>
      <c r="J395" s="188"/>
      <c r="K395" s="188"/>
      <c r="L395" s="188"/>
      <c r="M395" s="188"/>
      <c r="N395" s="188"/>
      <c r="O395" s="188"/>
      <c r="P395" s="188"/>
      <c r="Q395" s="188"/>
      <c r="R395" s="188"/>
      <c r="S395" s="188"/>
      <c r="T395" s="188"/>
      <c r="U395" s="188"/>
      <c r="V395" s="188"/>
      <c r="W395" s="188"/>
      <c r="X395" s="188"/>
      <c r="Y395" s="188"/>
      <c r="Z395" s="188"/>
      <c r="AA395" s="188"/>
      <c r="AB395" s="188"/>
      <c r="AC395" s="188"/>
      <c r="AD395" s="188"/>
      <c r="AE395" s="188"/>
      <c r="AF395" s="188"/>
      <c r="AG395" s="188"/>
      <c r="AH395" s="188"/>
      <c r="AI395" s="188"/>
      <c r="AJ395" s="188"/>
      <c r="AK395" s="188"/>
      <c r="AL395" s="188"/>
      <c r="AM395" s="188"/>
      <c r="AN395" s="188"/>
      <c r="AO395" s="188"/>
      <c r="AP395" s="188"/>
      <c r="AQ395" s="188"/>
      <c r="AR395" s="188"/>
      <c r="AS395" s="188"/>
      <c r="AT395" s="202"/>
      <c r="AU395" s="212">
        <f t="shared" ref="AU395:AY404" si="33">INDEX(AU$8:AU$57,MATCH($E395,$E$8:$E$57,0))*AU142</f>
        <v>0</v>
      </c>
      <c r="AV395" s="213">
        <f t="shared" si="33"/>
        <v>0</v>
      </c>
      <c r="AW395" s="213">
        <f t="shared" si="33"/>
        <v>0</v>
      </c>
      <c r="AX395" s="213">
        <f t="shared" si="33"/>
        <v>0</v>
      </c>
      <c r="AY395" s="214">
        <f t="shared" si="33"/>
        <v>0</v>
      </c>
      <c r="BA395" s="34" t="str">
        <f t="shared" ca="1" si="30"/>
        <v>VariantAllowances</v>
      </c>
      <c r="BB395" s="34" t="str">
        <f t="shared" si="28"/>
        <v>Variant allowances detailed calculation</v>
      </c>
      <c r="BC395" s="34" t="str">
        <f t="shared" si="29"/>
        <v>Variant allowances allocation to totex categories</v>
      </c>
    </row>
    <row r="396" spans="4:55" x14ac:dyDescent="0.35">
      <c r="D396" s="1">
        <f t="shared" si="24"/>
        <v>1</v>
      </c>
      <c r="E396" s="193" t="str">
        <f t="shared" si="25"/>
        <v>PCD_Tier 1 Mains Decommissioned PCD</v>
      </c>
      <c r="G396" s="33" t="str">
        <f t="shared" si="26"/>
        <v>£m 23/24 prices</v>
      </c>
      <c r="H396" s="33" t="s">
        <v>169</v>
      </c>
      <c r="AU396" s="166">
        <f t="shared" si="33"/>
        <v>0</v>
      </c>
      <c r="AV396" s="38">
        <f t="shared" si="33"/>
        <v>0</v>
      </c>
      <c r="AW396" s="38">
        <f t="shared" si="33"/>
        <v>0</v>
      </c>
      <c r="AX396" s="38">
        <f t="shared" si="33"/>
        <v>0</v>
      </c>
      <c r="AY396" s="215">
        <f t="shared" si="33"/>
        <v>0</v>
      </c>
      <c r="BA396" s="34" t="str">
        <f t="shared" ca="1" si="30"/>
        <v>VariantAllowances</v>
      </c>
      <c r="BB396" s="34" t="str">
        <f t="shared" si="28"/>
        <v>Variant allowances detailed calculation</v>
      </c>
      <c r="BC396" s="34" t="str">
        <f t="shared" si="29"/>
        <v>Variant allowances allocation to totex categories</v>
      </c>
    </row>
    <row r="397" spans="4:55" x14ac:dyDescent="0.35">
      <c r="D397" s="1">
        <f t="shared" si="24"/>
        <v>1</v>
      </c>
      <c r="E397" s="193" t="str">
        <f t="shared" si="25"/>
        <v>PCD_Tier 1 Mains Decommissioned PCD</v>
      </c>
      <c r="G397" s="33" t="str">
        <f t="shared" si="26"/>
        <v>£m 23/24 prices</v>
      </c>
      <c r="H397" s="33" t="s">
        <v>170</v>
      </c>
      <c r="AU397" s="166">
        <f t="shared" si="33"/>
        <v>0</v>
      </c>
      <c r="AV397" s="38">
        <f t="shared" si="33"/>
        <v>0</v>
      </c>
      <c r="AW397" s="38">
        <f t="shared" si="33"/>
        <v>0</v>
      </c>
      <c r="AX397" s="38">
        <f t="shared" si="33"/>
        <v>0</v>
      </c>
      <c r="AY397" s="215">
        <f t="shared" si="33"/>
        <v>0</v>
      </c>
      <c r="BA397" s="34" t="str">
        <f t="shared" ca="1" si="30"/>
        <v>VariantAllowances</v>
      </c>
      <c r="BB397" s="34" t="str">
        <f t="shared" si="28"/>
        <v>Variant allowances detailed calculation</v>
      </c>
      <c r="BC397" s="34" t="str">
        <f t="shared" si="29"/>
        <v>Variant allowances allocation to totex categories</v>
      </c>
    </row>
    <row r="398" spans="4:55" x14ac:dyDescent="0.35">
      <c r="D398" s="1">
        <f t="shared" si="24"/>
        <v>1</v>
      </c>
      <c r="E398" s="193" t="str">
        <f t="shared" si="25"/>
        <v>PCD_Tier 1 Mains Decommissioned PCD</v>
      </c>
      <c r="G398" s="33" t="str">
        <f t="shared" si="26"/>
        <v>£m 23/24 prices</v>
      </c>
      <c r="H398" s="33" t="s">
        <v>171</v>
      </c>
      <c r="AU398" s="166">
        <f t="shared" si="33"/>
        <v>0</v>
      </c>
      <c r="AV398" s="38">
        <f t="shared" si="33"/>
        <v>0</v>
      </c>
      <c r="AW398" s="38">
        <f t="shared" si="33"/>
        <v>0</v>
      </c>
      <c r="AX398" s="38">
        <f t="shared" si="33"/>
        <v>0</v>
      </c>
      <c r="AY398" s="215">
        <f t="shared" si="33"/>
        <v>0</v>
      </c>
      <c r="BA398" s="34" t="str">
        <f t="shared" ca="1" si="30"/>
        <v>VariantAllowances</v>
      </c>
      <c r="BB398" s="34" t="str">
        <f t="shared" si="28"/>
        <v>Variant allowances detailed calculation</v>
      </c>
      <c r="BC398" s="34" t="str">
        <f t="shared" si="29"/>
        <v>Variant allowances allocation to totex categories</v>
      </c>
    </row>
    <row r="399" spans="4:55" x14ac:dyDescent="0.35">
      <c r="D399" s="1">
        <f t="shared" si="24"/>
        <v>1</v>
      </c>
      <c r="E399" s="195" t="str">
        <f t="shared" si="25"/>
        <v>PCD_Tier 1 Mains Decommissioned PCD</v>
      </c>
      <c r="F399" s="207"/>
      <c r="G399" s="196" t="str">
        <f t="shared" si="26"/>
        <v>£m 23/24 prices</v>
      </c>
      <c r="H399" s="196" t="s">
        <v>172</v>
      </c>
      <c r="I399" s="196"/>
      <c r="J399" s="196"/>
      <c r="K399" s="196"/>
      <c r="L399" s="196"/>
      <c r="M399" s="196"/>
      <c r="N399" s="196"/>
      <c r="O399" s="196"/>
      <c r="P399" s="196"/>
      <c r="Q399" s="196"/>
      <c r="R399" s="196"/>
      <c r="S399" s="196"/>
      <c r="T399" s="196"/>
      <c r="U399" s="196"/>
      <c r="V399" s="196"/>
      <c r="W399" s="196"/>
      <c r="X399" s="196"/>
      <c r="Y399" s="196"/>
      <c r="Z399" s="196"/>
      <c r="AA399" s="196"/>
      <c r="AB399" s="196"/>
      <c r="AC399" s="196"/>
      <c r="AD399" s="196"/>
      <c r="AE399" s="196"/>
      <c r="AF399" s="196"/>
      <c r="AG399" s="196"/>
      <c r="AH399" s="196"/>
      <c r="AI399" s="196"/>
      <c r="AJ399" s="196"/>
      <c r="AK399" s="196"/>
      <c r="AL399" s="196"/>
      <c r="AM399" s="196"/>
      <c r="AN399" s="196"/>
      <c r="AO399" s="196"/>
      <c r="AP399" s="196"/>
      <c r="AQ399" s="196"/>
      <c r="AR399" s="196"/>
      <c r="AS399" s="196"/>
      <c r="AT399" s="208"/>
      <c r="AU399" s="216">
        <f t="shared" si="33"/>
        <v>37.278303808134645</v>
      </c>
      <c r="AV399" s="217">
        <f t="shared" si="33"/>
        <v>37.392397888938383</v>
      </c>
      <c r="AW399" s="217">
        <f t="shared" si="33"/>
        <v>35.143946724139177</v>
      </c>
      <c r="AX399" s="217">
        <f t="shared" si="33"/>
        <v>34.242787483593546</v>
      </c>
      <c r="AY399" s="218">
        <f t="shared" si="33"/>
        <v>33.856655547540186</v>
      </c>
      <c r="BA399" s="34" t="str">
        <f t="shared" ca="1" si="30"/>
        <v>VariantAllowances</v>
      </c>
      <c r="BB399" s="34" t="str">
        <f t="shared" si="28"/>
        <v>Variant allowances detailed calculation</v>
      </c>
      <c r="BC399" s="34" t="str">
        <f t="shared" si="29"/>
        <v>Variant allowances allocation to totex categories</v>
      </c>
    </row>
    <row r="400" spans="4:55" x14ac:dyDescent="0.35">
      <c r="D400" s="1">
        <f t="shared" si="24"/>
        <v>1</v>
      </c>
      <c r="E400" s="187" t="str">
        <f t="shared" si="25"/>
        <v>PCD_Tier 1 Services PCD / Tier 1 Services Repex PCD</v>
      </c>
      <c r="F400" s="201"/>
      <c r="G400" s="188" t="str">
        <f t="shared" si="26"/>
        <v>£m 23/24 prices</v>
      </c>
      <c r="H400" s="188" t="s">
        <v>168</v>
      </c>
      <c r="I400" s="188"/>
      <c r="J400" s="188"/>
      <c r="K400" s="188"/>
      <c r="L400" s="188"/>
      <c r="M400" s="188"/>
      <c r="N400" s="188"/>
      <c r="O400" s="188"/>
      <c r="P400" s="188"/>
      <c r="Q400" s="188"/>
      <c r="R400" s="188"/>
      <c r="S400" s="188"/>
      <c r="T400" s="188"/>
      <c r="U400" s="188"/>
      <c r="V400" s="188"/>
      <c r="W400" s="188"/>
      <c r="X400" s="188"/>
      <c r="Y400" s="188"/>
      <c r="Z400" s="188"/>
      <c r="AA400" s="188"/>
      <c r="AB400" s="188"/>
      <c r="AC400" s="188"/>
      <c r="AD400" s="188"/>
      <c r="AE400" s="188"/>
      <c r="AF400" s="188"/>
      <c r="AG400" s="188"/>
      <c r="AH400" s="188"/>
      <c r="AI400" s="188"/>
      <c r="AJ400" s="188"/>
      <c r="AK400" s="188"/>
      <c r="AL400" s="188"/>
      <c r="AM400" s="188"/>
      <c r="AN400" s="188"/>
      <c r="AO400" s="188"/>
      <c r="AP400" s="188"/>
      <c r="AQ400" s="188"/>
      <c r="AR400" s="188"/>
      <c r="AS400" s="188"/>
      <c r="AT400" s="202"/>
      <c r="AU400" s="212">
        <f t="shared" si="33"/>
        <v>0</v>
      </c>
      <c r="AV400" s="213">
        <f t="shared" si="33"/>
        <v>0</v>
      </c>
      <c r="AW400" s="213">
        <f t="shared" si="33"/>
        <v>0</v>
      </c>
      <c r="AX400" s="213">
        <f t="shared" si="33"/>
        <v>0</v>
      </c>
      <c r="AY400" s="214">
        <f t="shared" si="33"/>
        <v>0</v>
      </c>
      <c r="BA400" s="34" t="str">
        <f t="shared" ca="1" si="30"/>
        <v>VariantAllowances</v>
      </c>
      <c r="BB400" s="34" t="str">
        <f t="shared" si="28"/>
        <v>Variant allowances detailed calculation</v>
      </c>
      <c r="BC400" s="34" t="str">
        <f t="shared" si="29"/>
        <v>Variant allowances allocation to totex categories</v>
      </c>
    </row>
    <row r="401" spans="4:55" x14ac:dyDescent="0.35">
      <c r="D401" s="1">
        <f t="shared" si="24"/>
        <v>1</v>
      </c>
      <c r="E401" s="193" t="str">
        <f t="shared" si="25"/>
        <v>PCD_Tier 1 Services PCD / Tier 1 Services Repex PCD</v>
      </c>
      <c r="G401" s="33" t="str">
        <f t="shared" si="26"/>
        <v>£m 23/24 prices</v>
      </c>
      <c r="H401" s="33" t="s">
        <v>169</v>
      </c>
      <c r="AU401" s="166">
        <f t="shared" si="33"/>
        <v>0</v>
      </c>
      <c r="AV401" s="38">
        <f t="shared" si="33"/>
        <v>0</v>
      </c>
      <c r="AW401" s="38">
        <f t="shared" si="33"/>
        <v>0</v>
      </c>
      <c r="AX401" s="38">
        <f t="shared" si="33"/>
        <v>0</v>
      </c>
      <c r="AY401" s="215">
        <f t="shared" si="33"/>
        <v>0</v>
      </c>
      <c r="BA401" s="34" t="str">
        <f t="shared" ca="1" si="30"/>
        <v>VariantAllowances</v>
      </c>
      <c r="BB401" s="34" t="str">
        <f t="shared" si="28"/>
        <v>Variant allowances detailed calculation</v>
      </c>
      <c r="BC401" s="34" t="str">
        <f t="shared" si="29"/>
        <v>Variant allowances allocation to totex categories</v>
      </c>
    </row>
    <row r="402" spans="4:55" x14ac:dyDescent="0.35">
      <c r="D402" s="1">
        <f t="shared" si="24"/>
        <v>1</v>
      </c>
      <c r="E402" s="193" t="str">
        <f t="shared" si="25"/>
        <v>PCD_Tier 1 Services PCD / Tier 1 Services Repex PCD</v>
      </c>
      <c r="G402" s="33" t="str">
        <f t="shared" si="26"/>
        <v>£m 23/24 prices</v>
      </c>
      <c r="H402" s="33" t="s">
        <v>170</v>
      </c>
      <c r="AU402" s="166">
        <f t="shared" si="33"/>
        <v>0</v>
      </c>
      <c r="AV402" s="38">
        <f t="shared" si="33"/>
        <v>0</v>
      </c>
      <c r="AW402" s="38">
        <f t="shared" si="33"/>
        <v>0</v>
      </c>
      <c r="AX402" s="38">
        <f t="shared" si="33"/>
        <v>0</v>
      </c>
      <c r="AY402" s="215">
        <f t="shared" si="33"/>
        <v>0</v>
      </c>
      <c r="BA402" s="34" t="str">
        <f t="shared" ca="1" si="30"/>
        <v>VariantAllowances</v>
      </c>
      <c r="BB402" s="34" t="str">
        <f t="shared" si="28"/>
        <v>Variant allowances detailed calculation</v>
      </c>
      <c r="BC402" s="34" t="str">
        <f t="shared" si="29"/>
        <v>Variant allowances allocation to totex categories</v>
      </c>
    </row>
    <row r="403" spans="4:55" x14ac:dyDescent="0.35">
      <c r="D403" s="1">
        <f t="shared" si="24"/>
        <v>1</v>
      </c>
      <c r="E403" s="193" t="str">
        <f t="shared" si="25"/>
        <v>PCD_Tier 1 Services PCD / Tier 1 Services Repex PCD</v>
      </c>
      <c r="G403" s="33" t="str">
        <f t="shared" si="26"/>
        <v>£m 23/24 prices</v>
      </c>
      <c r="H403" s="33" t="s">
        <v>171</v>
      </c>
      <c r="AU403" s="166">
        <f t="shared" si="33"/>
        <v>0</v>
      </c>
      <c r="AV403" s="38">
        <f t="shared" si="33"/>
        <v>0</v>
      </c>
      <c r="AW403" s="38">
        <f t="shared" si="33"/>
        <v>0</v>
      </c>
      <c r="AX403" s="38">
        <f t="shared" si="33"/>
        <v>0</v>
      </c>
      <c r="AY403" s="215">
        <f t="shared" si="33"/>
        <v>0</v>
      </c>
      <c r="BA403" s="34" t="str">
        <f t="shared" ca="1" si="30"/>
        <v>VariantAllowances</v>
      </c>
      <c r="BB403" s="34" t="str">
        <f t="shared" si="28"/>
        <v>Variant allowances detailed calculation</v>
      </c>
      <c r="BC403" s="34" t="str">
        <f t="shared" si="29"/>
        <v>Variant allowances allocation to totex categories</v>
      </c>
    </row>
    <row r="404" spans="4:55" x14ac:dyDescent="0.35">
      <c r="D404" s="1">
        <f t="shared" si="24"/>
        <v>1</v>
      </c>
      <c r="E404" s="195" t="str">
        <f t="shared" si="25"/>
        <v>PCD_Tier 1 Services PCD / Tier 1 Services Repex PCD</v>
      </c>
      <c r="F404" s="207"/>
      <c r="G404" s="196" t="str">
        <f t="shared" si="26"/>
        <v>£m 23/24 prices</v>
      </c>
      <c r="H404" s="196" t="s">
        <v>172</v>
      </c>
      <c r="I404" s="196"/>
      <c r="J404" s="196"/>
      <c r="K404" s="196"/>
      <c r="L404" s="196"/>
      <c r="M404" s="196"/>
      <c r="N404" s="196"/>
      <c r="O404" s="196"/>
      <c r="P404" s="196"/>
      <c r="Q404" s="196"/>
      <c r="R404" s="196"/>
      <c r="S404" s="196"/>
      <c r="T404" s="196"/>
      <c r="U404" s="196"/>
      <c r="V404" s="196"/>
      <c r="W404" s="196"/>
      <c r="X404" s="196"/>
      <c r="Y404" s="196"/>
      <c r="Z404" s="196"/>
      <c r="AA404" s="196"/>
      <c r="AB404" s="196"/>
      <c r="AC404" s="196"/>
      <c r="AD404" s="196"/>
      <c r="AE404" s="196"/>
      <c r="AF404" s="196"/>
      <c r="AG404" s="196"/>
      <c r="AH404" s="196"/>
      <c r="AI404" s="196"/>
      <c r="AJ404" s="196"/>
      <c r="AK404" s="196"/>
      <c r="AL404" s="196"/>
      <c r="AM404" s="196"/>
      <c r="AN404" s="196"/>
      <c r="AO404" s="196"/>
      <c r="AP404" s="196"/>
      <c r="AQ404" s="196"/>
      <c r="AR404" s="196"/>
      <c r="AS404" s="196"/>
      <c r="AT404" s="208"/>
      <c r="AU404" s="216">
        <f t="shared" si="33"/>
        <v>12.459011203220449</v>
      </c>
      <c r="AV404" s="217">
        <f t="shared" si="33"/>
        <v>12.498290272206242</v>
      </c>
      <c r="AW404" s="217">
        <f t="shared" si="33"/>
        <v>11.74754518084967</v>
      </c>
      <c r="AX404" s="217">
        <f t="shared" si="33"/>
        <v>11.444458819451176</v>
      </c>
      <c r="AY404" s="218">
        <f t="shared" si="33"/>
        <v>11.315407072584176</v>
      </c>
      <c r="BA404" s="34" t="str">
        <f t="shared" ca="1" si="30"/>
        <v>VariantAllowances</v>
      </c>
      <c r="BB404" s="34" t="str">
        <f t="shared" si="28"/>
        <v>Variant allowances detailed calculation</v>
      </c>
      <c r="BC404" s="34" t="str">
        <f t="shared" si="29"/>
        <v>Variant allowances allocation to totex categories</v>
      </c>
    </row>
    <row r="405" spans="4:55" x14ac:dyDescent="0.35">
      <c r="D405" s="1">
        <f t="shared" si="24"/>
        <v>1</v>
      </c>
      <c r="E405" s="187" t="str">
        <f t="shared" si="25"/>
        <v>PCD_Tinsley viaduct diversion (Cadent_EoE)</v>
      </c>
      <c r="F405" s="201"/>
      <c r="G405" s="188" t="str">
        <f t="shared" si="26"/>
        <v>£m 23/24 prices</v>
      </c>
      <c r="H405" s="188" t="s">
        <v>168</v>
      </c>
      <c r="I405" s="188"/>
      <c r="J405" s="188"/>
      <c r="K405" s="188"/>
      <c r="L405" s="188"/>
      <c r="M405" s="188"/>
      <c r="N405" s="188"/>
      <c r="O405" s="188"/>
      <c r="P405" s="188"/>
      <c r="Q405" s="188"/>
      <c r="R405" s="188"/>
      <c r="S405" s="188"/>
      <c r="T405" s="188"/>
      <c r="U405" s="188"/>
      <c r="V405" s="188"/>
      <c r="W405" s="188"/>
      <c r="X405" s="188"/>
      <c r="Y405" s="188"/>
      <c r="Z405" s="188"/>
      <c r="AA405" s="188"/>
      <c r="AB405" s="188"/>
      <c r="AC405" s="188"/>
      <c r="AD405" s="188"/>
      <c r="AE405" s="188"/>
      <c r="AF405" s="188"/>
      <c r="AG405" s="188"/>
      <c r="AH405" s="188"/>
      <c r="AI405" s="188"/>
      <c r="AJ405" s="188"/>
      <c r="AK405" s="188"/>
      <c r="AL405" s="188"/>
      <c r="AM405" s="188"/>
      <c r="AN405" s="188"/>
      <c r="AO405" s="188"/>
      <c r="AP405" s="188"/>
      <c r="AQ405" s="188"/>
      <c r="AR405" s="188"/>
      <c r="AS405" s="188"/>
      <c r="AT405" s="202"/>
      <c r="AU405" s="212">
        <f t="shared" ref="AU405:AY414" si="34">INDEX(AU$8:AU$57,MATCH($E405,$E$8:$E$57,0))*AU152</f>
        <v>0</v>
      </c>
      <c r="AV405" s="213">
        <f t="shared" si="34"/>
        <v>0</v>
      </c>
      <c r="AW405" s="213">
        <f t="shared" si="34"/>
        <v>0</v>
      </c>
      <c r="AX405" s="213">
        <f t="shared" si="34"/>
        <v>0</v>
      </c>
      <c r="AY405" s="214">
        <f t="shared" si="34"/>
        <v>0</v>
      </c>
      <c r="BA405" s="34" t="str">
        <f t="shared" ca="1" si="30"/>
        <v>VariantAllowances</v>
      </c>
      <c r="BB405" s="34" t="str">
        <f t="shared" si="28"/>
        <v>Variant allowances detailed calculation</v>
      </c>
      <c r="BC405" s="34" t="str">
        <f t="shared" si="29"/>
        <v>Variant allowances allocation to totex categories</v>
      </c>
    </row>
    <row r="406" spans="4:55" x14ac:dyDescent="0.35">
      <c r="D406" s="1">
        <f t="shared" si="24"/>
        <v>1</v>
      </c>
      <c r="E406" s="193" t="str">
        <f t="shared" si="25"/>
        <v>PCD_Tinsley viaduct diversion (Cadent_EoE)</v>
      </c>
      <c r="G406" s="33" t="str">
        <f t="shared" si="26"/>
        <v>£m 23/24 prices</v>
      </c>
      <c r="H406" s="33" t="s">
        <v>169</v>
      </c>
      <c r="AU406" s="166">
        <f t="shared" si="34"/>
        <v>0</v>
      </c>
      <c r="AV406" s="38">
        <f t="shared" si="34"/>
        <v>0</v>
      </c>
      <c r="AW406" s="38">
        <f t="shared" si="34"/>
        <v>0</v>
      </c>
      <c r="AX406" s="38">
        <f t="shared" si="34"/>
        <v>0</v>
      </c>
      <c r="AY406" s="215">
        <f t="shared" si="34"/>
        <v>0</v>
      </c>
      <c r="BA406" s="34" t="str">
        <f t="shared" ca="1" si="30"/>
        <v>VariantAllowances</v>
      </c>
      <c r="BB406" s="34" t="str">
        <f t="shared" si="28"/>
        <v>Variant allowances detailed calculation</v>
      </c>
      <c r="BC406" s="34" t="str">
        <f t="shared" si="29"/>
        <v>Variant allowances allocation to totex categories</v>
      </c>
    </row>
    <row r="407" spans="4:55" x14ac:dyDescent="0.35">
      <c r="D407" s="1">
        <f t="shared" si="24"/>
        <v>1</v>
      </c>
      <c r="E407" s="193" t="str">
        <f t="shared" si="25"/>
        <v>PCD_Tinsley viaduct diversion (Cadent_EoE)</v>
      </c>
      <c r="G407" s="33" t="str">
        <f t="shared" si="26"/>
        <v>£m 23/24 prices</v>
      </c>
      <c r="H407" s="33" t="s">
        <v>170</v>
      </c>
      <c r="AU407" s="166">
        <f t="shared" si="34"/>
        <v>0</v>
      </c>
      <c r="AV407" s="38">
        <f t="shared" si="34"/>
        <v>0</v>
      </c>
      <c r="AW407" s="38">
        <f t="shared" si="34"/>
        <v>0</v>
      </c>
      <c r="AX407" s="38">
        <f t="shared" si="34"/>
        <v>0</v>
      </c>
      <c r="AY407" s="215">
        <f t="shared" si="34"/>
        <v>0</v>
      </c>
      <c r="BA407" s="34" t="str">
        <f t="shared" ca="1" si="30"/>
        <v>VariantAllowances</v>
      </c>
      <c r="BB407" s="34" t="str">
        <f t="shared" si="28"/>
        <v>Variant allowances detailed calculation</v>
      </c>
      <c r="BC407" s="34" t="str">
        <f t="shared" si="29"/>
        <v>Variant allowances allocation to totex categories</v>
      </c>
    </row>
    <row r="408" spans="4:55" x14ac:dyDescent="0.35">
      <c r="D408" s="1">
        <f t="shared" si="24"/>
        <v>1</v>
      </c>
      <c r="E408" s="193" t="str">
        <f t="shared" si="25"/>
        <v>PCD_Tinsley viaduct diversion (Cadent_EoE)</v>
      </c>
      <c r="G408" s="33" t="str">
        <f t="shared" si="26"/>
        <v>£m 23/24 prices</v>
      </c>
      <c r="H408" s="33" t="s">
        <v>171</v>
      </c>
      <c r="AU408" s="166">
        <f t="shared" si="34"/>
        <v>0</v>
      </c>
      <c r="AV408" s="38">
        <f t="shared" si="34"/>
        <v>0</v>
      </c>
      <c r="AW408" s="38">
        <f t="shared" si="34"/>
        <v>0</v>
      </c>
      <c r="AX408" s="38">
        <f t="shared" si="34"/>
        <v>0</v>
      </c>
      <c r="AY408" s="215">
        <f t="shared" si="34"/>
        <v>0</v>
      </c>
      <c r="BA408" s="34" t="str">
        <f t="shared" ca="1" si="30"/>
        <v>VariantAllowances</v>
      </c>
      <c r="BB408" s="34" t="str">
        <f t="shared" si="28"/>
        <v>Variant allowances detailed calculation</v>
      </c>
      <c r="BC408" s="34" t="str">
        <f t="shared" si="29"/>
        <v>Variant allowances allocation to totex categories</v>
      </c>
    </row>
    <row r="409" spans="4:55" x14ac:dyDescent="0.35">
      <c r="D409" s="1">
        <f t="shared" si="24"/>
        <v>1</v>
      </c>
      <c r="E409" s="195" t="str">
        <f t="shared" si="25"/>
        <v>PCD_Tinsley viaduct diversion (Cadent_EoE)</v>
      </c>
      <c r="F409" s="207"/>
      <c r="G409" s="196" t="str">
        <f t="shared" si="26"/>
        <v>£m 23/24 prices</v>
      </c>
      <c r="H409" s="196" t="s">
        <v>172</v>
      </c>
      <c r="I409" s="196"/>
      <c r="J409" s="196"/>
      <c r="K409" s="196"/>
      <c r="L409" s="196"/>
      <c r="M409" s="196"/>
      <c r="N409" s="196"/>
      <c r="O409" s="196"/>
      <c r="P409" s="196"/>
      <c r="Q409" s="196"/>
      <c r="R409" s="196"/>
      <c r="S409" s="196"/>
      <c r="T409" s="196"/>
      <c r="U409" s="196"/>
      <c r="V409" s="196"/>
      <c r="W409" s="196"/>
      <c r="X409" s="196"/>
      <c r="Y409" s="196"/>
      <c r="Z409" s="196"/>
      <c r="AA409" s="196"/>
      <c r="AB409" s="196"/>
      <c r="AC409" s="196"/>
      <c r="AD409" s="196"/>
      <c r="AE409" s="196"/>
      <c r="AF409" s="196"/>
      <c r="AG409" s="196"/>
      <c r="AH409" s="196"/>
      <c r="AI409" s="196"/>
      <c r="AJ409" s="196"/>
      <c r="AK409" s="196"/>
      <c r="AL409" s="196"/>
      <c r="AM409" s="196"/>
      <c r="AN409" s="196"/>
      <c r="AO409" s="196"/>
      <c r="AP409" s="196"/>
      <c r="AQ409" s="196"/>
      <c r="AR409" s="196"/>
      <c r="AS409" s="196"/>
      <c r="AT409" s="208"/>
      <c r="AU409" s="216">
        <f t="shared" si="34"/>
        <v>0</v>
      </c>
      <c r="AV409" s="217">
        <f t="shared" si="34"/>
        <v>0</v>
      </c>
      <c r="AW409" s="217">
        <f t="shared" si="34"/>
        <v>0</v>
      </c>
      <c r="AX409" s="217">
        <f t="shared" si="34"/>
        <v>0</v>
      </c>
      <c r="AY409" s="218">
        <f t="shared" si="34"/>
        <v>0</v>
      </c>
      <c r="BA409" s="34" t="str">
        <f t="shared" ca="1" si="30"/>
        <v>VariantAllowances</v>
      </c>
      <c r="BB409" s="34" t="str">
        <f t="shared" si="28"/>
        <v>Variant allowances detailed calculation</v>
      </c>
      <c r="BC409" s="34" t="str">
        <f t="shared" si="29"/>
        <v>Variant allowances allocation to totex categories</v>
      </c>
    </row>
    <row r="410" spans="4:55" x14ac:dyDescent="0.35">
      <c r="D410" s="1">
        <f t="shared" si="24"/>
        <v>1</v>
      </c>
      <c r="E410" s="187" t="str">
        <f t="shared" si="25"/>
        <v>PCD_Iron Stubs / Tier 1 Stubs decommissioning PCD</v>
      </c>
      <c r="F410" s="201"/>
      <c r="G410" s="188" t="str">
        <f t="shared" si="26"/>
        <v>£m 23/24 prices</v>
      </c>
      <c r="H410" s="188" t="s">
        <v>168</v>
      </c>
      <c r="I410" s="188"/>
      <c r="J410" s="188"/>
      <c r="K410" s="188"/>
      <c r="L410" s="188"/>
      <c r="M410" s="188"/>
      <c r="N410" s="188"/>
      <c r="O410" s="188"/>
      <c r="P410" s="188"/>
      <c r="Q410" s="188"/>
      <c r="R410" s="188"/>
      <c r="S410" s="188"/>
      <c r="T410" s="188"/>
      <c r="U410" s="188"/>
      <c r="V410" s="188"/>
      <c r="W410" s="188"/>
      <c r="X410" s="188"/>
      <c r="Y410" s="188"/>
      <c r="Z410" s="188"/>
      <c r="AA410" s="188"/>
      <c r="AB410" s="188"/>
      <c r="AC410" s="188"/>
      <c r="AD410" s="188"/>
      <c r="AE410" s="188"/>
      <c r="AF410" s="188"/>
      <c r="AG410" s="188"/>
      <c r="AH410" s="188"/>
      <c r="AI410" s="188"/>
      <c r="AJ410" s="188"/>
      <c r="AK410" s="188"/>
      <c r="AL410" s="188"/>
      <c r="AM410" s="188"/>
      <c r="AN410" s="188"/>
      <c r="AO410" s="188"/>
      <c r="AP410" s="188"/>
      <c r="AQ410" s="188"/>
      <c r="AR410" s="188"/>
      <c r="AS410" s="188"/>
      <c r="AT410" s="202"/>
      <c r="AU410" s="212">
        <f t="shared" si="34"/>
        <v>0</v>
      </c>
      <c r="AV410" s="213">
        <f t="shared" si="34"/>
        <v>0</v>
      </c>
      <c r="AW410" s="213">
        <f t="shared" si="34"/>
        <v>0</v>
      </c>
      <c r="AX410" s="213">
        <f t="shared" si="34"/>
        <v>0</v>
      </c>
      <c r="AY410" s="214">
        <f t="shared" si="34"/>
        <v>0</v>
      </c>
      <c r="BA410" s="34" t="str">
        <f t="shared" ca="1" si="30"/>
        <v>VariantAllowances</v>
      </c>
      <c r="BB410" s="34" t="str">
        <f t="shared" si="28"/>
        <v>Variant allowances detailed calculation</v>
      </c>
      <c r="BC410" s="34" t="str">
        <f t="shared" si="29"/>
        <v>Variant allowances allocation to totex categories</v>
      </c>
    </row>
    <row r="411" spans="4:55" x14ac:dyDescent="0.35">
      <c r="D411" s="1">
        <f t="shared" si="24"/>
        <v>1</v>
      </c>
      <c r="E411" s="193" t="str">
        <f t="shared" si="25"/>
        <v>PCD_Iron Stubs / Tier 1 Stubs decommissioning PCD</v>
      </c>
      <c r="G411" s="33" t="str">
        <f t="shared" si="26"/>
        <v>£m 23/24 prices</v>
      </c>
      <c r="H411" s="33" t="s">
        <v>169</v>
      </c>
      <c r="AU411" s="166">
        <f t="shared" si="34"/>
        <v>0</v>
      </c>
      <c r="AV411" s="38">
        <f t="shared" si="34"/>
        <v>0</v>
      </c>
      <c r="AW411" s="38">
        <f t="shared" si="34"/>
        <v>0</v>
      </c>
      <c r="AX411" s="38">
        <f t="shared" si="34"/>
        <v>0</v>
      </c>
      <c r="AY411" s="215">
        <f t="shared" si="34"/>
        <v>0</v>
      </c>
      <c r="BA411" s="34" t="str">
        <f t="shared" ca="1" si="30"/>
        <v>VariantAllowances</v>
      </c>
      <c r="BB411" s="34" t="str">
        <f t="shared" si="28"/>
        <v>Variant allowances detailed calculation</v>
      </c>
      <c r="BC411" s="34" t="str">
        <f t="shared" si="29"/>
        <v>Variant allowances allocation to totex categories</v>
      </c>
    </row>
    <row r="412" spans="4:55" x14ac:dyDescent="0.35">
      <c r="D412" s="1">
        <f t="shared" si="24"/>
        <v>1</v>
      </c>
      <c r="E412" s="193" t="str">
        <f t="shared" si="25"/>
        <v>PCD_Iron Stubs / Tier 1 Stubs decommissioning PCD</v>
      </c>
      <c r="G412" s="33" t="str">
        <f t="shared" si="26"/>
        <v>£m 23/24 prices</v>
      </c>
      <c r="H412" s="33" t="s">
        <v>170</v>
      </c>
      <c r="AU412" s="166">
        <f t="shared" si="34"/>
        <v>0</v>
      </c>
      <c r="AV412" s="38">
        <f t="shared" si="34"/>
        <v>0</v>
      </c>
      <c r="AW412" s="38">
        <f t="shared" si="34"/>
        <v>0</v>
      </c>
      <c r="AX412" s="38">
        <f t="shared" si="34"/>
        <v>0</v>
      </c>
      <c r="AY412" s="215">
        <f t="shared" si="34"/>
        <v>0</v>
      </c>
      <c r="BA412" s="34" t="str">
        <f t="shared" ca="1" si="30"/>
        <v>VariantAllowances</v>
      </c>
      <c r="BB412" s="34" t="str">
        <f t="shared" si="28"/>
        <v>Variant allowances detailed calculation</v>
      </c>
      <c r="BC412" s="34" t="str">
        <f t="shared" si="29"/>
        <v>Variant allowances allocation to totex categories</v>
      </c>
    </row>
    <row r="413" spans="4:55" x14ac:dyDescent="0.35">
      <c r="D413" s="1">
        <f t="shared" si="24"/>
        <v>1</v>
      </c>
      <c r="E413" s="193" t="str">
        <f t="shared" si="25"/>
        <v>PCD_Iron Stubs / Tier 1 Stubs decommissioning PCD</v>
      </c>
      <c r="G413" s="33" t="str">
        <f t="shared" si="26"/>
        <v>£m 23/24 prices</v>
      </c>
      <c r="H413" s="33" t="s">
        <v>171</v>
      </c>
      <c r="AU413" s="166">
        <f t="shared" si="34"/>
        <v>0</v>
      </c>
      <c r="AV413" s="38">
        <f t="shared" si="34"/>
        <v>0</v>
      </c>
      <c r="AW413" s="38">
        <f t="shared" si="34"/>
        <v>0</v>
      </c>
      <c r="AX413" s="38">
        <f t="shared" si="34"/>
        <v>0</v>
      </c>
      <c r="AY413" s="215">
        <f t="shared" si="34"/>
        <v>0</v>
      </c>
      <c r="BA413" s="34" t="str">
        <f t="shared" ca="1" si="30"/>
        <v>VariantAllowances</v>
      </c>
      <c r="BB413" s="34" t="str">
        <f t="shared" si="28"/>
        <v>Variant allowances detailed calculation</v>
      </c>
      <c r="BC413" s="34" t="str">
        <f t="shared" si="29"/>
        <v>Variant allowances allocation to totex categories</v>
      </c>
    </row>
    <row r="414" spans="4:55" x14ac:dyDescent="0.35">
      <c r="D414" s="1">
        <f t="shared" si="24"/>
        <v>1</v>
      </c>
      <c r="E414" s="195" t="str">
        <f t="shared" si="25"/>
        <v>PCD_Iron Stubs / Tier 1 Stubs decommissioning PCD</v>
      </c>
      <c r="F414" s="207"/>
      <c r="G414" s="196" t="str">
        <f t="shared" si="26"/>
        <v>£m 23/24 prices</v>
      </c>
      <c r="H414" s="196" t="s">
        <v>172</v>
      </c>
      <c r="I414" s="196"/>
      <c r="J414" s="196"/>
      <c r="K414" s="196"/>
      <c r="L414" s="196"/>
      <c r="M414" s="196"/>
      <c r="N414" s="196"/>
      <c r="O414" s="196"/>
      <c r="P414" s="196"/>
      <c r="Q414" s="196"/>
      <c r="R414" s="196"/>
      <c r="S414" s="196"/>
      <c r="T414" s="196"/>
      <c r="U414" s="196"/>
      <c r="V414" s="196"/>
      <c r="W414" s="196"/>
      <c r="X414" s="196"/>
      <c r="Y414" s="196"/>
      <c r="Z414" s="196"/>
      <c r="AA414" s="196"/>
      <c r="AB414" s="196"/>
      <c r="AC414" s="196"/>
      <c r="AD414" s="196"/>
      <c r="AE414" s="196"/>
      <c r="AF414" s="196"/>
      <c r="AG414" s="196"/>
      <c r="AH414" s="196"/>
      <c r="AI414" s="196"/>
      <c r="AJ414" s="196"/>
      <c r="AK414" s="196"/>
      <c r="AL414" s="196"/>
      <c r="AM414" s="196"/>
      <c r="AN414" s="196"/>
      <c r="AO414" s="196"/>
      <c r="AP414" s="196"/>
      <c r="AQ414" s="196"/>
      <c r="AR414" s="196"/>
      <c r="AS414" s="196"/>
      <c r="AT414" s="208"/>
      <c r="AU414" s="216">
        <f t="shared" si="34"/>
        <v>0.35484507425807871</v>
      </c>
      <c r="AV414" s="217">
        <f t="shared" si="34"/>
        <v>0.35129662351549795</v>
      </c>
      <c r="AW414" s="217">
        <f t="shared" si="34"/>
        <v>0.34778365728034294</v>
      </c>
      <c r="AX414" s="217">
        <f t="shared" si="34"/>
        <v>0.34430582070753951</v>
      </c>
      <c r="AY414" s="218">
        <f t="shared" si="34"/>
        <v>0.34086276250046416</v>
      </c>
      <c r="BA414" s="34" t="str">
        <f t="shared" ca="1" si="30"/>
        <v>VariantAllowances</v>
      </c>
      <c r="BB414" s="34" t="str">
        <f t="shared" si="28"/>
        <v>Variant allowances detailed calculation</v>
      </c>
      <c r="BC414" s="34" t="str">
        <f t="shared" si="29"/>
        <v>Variant allowances allocation to totex categories</v>
      </c>
    </row>
    <row r="415" spans="4:55" x14ac:dyDescent="0.35">
      <c r="D415" s="1">
        <f t="shared" si="24"/>
        <v>1</v>
      </c>
      <c r="E415" s="187" t="str">
        <f t="shared" si="25"/>
        <v>PCD_Full Site and System Rebuilds (SGN_all)</v>
      </c>
      <c r="F415" s="201"/>
      <c r="G415" s="188" t="str">
        <f t="shared" si="26"/>
        <v>£m 23/24 prices</v>
      </c>
      <c r="H415" s="188" t="s">
        <v>168</v>
      </c>
      <c r="I415" s="188"/>
      <c r="J415" s="188"/>
      <c r="K415" s="188"/>
      <c r="L415" s="188"/>
      <c r="M415" s="188"/>
      <c r="N415" s="188"/>
      <c r="O415" s="188"/>
      <c r="P415" s="188"/>
      <c r="Q415" s="188"/>
      <c r="R415" s="188"/>
      <c r="S415" s="188"/>
      <c r="T415" s="188"/>
      <c r="U415" s="188"/>
      <c r="V415" s="188"/>
      <c r="W415" s="188"/>
      <c r="X415" s="188"/>
      <c r="Y415" s="188"/>
      <c r="Z415" s="188"/>
      <c r="AA415" s="188"/>
      <c r="AB415" s="188"/>
      <c r="AC415" s="188"/>
      <c r="AD415" s="188"/>
      <c r="AE415" s="188"/>
      <c r="AF415" s="188"/>
      <c r="AG415" s="188"/>
      <c r="AH415" s="188"/>
      <c r="AI415" s="188"/>
      <c r="AJ415" s="188"/>
      <c r="AK415" s="188"/>
      <c r="AL415" s="188"/>
      <c r="AM415" s="188"/>
      <c r="AN415" s="188"/>
      <c r="AO415" s="188"/>
      <c r="AP415" s="188"/>
      <c r="AQ415" s="188"/>
      <c r="AR415" s="188"/>
      <c r="AS415" s="188"/>
      <c r="AT415" s="202"/>
      <c r="AU415" s="212">
        <f t="shared" ref="AU415:AY424" si="35">INDEX(AU$8:AU$57,MATCH($E415,$E$8:$E$57,0))*AU162</f>
        <v>0</v>
      </c>
      <c r="AV415" s="213">
        <f t="shared" si="35"/>
        <v>0</v>
      </c>
      <c r="AW415" s="213">
        <f t="shared" si="35"/>
        <v>0</v>
      </c>
      <c r="AX415" s="213">
        <f t="shared" si="35"/>
        <v>0</v>
      </c>
      <c r="AY415" s="214">
        <f t="shared" si="35"/>
        <v>0</v>
      </c>
      <c r="BA415" s="34" t="str">
        <f t="shared" ca="1" si="30"/>
        <v>VariantAllowances</v>
      </c>
      <c r="BB415" s="34" t="str">
        <f t="shared" si="28"/>
        <v>Variant allowances detailed calculation</v>
      </c>
      <c r="BC415" s="34" t="str">
        <f t="shared" si="29"/>
        <v>Variant allowances allocation to totex categories</v>
      </c>
    </row>
    <row r="416" spans="4:55" x14ac:dyDescent="0.35">
      <c r="D416" s="1">
        <f t="shared" si="24"/>
        <v>1</v>
      </c>
      <c r="E416" s="193" t="str">
        <f t="shared" si="25"/>
        <v>PCD_Full Site and System Rebuilds (SGN_all)</v>
      </c>
      <c r="G416" s="33" t="str">
        <f t="shared" si="26"/>
        <v>£m 23/24 prices</v>
      </c>
      <c r="H416" s="33" t="s">
        <v>169</v>
      </c>
      <c r="AU416" s="166">
        <f t="shared" si="35"/>
        <v>1.1643587999999998</v>
      </c>
      <c r="AV416" s="38">
        <f t="shared" si="35"/>
        <v>4.3803178055999989</v>
      </c>
      <c r="AW416" s="38">
        <f t="shared" si="35"/>
        <v>7.1419352747489988</v>
      </c>
      <c r="AX416" s="38">
        <f t="shared" si="35"/>
        <v>4.8862819753911895</v>
      </c>
      <c r="AY416" s="215">
        <f t="shared" si="35"/>
        <v>2.3208427162884049</v>
      </c>
      <c r="BA416" s="34" t="str">
        <f t="shared" ca="1" si="30"/>
        <v>VariantAllowances</v>
      </c>
      <c r="BB416" s="34" t="str">
        <f t="shared" si="28"/>
        <v>Variant allowances detailed calculation</v>
      </c>
      <c r="BC416" s="34" t="str">
        <f t="shared" si="29"/>
        <v>Variant allowances allocation to totex categories</v>
      </c>
    </row>
    <row r="417" spans="4:55" x14ac:dyDescent="0.35">
      <c r="D417" s="1">
        <f t="shared" si="24"/>
        <v>1</v>
      </c>
      <c r="E417" s="193" t="str">
        <f t="shared" si="25"/>
        <v>PCD_Full Site and System Rebuilds (SGN_all)</v>
      </c>
      <c r="G417" s="33" t="str">
        <f t="shared" si="26"/>
        <v>£m 23/24 prices</v>
      </c>
      <c r="H417" s="33" t="s">
        <v>170</v>
      </c>
      <c r="AU417" s="166">
        <f t="shared" si="35"/>
        <v>0</v>
      </c>
      <c r="AV417" s="38">
        <f t="shared" si="35"/>
        <v>0</v>
      </c>
      <c r="AW417" s="38">
        <f t="shared" si="35"/>
        <v>0</v>
      </c>
      <c r="AX417" s="38">
        <f t="shared" si="35"/>
        <v>0</v>
      </c>
      <c r="AY417" s="215">
        <f t="shared" si="35"/>
        <v>0</v>
      </c>
      <c r="BA417" s="34" t="str">
        <f t="shared" ca="1" si="30"/>
        <v>VariantAllowances</v>
      </c>
      <c r="BB417" s="34" t="str">
        <f t="shared" si="28"/>
        <v>Variant allowances detailed calculation</v>
      </c>
      <c r="BC417" s="34" t="str">
        <f t="shared" si="29"/>
        <v>Variant allowances allocation to totex categories</v>
      </c>
    </row>
    <row r="418" spans="4:55" x14ac:dyDescent="0.35">
      <c r="D418" s="1">
        <f t="shared" si="24"/>
        <v>1</v>
      </c>
      <c r="E418" s="193" t="str">
        <f t="shared" si="25"/>
        <v>PCD_Full Site and System Rebuilds (SGN_all)</v>
      </c>
      <c r="G418" s="33" t="str">
        <f t="shared" si="26"/>
        <v>£m 23/24 prices</v>
      </c>
      <c r="H418" s="33" t="s">
        <v>171</v>
      </c>
      <c r="AU418" s="166">
        <f t="shared" si="35"/>
        <v>0</v>
      </c>
      <c r="AV418" s="38">
        <f t="shared" si="35"/>
        <v>0</v>
      </c>
      <c r="AW418" s="38">
        <f t="shared" si="35"/>
        <v>0</v>
      </c>
      <c r="AX418" s="38">
        <f t="shared" si="35"/>
        <v>0</v>
      </c>
      <c r="AY418" s="215">
        <f t="shared" si="35"/>
        <v>0</v>
      </c>
      <c r="BA418" s="34" t="str">
        <f t="shared" ca="1" si="30"/>
        <v>VariantAllowances</v>
      </c>
      <c r="BB418" s="34" t="str">
        <f t="shared" si="28"/>
        <v>Variant allowances detailed calculation</v>
      </c>
      <c r="BC418" s="34" t="str">
        <f t="shared" si="29"/>
        <v>Variant allowances allocation to totex categories</v>
      </c>
    </row>
    <row r="419" spans="4:55" x14ac:dyDescent="0.35">
      <c r="D419" s="1">
        <f t="shared" si="24"/>
        <v>1</v>
      </c>
      <c r="E419" s="195" t="str">
        <f t="shared" si="25"/>
        <v>PCD_Full Site and System Rebuilds (SGN_all)</v>
      </c>
      <c r="F419" s="207"/>
      <c r="G419" s="196" t="str">
        <f t="shared" si="26"/>
        <v>£m 23/24 prices</v>
      </c>
      <c r="H419" s="196" t="s">
        <v>172</v>
      </c>
      <c r="I419" s="196"/>
      <c r="J419" s="196"/>
      <c r="K419" s="196"/>
      <c r="L419" s="196"/>
      <c r="M419" s="196"/>
      <c r="N419" s="196"/>
      <c r="O419" s="196"/>
      <c r="P419" s="196"/>
      <c r="Q419" s="196"/>
      <c r="R419" s="196"/>
      <c r="S419" s="196"/>
      <c r="T419" s="196"/>
      <c r="U419" s="196"/>
      <c r="V419" s="196"/>
      <c r="W419" s="196"/>
      <c r="X419" s="196"/>
      <c r="Y419" s="196"/>
      <c r="Z419" s="196"/>
      <c r="AA419" s="196"/>
      <c r="AB419" s="196"/>
      <c r="AC419" s="196"/>
      <c r="AD419" s="196"/>
      <c r="AE419" s="196"/>
      <c r="AF419" s="196"/>
      <c r="AG419" s="196"/>
      <c r="AH419" s="196"/>
      <c r="AI419" s="196"/>
      <c r="AJ419" s="196"/>
      <c r="AK419" s="196"/>
      <c r="AL419" s="196"/>
      <c r="AM419" s="196"/>
      <c r="AN419" s="196"/>
      <c r="AO419" s="196"/>
      <c r="AP419" s="196"/>
      <c r="AQ419" s="196"/>
      <c r="AR419" s="196"/>
      <c r="AS419" s="196"/>
      <c r="AT419" s="208"/>
      <c r="AU419" s="216">
        <f t="shared" si="35"/>
        <v>0</v>
      </c>
      <c r="AV419" s="217">
        <f t="shared" si="35"/>
        <v>0</v>
      </c>
      <c r="AW419" s="217">
        <f t="shared" si="35"/>
        <v>0</v>
      </c>
      <c r="AX419" s="217">
        <f t="shared" si="35"/>
        <v>0</v>
      </c>
      <c r="AY419" s="218">
        <f t="shared" si="35"/>
        <v>0</v>
      </c>
      <c r="BA419" s="34" t="str">
        <f t="shared" ca="1" si="30"/>
        <v>VariantAllowances</v>
      </c>
      <c r="BB419" s="34" t="str">
        <f t="shared" si="28"/>
        <v>Variant allowances detailed calculation</v>
      </c>
      <c r="BC419" s="34" t="str">
        <f t="shared" si="29"/>
        <v>Variant allowances allocation to totex categories</v>
      </c>
    </row>
    <row r="420" spans="4:55" x14ac:dyDescent="0.35">
      <c r="D420" s="1">
        <f t="shared" si="24"/>
        <v>1</v>
      </c>
      <c r="E420" s="187" t="str">
        <f t="shared" si="25"/>
        <v>PCD_Glenmavis (Offtake) (SGN_Sc) / Full site and system rebuilds PCD (SGN)</v>
      </c>
      <c r="F420" s="201"/>
      <c r="G420" s="188" t="str">
        <f t="shared" si="26"/>
        <v>£m 23/24 prices</v>
      </c>
      <c r="H420" s="188" t="s">
        <v>168</v>
      </c>
      <c r="I420" s="188"/>
      <c r="J420" s="188"/>
      <c r="K420" s="188"/>
      <c r="L420" s="188"/>
      <c r="M420" s="188"/>
      <c r="N420" s="188"/>
      <c r="O420" s="188"/>
      <c r="P420" s="188"/>
      <c r="Q420" s="188"/>
      <c r="R420" s="188"/>
      <c r="S420" s="188"/>
      <c r="T420" s="188"/>
      <c r="U420" s="188"/>
      <c r="V420" s="188"/>
      <c r="W420" s="188"/>
      <c r="X420" s="188"/>
      <c r="Y420" s="188"/>
      <c r="Z420" s="188"/>
      <c r="AA420" s="188"/>
      <c r="AB420" s="188"/>
      <c r="AC420" s="188"/>
      <c r="AD420" s="188"/>
      <c r="AE420" s="188"/>
      <c r="AF420" s="188"/>
      <c r="AG420" s="188"/>
      <c r="AH420" s="188"/>
      <c r="AI420" s="188"/>
      <c r="AJ420" s="188"/>
      <c r="AK420" s="188"/>
      <c r="AL420" s="188"/>
      <c r="AM420" s="188"/>
      <c r="AN420" s="188"/>
      <c r="AO420" s="188"/>
      <c r="AP420" s="188"/>
      <c r="AQ420" s="188"/>
      <c r="AR420" s="188"/>
      <c r="AS420" s="188"/>
      <c r="AT420" s="202"/>
      <c r="AU420" s="212">
        <f t="shared" si="35"/>
        <v>0</v>
      </c>
      <c r="AV420" s="213">
        <f t="shared" si="35"/>
        <v>0</v>
      </c>
      <c r="AW420" s="213">
        <f t="shared" si="35"/>
        <v>0</v>
      </c>
      <c r="AX420" s="213">
        <f t="shared" si="35"/>
        <v>0</v>
      </c>
      <c r="AY420" s="214">
        <f t="shared" si="35"/>
        <v>0</v>
      </c>
      <c r="BA420" s="34" t="str">
        <f t="shared" ca="1" si="30"/>
        <v>VariantAllowances</v>
      </c>
      <c r="BB420" s="34" t="str">
        <f t="shared" si="28"/>
        <v>Variant allowances detailed calculation</v>
      </c>
      <c r="BC420" s="34" t="str">
        <f t="shared" si="29"/>
        <v>Variant allowances allocation to totex categories</v>
      </c>
    </row>
    <row r="421" spans="4:55" x14ac:dyDescent="0.35">
      <c r="D421" s="1">
        <f t="shared" si="24"/>
        <v>1</v>
      </c>
      <c r="E421" s="193" t="str">
        <f t="shared" si="25"/>
        <v>PCD_Glenmavis (Offtake) (SGN_Sc) / Full site and system rebuilds PCD (SGN)</v>
      </c>
      <c r="G421" s="33" t="str">
        <f t="shared" si="26"/>
        <v>£m 23/24 prices</v>
      </c>
      <c r="H421" s="33" t="s">
        <v>169</v>
      </c>
      <c r="AU421" s="166">
        <f t="shared" si="35"/>
        <v>0.34558229189582884</v>
      </c>
      <c r="AV421" s="38">
        <f t="shared" si="35"/>
        <v>2.0669559551177104</v>
      </c>
      <c r="AW421" s="38">
        <f t="shared" si="35"/>
        <v>3.0416843876523303</v>
      </c>
      <c r="AX421" s="38">
        <f t="shared" si="35"/>
        <v>0</v>
      </c>
      <c r="AY421" s="215">
        <f t="shared" si="35"/>
        <v>0</v>
      </c>
      <c r="BA421" s="34" t="str">
        <f t="shared" ca="1" si="30"/>
        <v>VariantAllowances</v>
      </c>
      <c r="BB421" s="34" t="str">
        <f t="shared" si="28"/>
        <v>Variant allowances detailed calculation</v>
      </c>
      <c r="BC421" s="34" t="str">
        <f t="shared" si="29"/>
        <v>Variant allowances allocation to totex categories</v>
      </c>
    </row>
    <row r="422" spans="4:55" x14ac:dyDescent="0.35">
      <c r="D422" s="1">
        <f t="shared" si="24"/>
        <v>1</v>
      </c>
      <c r="E422" s="193" t="str">
        <f t="shared" si="25"/>
        <v>PCD_Glenmavis (Offtake) (SGN_Sc) / Full site and system rebuilds PCD (SGN)</v>
      </c>
      <c r="G422" s="33" t="str">
        <f t="shared" si="26"/>
        <v>£m 23/24 prices</v>
      </c>
      <c r="H422" s="33" t="s">
        <v>170</v>
      </c>
      <c r="AU422" s="166">
        <f t="shared" si="35"/>
        <v>0</v>
      </c>
      <c r="AV422" s="38">
        <f t="shared" si="35"/>
        <v>0</v>
      </c>
      <c r="AW422" s="38">
        <f t="shared" si="35"/>
        <v>0</v>
      </c>
      <c r="AX422" s="38">
        <f t="shared" si="35"/>
        <v>0</v>
      </c>
      <c r="AY422" s="215">
        <f t="shared" si="35"/>
        <v>0</v>
      </c>
      <c r="BA422" s="34" t="str">
        <f t="shared" ca="1" si="30"/>
        <v>VariantAllowances</v>
      </c>
      <c r="BB422" s="34" t="str">
        <f t="shared" si="28"/>
        <v>Variant allowances detailed calculation</v>
      </c>
      <c r="BC422" s="34" t="str">
        <f t="shared" si="29"/>
        <v>Variant allowances allocation to totex categories</v>
      </c>
    </row>
    <row r="423" spans="4:55" x14ac:dyDescent="0.35">
      <c r="D423" s="1">
        <f t="shared" si="24"/>
        <v>1</v>
      </c>
      <c r="E423" s="193" t="str">
        <f t="shared" si="25"/>
        <v>PCD_Glenmavis (Offtake) (SGN_Sc) / Full site and system rebuilds PCD (SGN)</v>
      </c>
      <c r="G423" s="33" t="str">
        <f t="shared" si="26"/>
        <v>£m 23/24 prices</v>
      </c>
      <c r="H423" s="33" t="s">
        <v>171</v>
      </c>
      <c r="AU423" s="166">
        <f t="shared" si="35"/>
        <v>0</v>
      </c>
      <c r="AV423" s="38">
        <f t="shared" si="35"/>
        <v>0</v>
      </c>
      <c r="AW423" s="38">
        <f t="shared" si="35"/>
        <v>0</v>
      </c>
      <c r="AX423" s="38">
        <f t="shared" si="35"/>
        <v>0</v>
      </c>
      <c r="AY423" s="215">
        <f t="shared" si="35"/>
        <v>0</v>
      </c>
      <c r="BA423" s="34" t="str">
        <f t="shared" ca="1" si="30"/>
        <v>VariantAllowances</v>
      </c>
      <c r="BB423" s="34" t="str">
        <f t="shared" si="28"/>
        <v>Variant allowances detailed calculation</v>
      </c>
      <c r="BC423" s="34" t="str">
        <f t="shared" si="29"/>
        <v>Variant allowances allocation to totex categories</v>
      </c>
    </row>
    <row r="424" spans="4:55" x14ac:dyDescent="0.35">
      <c r="D424" s="1">
        <f t="shared" si="24"/>
        <v>1</v>
      </c>
      <c r="E424" s="195" t="str">
        <f t="shared" si="25"/>
        <v>PCD_Glenmavis (Offtake) (SGN_Sc) / Full site and system rebuilds PCD (SGN)</v>
      </c>
      <c r="F424" s="207"/>
      <c r="G424" s="196" t="str">
        <f t="shared" si="26"/>
        <v>£m 23/24 prices</v>
      </c>
      <c r="H424" s="196" t="s">
        <v>172</v>
      </c>
      <c r="I424" s="196"/>
      <c r="J424" s="196"/>
      <c r="K424" s="196"/>
      <c r="L424" s="196"/>
      <c r="M424" s="196"/>
      <c r="N424" s="196"/>
      <c r="O424" s="196"/>
      <c r="P424" s="196"/>
      <c r="Q424" s="196"/>
      <c r="R424" s="196"/>
      <c r="S424" s="196"/>
      <c r="T424" s="196"/>
      <c r="U424" s="196"/>
      <c r="V424" s="196"/>
      <c r="W424" s="196"/>
      <c r="X424" s="196"/>
      <c r="Y424" s="196"/>
      <c r="Z424" s="196"/>
      <c r="AA424" s="196"/>
      <c r="AB424" s="196"/>
      <c r="AC424" s="196"/>
      <c r="AD424" s="196"/>
      <c r="AE424" s="196"/>
      <c r="AF424" s="196"/>
      <c r="AG424" s="196"/>
      <c r="AH424" s="196"/>
      <c r="AI424" s="196"/>
      <c r="AJ424" s="196"/>
      <c r="AK424" s="196"/>
      <c r="AL424" s="196"/>
      <c r="AM424" s="196"/>
      <c r="AN424" s="196"/>
      <c r="AO424" s="196"/>
      <c r="AP424" s="196"/>
      <c r="AQ424" s="196"/>
      <c r="AR424" s="196"/>
      <c r="AS424" s="196"/>
      <c r="AT424" s="208"/>
      <c r="AU424" s="216">
        <f t="shared" si="35"/>
        <v>0</v>
      </c>
      <c r="AV424" s="217">
        <f t="shared" si="35"/>
        <v>0</v>
      </c>
      <c r="AW424" s="217">
        <f t="shared" si="35"/>
        <v>0</v>
      </c>
      <c r="AX424" s="217">
        <f t="shared" si="35"/>
        <v>0</v>
      </c>
      <c r="AY424" s="218">
        <f t="shared" si="35"/>
        <v>0</v>
      </c>
      <c r="BA424" s="34" t="str">
        <f t="shared" ca="1" si="30"/>
        <v>VariantAllowances</v>
      </c>
      <c r="BB424" s="34" t="str">
        <f t="shared" si="28"/>
        <v>Variant allowances detailed calculation</v>
      </c>
      <c r="BC424" s="34" t="str">
        <f t="shared" si="29"/>
        <v>Variant allowances allocation to totex categories</v>
      </c>
    </row>
    <row r="425" spans="4:55" x14ac:dyDescent="0.35">
      <c r="D425" s="1">
        <f t="shared" si="24"/>
        <v>1</v>
      </c>
      <c r="E425" s="187" t="str">
        <f t="shared" si="25"/>
        <v>PCD_Isle of Grain (SGN_So) / Full site and system rebuilds PCD (SGN)</v>
      </c>
      <c r="F425" s="201"/>
      <c r="G425" s="188" t="str">
        <f t="shared" si="26"/>
        <v>£m 23/24 prices</v>
      </c>
      <c r="H425" s="188" t="s">
        <v>168</v>
      </c>
      <c r="I425" s="188"/>
      <c r="J425" s="188"/>
      <c r="K425" s="188"/>
      <c r="L425" s="188"/>
      <c r="M425" s="188"/>
      <c r="N425" s="188"/>
      <c r="O425" s="188"/>
      <c r="P425" s="188"/>
      <c r="Q425" s="188"/>
      <c r="R425" s="188"/>
      <c r="S425" s="188"/>
      <c r="T425" s="188"/>
      <c r="U425" s="188"/>
      <c r="V425" s="188"/>
      <c r="W425" s="188"/>
      <c r="X425" s="188"/>
      <c r="Y425" s="188"/>
      <c r="Z425" s="188"/>
      <c r="AA425" s="188"/>
      <c r="AB425" s="188"/>
      <c r="AC425" s="188"/>
      <c r="AD425" s="188"/>
      <c r="AE425" s="188"/>
      <c r="AF425" s="188"/>
      <c r="AG425" s="188"/>
      <c r="AH425" s="188"/>
      <c r="AI425" s="188"/>
      <c r="AJ425" s="188"/>
      <c r="AK425" s="188"/>
      <c r="AL425" s="188"/>
      <c r="AM425" s="188"/>
      <c r="AN425" s="188"/>
      <c r="AO425" s="188"/>
      <c r="AP425" s="188"/>
      <c r="AQ425" s="188"/>
      <c r="AR425" s="188"/>
      <c r="AS425" s="188"/>
      <c r="AT425" s="202"/>
      <c r="AU425" s="212">
        <f t="shared" ref="AU425:AY434" si="36">INDEX(AU$8:AU$57,MATCH($E425,$E$8:$E$57,0))*AU172</f>
        <v>0</v>
      </c>
      <c r="AV425" s="213">
        <f t="shared" si="36"/>
        <v>0</v>
      </c>
      <c r="AW425" s="213">
        <f t="shared" si="36"/>
        <v>0</v>
      </c>
      <c r="AX425" s="213">
        <f t="shared" si="36"/>
        <v>0</v>
      </c>
      <c r="AY425" s="214">
        <f t="shared" si="36"/>
        <v>0</v>
      </c>
      <c r="BA425" s="34" t="str">
        <f t="shared" ca="1" si="30"/>
        <v>VariantAllowances</v>
      </c>
      <c r="BB425" s="34" t="str">
        <f t="shared" si="28"/>
        <v>Variant allowances detailed calculation</v>
      </c>
      <c r="BC425" s="34" t="str">
        <f t="shared" si="29"/>
        <v>Variant allowances allocation to totex categories</v>
      </c>
    </row>
    <row r="426" spans="4:55" x14ac:dyDescent="0.35">
      <c r="D426" s="1">
        <f t="shared" si="24"/>
        <v>1</v>
      </c>
      <c r="E426" s="193" t="str">
        <f t="shared" si="25"/>
        <v>PCD_Isle of Grain (SGN_So) / Full site and system rebuilds PCD (SGN)</v>
      </c>
      <c r="G426" s="33" t="str">
        <f t="shared" si="26"/>
        <v>£m 23/24 prices</v>
      </c>
      <c r="H426" s="33" t="s">
        <v>169</v>
      </c>
      <c r="AU426" s="166">
        <f t="shared" si="36"/>
        <v>0</v>
      </c>
      <c r="AV426" s="38">
        <f t="shared" si="36"/>
        <v>0</v>
      </c>
      <c r="AW426" s="38">
        <f t="shared" si="36"/>
        <v>0</v>
      </c>
      <c r="AX426" s="38">
        <f t="shared" si="36"/>
        <v>0</v>
      </c>
      <c r="AY426" s="215">
        <f t="shared" si="36"/>
        <v>0</v>
      </c>
      <c r="BA426" s="34" t="str">
        <f t="shared" ca="1" si="30"/>
        <v>VariantAllowances</v>
      </c>
      <c r="BB426" s="34" t="str">
        <f t="shared" si="28"/>
        <v>Variant allowances detailed calculation</v>
      </c>
      <c r="BC426" s="34" t="str">
        <f t="shared" si="29"/>
        <v>Variant allowances allocation to totex categories</v>
      </c>
    </row>
    <row r="427" spans="4:55" x14ac:dyDescent="0.35">
      <c r="D427" s="1">
        <f t="shared" si="24"/>
        <v>1</v>
      </c>
      <c r="E427" s="193" t="str">
        <f t="shared" si="25"/>
        <v>PCD_Isle of Grain (SGN_So) / Full site and system rebuilds PCD (SGN)</v>
      </c>
      <c r="G427" s="33" t="str">
        <f t="shared" si="26"/>
        <v>£m 23/24 prices</v>
      </c>
      <c r="H427" s="33" t="s">
        <v>170</v>
      </c>
      <c r="AU427" s="166">
        <f t="shared" si="36"/>
        <v>0</v>
      </c>
      <c r="AV427" s="38">
        <f t="shared" si="36"/>
        <v>0</v>
      </c>
      <c r="AW427" s="38">
        <f t="shared" si="36"/>
        <v>0</v>
      </c>
      <c r="AX427" s="38">
        <f t="shared" si="36"/>
        <v>0</v>
      </c>
      <c r="AY427" s="215">
        <f t="shared" si="36"/>
        <v>0</v>
      </c>
      <c r="BA427" s="34" t="str">
        <f t="shared" ca="1" si="30"/>
        <v>VariantAllowances</v>
      </c>
      <c r="BB427" s="34" t="str">
        <f t="shared" si="28"/>
        <v>Variant allowances detailed calculation</v>
      </c>
      <c r="BC427" s="34" t="str">
        <f t="shared" si="29"/>
        <v>Variant allowances allocation to totex categories</v>
      </c>
    </row>
    <row r="428" spans="4:55" x14ac:dyDescent="0.35">
      <c r="D428" s="1">
        <f t="shared" si="24"/>
        <v>1</v>
      </c>
      <c r="E428" s="193" t="str">
        <f t="shared" si="25"/>
        <v>PCD_Isle of Grain (SGN_So) / Full site and system rebuilds PCD (SGN)</v>
      </c>
      <c r="G428" s="33" t="str">
        <f t="shared" si="26"/>
        <v>£m 23/24 prices</v>
      </c>
      <c r="H428" s="33" t="s">
        <v>171</v>
      </c>
      <c r="AU428" s="166">
        <f t="shared" si="36"/>
        <v>0</v>
      </c>
      <c r="AV428" s="38">
        <f t="shared" si="36"/>
        <v>0</v>
      </c>
      <c r="AW428" s="38">
        <f t="shared" si="36"/>
        <v>0</v>
      </c>
      <c r="AX428" s="38">
        <f t="shared" si="36"/>
        <v>0</v>
      </c>
      <c r="AY428" s="215">
        <f t="shared" si="36"/>
        <v>0</v>
      </c>
      <c r="BA428" s="34" t="str">
        <f t="shared" ca="1" si="30"/>
        <v>VariantAllowances</v>
      </c>
      <c r="BB428" s="34" t="str">
        <f t="shared" si="28"/>
        <v>Variant allowances detailed calculation</v>
      </c>
      <c r="BC428" s="34" t="str">
        <f t="shared" si="29"/>
        <v>Variant allowances allocation to totex categories</v>
      </c>
    </row>
    <row r="429" spans="4:55" x14ac:dyDescent="0.35">
      <c r="D429" s="1">
        <f t="shared" ref="D429:D492" si="37">INDEX($AY$60:$AY$109,MATCH(E429,$E$60:$E$109,0))</f>
        <v>1</v>
      </c>
      <c r="E429" s="195" t="str">
        <f t="shared" ref="E429:E492" si="38">E176</f>
        <v>PCD_Isle of Grain (SGN_So) / Full site and system rebuilds PCD (SGN)</v>
      </c>
      <c r="F429" s="207"/>
      <c r="G429" s="196" t="str">
        <f t="shared" si="26"/>
        <v>£m 23/24 prices</v>
      </c>
      <c r="H429" s="196" t="s">
        <v>172</v>
      </c>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208"/>
      <c r="AU429" s="216">
        <f t="shared" si="36"/>
        <v>0</v>
      </c>
      <c r="AV429" s="217">
        <f t="shared" si="36"/>
        <v>0</v>
      </c>
      <c r="AW429" s="217">
        <f t="shared" si="36"/>
        <v>0</v>
      </c>
      <c r="AX429" s="217">
        <f t="shared" si="36"/>
        <v>0</v>
      </c>
      <c r="AY429" s="218">
        <f t="shared" si="36"/>
        <v>0</v>
      </c>
      <c r="BA429" s="34" t="str">
        <f t="shared" ca="1" si="30"/>
        <v>VariantAllowances</v>
      </c>
      <c r="BB429" s="34" t="str">
        <f t="shared" si="28"/>
        <v>Variant allowances detailed calculation</v>
      </c>
      <c r="BC429" s="34" t="str">
        <f t="shared" si="29"/>
        <v>Variant allowances allocation to totex categories</v>
      </c>
    </row>
    <row r="430" spans="4:55" x14ac:dyDescent="0.35">
      <c r="D430" s="1">
        <f t="shared" si="37"/>
        <v>1</v>
      </c>
      <c r="E430" s="187" t="str">
        <f t="shared" si="38"/>
        <v>PCD_EVs  / Operational Transport Emissions Reduction PCD</v>
      </c>
      <c r="F430" s="201"/>
      <c r="G430" s="188" t="str">
        <f t="shared" si="26"/>
        <v>£m 23/24 prices</v>
      </c>
      <c r="H430" s="188" t="s">
        <v>168</v>
      </c>
      <c r="I430" s="188"/>
      <c r="J430" s="188"/>
      <c r="K430" s="188"/>
      <c r="L430" s="188"/>
      <c r="M430" s="188"/>
      <c r="N430" s="188"/>
      <c r="O430" s="188"/>
      <c r="P430" s="188"/>
      <c r="Q430" s="188"/>
      <c r="R430" s="188"/>
      <c r="S430" s="188"/>
      <c r="T430" s="188"/>
      <c r="U430" s="188"/>
      <c r="V430" s="188"/>
      <c r="W430" s="188"/>
      <c r="X430" s="188"/>
      <c r="Y430" s="188"/>
      <c r="Z430" s="188"/>
      <c r="AA430" s="188"/>
      <c r="AB430" s="188"/>
      <c r="AC430" s="188"/>
      <c r="AD430" s="188"/>
      <c r="AE430" s="188"/>
      <c r="AF430" s="188"/>
      <c r="AG430" s="188"/>
      <c r="AH430" s="188"/>
      <c r="AI430" s="188"/>
      <c r="AJ430" s="188"/>
      <c r="AK430" s="188"/>
      <c r="AL430" s="188"/>
      <c r="AM430" s="188"/>
      <c r="AN430" s="188"/>
      <c r="AO430" s="188"/>
      <c r="AP430" s="188"/>
      <c r="AQ430" s="188"/>
      <c r="AR430" s="188"/>
      <c r="AS430" s="188"/>
      <c r="AT430" s="202"/>
      <c r="AU430" s="212">
        <f t="shared" si="36"/>
        <v>0</v>
      </c>
      <c r="AV430" s="213">
        <f t="shared" si="36"/>
        <v>0</v>
      </c>
      <c r="AW430" s="213">
        <f t="shared" si="36"/>
        <v>0</v>
      </c>
      <c r="AX430" s="213">
        <f t="shared" si="36"/>
        <v>0</v>
      </c>
      <c r="AY430" s="214">
        <f t="shared" si="36"/>
        <v>0</v>
      </c>
      <c r="BA430" s="34" t="str">
        <f t="shared" ca="1" si="30"/>
        <v>VariantAllowances</v>
      </c>
      <c r="BB430" s="34" t="str">
        <f t="shared" si="28"/>
        <v>Variant allowances detailed calculation</v>
      </c>
      <c r="BC430" s="34" t="str">
        <f t="shared" si="29"/>
        <v>Variant allowances allocation to totex categories</v>
      </c>
    </row>
    <row r="431" spans="4:55" x14ac:dyDescent="0.35">
      <c r="D431" s="1">
        <f t="shared" si="37"/>
        <v>1</v>
      </c>
      <c r="E431" s="193" t="str">
        <f t="shared" si="38"/>
        <v>PCD_EVs  / Operational Transport Emissions Reduction PCD</v>
      </c>
      <c r="G431" s="33" t="str">
        <f t="shared" si="26"/>
        <v>£m 23/24 prices</v>
      </c>
      <c r="H431" s="33" t="s">
        <v>169</v>
      </c>
      <c r="AU431" s="166">
        <f t="shared" si="36"/>
        <v>0</v>
      </c>
      <c r="AV431" s="38">
        <f t="shared" si="36"/>
        <v>0</v>
      </c>
      <c r="AW431" s="38">
        <f t="shared" si="36"/>
        <v>0</v>
      </c>
      <c r="AX431" s="38">
        <f t="shared" si="36"/>
        <v>0</v>
      </c>
      <c r="AY431" s="215">
        <f t="shared" si="36"/>
        <v>0</v>
      </c>
      <c r="BA431" s="34" t="str">
        <f t="shared" ca="1" si="30"/>
        <v>VariantAllowances</v>
      </c>
      <c r="BB431" s="34" t="str">
        <f t="shared" si="28"/>
        <v>Variant allowances detailed calculation</v>
      </c>
      <c r="BC431" s="34" t="str">
        <f t="shared" si="29"/>
        <v>Variant allowances allocation to totex categories</v>
      </c>
    </row>
    <row r="432" spans="4:55" x14ac:dyDescent="0.35">
      <c r="D432" s="1">
        <f t="shared" si="37"/>
        <v>1</v>
      </c>
      <c r="E432" s="193" t="str">
        <f t="shared" si="38"/>
        <v>PCD_EVs  / Operational Transport Emissions Reduction PCD</v>
      </c>
      <c r="G432" s="33" t="str">
        <f t="shared" si="26"/>
        <v>£m 23/24 prices</v>
      </c>
      <c r="H432" s="33" t="s">
        <v>170</v>
      </c>
      <c r="AU432" s="166">
        <f t="shared" si="36"/>
        <v>0</v>
      </c>
      <c r="AV432" s="38">
        <f t="shared" si="36"/>
        <v>0</v>
      </c>
      <c r="AW432" s="38">
        <f t="shared" si="36"/>
        <v>0</v>
      </c>
      <c r="AX432" s="38">
        <f t="shared" si="36"/>
        <v>0</v>
      </c>
      <c r="AY432" s="215">
        <f t="shared" si="36"/>
        <v>0</v>
      </c>
      <c r="BA432" s="34" t="str">
        <f t="shared" ca="1" si="30"/>
        <v>VariantAllowances</v>
      </c>
      <c r="BB432" s="34" t="str">
        <f t="shared" si="28"/>
        <v>Variant allowances detailed calculation</v>
      </c>
      <c r="BC432" s="34" t="str">
        <f t="shared" si="29"/>
        <v>Variant allowances allocation to totex categories</v>
      </c>
    </row>
    <row r="433" spans="4:55" x14ac:dyDescent="0.35">
      <c r="D433" s="1">
        <f t="shared" si="37"/>
        <v>1</v>
      </c>
      <c r="E433" s="193" t="str">
        <f t="shared" si="38"/>
        <v>PCD_EVs  / Operational Transport Emissions Reduction PCD</v>
      </c>
      <c r="G433" s="33" t="str">
        <f t="shared" si="26"/>
        <v>£m 23/24 prices</v>
      </c>
      <c r="H433" s="33" t="s">
        <v>171</v>
      </c>
      <c r="AU433" s="166">
        <f t="shared" si="36"/>
        <v>0.56746966716000002</v>
      </c>
      <c r="AV433" s="38">
        <f t="shared" si="36"/>
        <v>0.63864265128840003</v>
      </c>
      <c r="AW433" s="38">
        <f t="shared" si="36"/>
        <v>0.7083354287675161</v>
      </c>
      <c r="AX433" s="38">
        <f t="shared" si="36"/>
        <v>0.77657048643192095</v>
      </c>
      <c r="AY433" s="215">
        <f t="shared" si="36"/>
        <v>0.84337000940016082</v>
      </c>
      <c r="BA433" s="34" t="str">
        <f t="shared" ca="1" si="30"/>
        <v>VariantAllowances</v>
      </c>
      <c r="BB433" s="34" t="str">
        <f t="shared" si="28"/>
        <v>Variant allowances detailed calculation</v>
      </c>
      <c r="BC433" s="34" t="str">
        <f t="shared" si="29"/>
        <v>Variant allowances allocation to totex categories</v>
      </c>
    </row>
    <row r="434" spans="4:55" x14ac:dyDescent="0.35">
      <c r="D434" s="1">
        <f t="shared" si="37"/>
        <v>1</v>
      </c>
      <c r="E434" s="195" t="str">
        <f t="shared" si="38"/>
        <v>PCD_EVs  / Operational Transport Emissions Reduction PCD</v>
      </c>
      <c r="F434" s="207"/>
      <c r="G434" s="196" t="str">
        <f t="shared" si="26"/>
        <v>£m 23/24 prices</v>
      </c>
      <c r="H434" s="196" t="s">
        <v>172</v>
      </c>
      <c r="I434" s="196"/>
      <c r="J434" s="196"/>
      <c r="K434" s="196"/>
      <c r="L434" s="196"/>
      <c r="M434" s="196"/>
      <c r="N434" s="196"/>
      <c r="O434" s="196"/>
      <c r="P434" s="196"/>
      <c r="Q434" s="196"/>
      <c r="R434" s="196"/>
      <c r="S434" s="196"/>
      <c r="T434" s="196"/>
      <c r="U434" s="196"/>
      <c r="V434" s="196"/>
      <c r="W434" s="196"/>
      <c r="X434" s="196"/>
      <c r="Y434" s="196"/>
      <c r="Z434" s="196"/>
      <c r="AA434" s="196"/>
      <c r="AB434" s="196"/>
      <c r="AC434" s="196"/>
      <c r="AD434" s="196"/>
      <c r="AE434" s="196"/>
      <c r="AF434" s="196"/>
      <c r="AG434" s="196"/>
      <c r="AH434" s="196"/>
      <c r="AI434" s="196"/>
      <c r="AJ434" s="196"/>
      <c r="AK434" s="196"/>
      <c r="AL434" s="196"/>
      <c r="AM434" s="196"/>
      <c r="AN434" s="196"/>
      <c r="AO434" s="196"/>
      <c r="AP434" s="196"/>
      <c r="AQ434" s="196"/>
      <c r="AR434" s="196"/>
      <c r="AS434" s="196"/>
      <c r="AT434" s="208"/>
      <c r="AU434" s="216">
        <f t="shared" si="36"/>
        <v>0</v>
      </c>
      <c r="AV434" s="217">
        <f t="shared" si="36"/>
        <v>0</v>
      </c>
      <c r="AW434" s="217">
        <f t="shared" si="36"/>
        <v>0</v>
      </c>
      <c r="AX434" s="217">
        <f t="shared" si="36"/>
        <v>0</v>
      </c>
      <c r="AY434" s="218">
        <f t="shared" si="36"/>
        <v>0</v>
      </c>
      <c r="BA434" s="34" t="str">
        <f t="shared" ca="1" si="30"/>
        <v>VariantAllowances</v>
      </c>
      <c r="BB434" s="34" t="str">
        <f t="shared" si="28"/>
        <v>Variant allowances detailed calculation</v>
      </c>
      <c r="BC434" s="34" t="str">
        <f t="shared" si="29"/>
        <v>Variant allowances allocation to totex categories</v>
      </c>
    </row>
    <row r="435" spans="4:55" x14ac:dyDescent="0.35">
      <c r="D435" s="1">
        <f t="shared" si="37"/>
        <v>1</v>
      </c>
      <c r="E435" s="187" t="str">
        <f t="shared" si="38"/>
        <v>PCD_South London Mains (SGN_So)</v>
      </c>
      <c r="F435" s="201"/>
      <c r="G435" s="188" t="str">
        <f t="shared" si="26"/>
        <v>£m 23/24 prices</v>
      </c>
      <c r="H435" s="188" t="s">
        <v>168</v>
      </c>
      <c r="I435" s="188"/>
      <c r="J435" s="188"/>
      <c r="K435" s="188"/>
      <c r="L435" s="188"/>
      <c r="M435" s="188"/>
      <c r="N435" s="188"/>
      <c r="O435" s="188"/>
      <c r="P435" s="188"/>
      <c r="Q435" s="188"/>
      <c r="R435" s="188"/>
      <c r="S435" s="188"/>
      <c r="T435" s="188"/>
      <c r="U435" s="188"/>
      <c r="V435" s="188"/>
      <c r="W435" s="188"/>
      <c r="X435" s="188"/>
      <c r="Y435" s="188"/>
      <c r="Z435" s="188"/>
      <c r="AA435" s="188"/>
      <c r="AB435" s="188"/>
      <c r="AC435" s="188"/>
      <c r="AD435" s="188"/>
      <c r="AE435" s="188"/>
      <c r="AF435" s="188"/>
      <c r="AG435" s="188"/>
      <c r="AH435" s="188"/>
      <c r="AI435" s="188"/>
      <c r="AJ435" s="188"/>
      <c r="AK435" s="188"/>
      <c r="AL435" s="188"/>
      <c r="AM435" s="188"/>
      <c r="AN435" s="188"/>
      <c r="AO435" s="188"/>
      <c r="AP435" s="188"/>
      <c r="AQ435" s="188"/>
      <c r="AR435" s="188"/>
      <c r="AS435" s="188"/>
      <c r="AT435" s="202"/>
      <c r="AU435" s="212">
        <f t="shared" ref="AU435:AY444" si="39">INDEX(AU$8:AU$57,MATCH($E435,$E$8:$E$57,0))*AU182</f>
        <v>0</v>
      </c>
      <c r="AV435" s="213">
        <f t="shared" si="39"/>
        <v>0</v>
      </c>
      <c r="AW435" s="213">
        <f t="shared" si="39"/>
        <v>0</v>
      </c>
      <c r="AX435" s="213">
        <f t="shared" si="39"/>
        <v>0</v>
      </c>
      <c r="AY435" s="214">
        <f t="shared" si="39"/>
        <v>0</v>
      </c>
      <c r="BA435" s="34" t="str">
        <f t="shared" ca="1" si="30"/>
        <v>VariantAllowances</v>
      </c>
      <c r="BB435" s="34" t="str">
        <f t="shared" si="28"/>
        <v>Variant allowances detailed calculation</v>
      </c>
      <c r="BC435" s="34" t="str">
        <f t="shared" si="29"/>
        <v>Variant allowances allocation to totex categories</v>
      </c>
    </row>
    <row r="436" spans="4:55" x14ac:dyDescent="0.35">
      <c r="D436" s="1">
        <f t="shared" si="37"/>
        <v>1</v>
      </c>
      <c r="E436" s="193" t="str">
        <f t="shared" si="38"/>
        <v>PCD_South London Mains (SGN_So)</v>
      </c>
      <c r="G436" s="33" t="str">
        <f t="shared" si="26"/>
        <v>£m 23/24 prices</v>
      </c>
      <c r="H436" s="33" t="s">
        <v>169</v>
      </c>
      <c r="AU436" s="166">
        <f t="shared" si="39"/>
        <v>0</v>
      </c>
      <c r="AV436" s="38">
        <f t="shared" si="39"/>
        <v>0</v>
      </c>
      <c r="AW436" s="38">
        <f t="shared" si="39"/>
        <v>0</v>
      </c>
      <c r="AX436" s="38">
        <f t="shared" si="39"/>
        <v>0</v>
      </c>
      <c r="AY436" s="215">
        <f t="shared" si="39"/>
        <v>0</v>
      </c>
      <c r="BA436" s="34" t="str">
        <f t="shared" ca="1" si="30"/>
        <v>VariantAllowances</v>
      </c>
      <c r="BB436" s="34" t="str">
        <f t="shared" si="28"/>
        <v>Variant allowances detailed calculation</v>
      </c>
      <c r="BC436" s="34" t="str">
        <f t="shared" si="29"/>
        <v>Variant allowances allocation to totex categories</v>
      </c>
    </row>
    <row r="437" spans="4:55" x14ac:dyDescent="0.35">
      <c r="D437" s="1">
        <f t="shared" si="37"/>
        <v>1</v>
      </c>
      <c r="E437" s="193" t="str">
        <f t="shared" si="38"/>
        <v>PCD_South London Mains (SGN_So)</v>
      </c>
      <c r="G437" s="33" t="str">
        <f t="shared" si="26"/>
        <v>£m 23/24 prices</v>
      </c>
      <c r="H437" s="33" t="s">
        <v>170</v>
      </c>
      <c r="AU437" s="166">
        <f t="shared" si="39"/>
        <v>0</v>
      </c>
      <c r="AV437" s="38">
        <f t="shared" si="39"/>
        <v>0</v>
      </c>
      <c r="AW437" s="38">
        <f t="shared" si="39"/>
        <v>0</v>
      </c>
      <c r="AX437" s="38">
        <f t="shared" si="39"/>
        <v>0</v>
      </c>
      <c r="AY437" s="215">
        <f t="shared" si="39"/>
        <v>0</v>
      </c>
      <c r="BA437" s="34" t="str">
        <f t="shared" ca="1" si="30"/>
        <v>VariantAllowances</v>
      </c>
      <c r="BB437" s="34" t="str">
        <f t="shared" si="28"/>
        <v>Variant allowances detailed calculation</v>
      </c>
      <c r="BC437" s="34" t="str">
        <f t="shared" si="29"/>
        <v>Variant allowances allocation to totex categories</v>
      </c>
    </row>
    <row r="438" spans="4:55" x14ac:dyDescent="0.35">
      <c r="D438" s="1">
        <f t="shared" si="37"/>
        <v>1</v>
      </c>
      <c r="E438" s="193" t="str">
        <f t="shared" si="38"/>
        <v>PCD_South London Mains (SGN_So)</v>
      </c>
      <c r="G438" s="33" t="str">
        <f t="shared" si="26"/>
        <v>£m 23/24 prices</v>
      </c>
      <c r="H438" s="33" t="s">
        <v>171</v>
      </c>
      <c r="AU438" s="166">
        <f t="shared" si="39"/>
        <v>0</v>
      </c>
      <c r="AV438" s="38">
        <f t="shared" si="39"/>
        <v>0</v>
      </c>
      <c r="AW438" s="38">
        <f t="shared" si="39"/>
        <v>0</v>
      </c>
      <c r="AX438" s="38">
        <f t="shared" si="39"/>
        <v>0</v>
      </c>
      <c r="AY438" s="215">
        <f t="shared" si="39"/>
        <v>0</v>
      </c>
      <c r="BA438" s="34" t="str">
        <f t="shared" ca="1" si="30"/>
        <v>VariantAllowances</v>
      </c>
      <c r="BB438" s="34" t="str">
        <f t="shared" si="28"/>
        <v>Variant allowances detailed calculation</v>
      </c>
      <c r="BC438" s="34" t="str">
        <f t="shared" si="29"/>
        <v>Variant allowances allocation to totex categories</v>
      </c>
    </row>
    <row r="439" spans="4:55" x14ac:dyDescent="0.35">
      <c r="D439" s="1">
        <f t="shared" si="37"/>
        <v>1</v>
      </c>
      <c r="E439" s="195" t="str">
        <f t="shared" si="38"/>
        <v>PCD_South London Mains (SGN_So)</v>
      </c>
      <c r="F439" s="207"/>
      <c r="G439" s="196" t="str">
        <f t="shared" si="26"/>
        <v>£m 23/24 prices</v>
      </c>
      <c r="H439" s="196" t="s">
        <v>172</v>
      </c>
      <c r="I439" s="196"/>
      <c r="J439" s="196"/>
      <c r="K439" s="196"/>
      <c r="L439" s="196"/>
      <c r="M439" s="196"/>
      <c r="N439" s="196"/>
      <c r="O439" s="196"/>
      <c r="P439" s="196"/>
      <c r="Q439" s="196"/>
      <c r="R439" s="196"/>
      <c r="S439" s="196"/>
      <c r="T439" s="196"/>
      <c r="U439" s="196"/>
      <c r="V439" s="196"/>
      <c r="W439" s="196"/>
      <c r="X439" s="196"/>
      <c r="Y439" s="196"/>
      <c r="Z439" s="196"/>
      <c r="AA439" s="196"/>
      <c r="AB439" s="196"/>
      <c r="AC439" s="196"/>
      <c r="AD439" s="196"/>
      <c r="AE439" s="196"/>
      <c r="AF439" s="196"/>
      <c r="AG439" s="196"/>
      <c r="AH439" s="196"/>
      <c r="AI439" s="196"/>
      <c r="AJ439" s="196"/>
      <c r="AK439" s="196"/>
      <c r="AL439" s="196"/>
      <c r="AM439" s="196"/>
      <c r="AN439" s="196"/>
      <c r="AO439" s="196"/>
      <c r="AP439" s="196"/>
      <c r="AQ439" s="196"/>
      <c r="AR439" s="196"/>
      <c r="AS439" s="196"/>
      <c r="AT439" s="208"/>
      <c r="AU439" s="216">
        <f t="shared" si="39"/>
        <v>0</v>
      </c>
      <c r="AV439" s="217">
        <f t="shared" si="39"/>
        <v>0</v>
      </c>
      <c r="AW439" s="217">
        <f t="shared" si="39"/>
        <v>0</v>
      </c>
      <c r="AX439" s="217">
        <f t="shared" si="39"/>
        <v>0</v>
      </c>
      <c r="AY439" s="218">
        <f t="shared" si="39"/>
        <v>0</v>
      </c>
      <c r="BA439" s="34" t="str">
        <f t="shared" ca="1" si="30"/>
        <v>VariantAllowances</v>
      </c>
      <c r="BB439" s="34" t="str">
        <f t="shared" si="28"/>
        <v>Variant allowances detailed calculation</v>
      </c>
      <c r="BC439" s="34" t="str">
        <f t="shared" si="29"/>
        <v>Variant allowances allocation to totex categories</v>
      </c>
    </row>
    <row r="440" spans="4:55" x14ac:dyDescent="0.35">
      <c r="D440" s="1">
        <f t="shared" si="37"/>
        <v>1</v>
      </c>
      <c r="E440" s="187" t="str">
        <f t="shared" si="38"/>
        <v>PCD_WWU.7 - HS007 (WWU_WWU) / Pipeline Replacements PCD (WWU)</v>
      </c>
      <c r="F440" s="201"/>
      <c r="G440" s="188" t="str">
        <f t="shared" si="26"/>
        <v>£m 23/24 prices</v>
      </c>
      <c r="H440" s="188" t="s">
        <v>168</v>
      </c>
      <c r="I440" s="188"/>
      <c r="J440" s="188"/>
      <c r="K440" s="188"/>
      <c r="L440" s="188"/>
      <c r="M440" s="188"/>
      <c r="N440" s="188"/>
      <c r="O440" s="188"/>
      <c r="P440" s="188"/>
      <c r="Q440" s="188"/>
      <c r="R440" s="188"/>
      <c r="S440" s="188"/>
      <c r="T440" s="188"/>
      <c r="U440" s="188"/>
      <c r="V440" s="188"/>
      <c r="W440" s="188"/>
      <c r="X440" s="188"/>
      <c r="Y440" s="188"/>
      <c r="Z440" s="188"/>
      <c r="AA440" s="188"/>
      <c r="AB440" s="188"/>
      <c r="AC440" s="188"/>
      <c r="AD440" s="188"/>
      <c r="AE440" s="188"/>
      <c r="AF440" s="188"/>
      <c r="AG440" s="188"/>
      <c r="AH440" s="188"/>
      <c r="AI440" s="188"/>
      <c r="AJ440" s="188"/>
      <c r="AK440" s="188"/>
      <c r="AL440" s="188"/>
      <c r="AM440" s="188"/>
      <c r="AN440" s="188"/>
      <c r="AO440" s="188"/>
      <c r="AP440" s="188"/>
      <c r="AQ440" s="188"/>
      <c r="AR440" s="188"/>
      <c r="AS440" s="188"/>
      <c r="AT440" s="202"/>
      <c r="AU440" s="212">
        <f t="shared" si="39"/>
        <v>0</v>
      </c>
      <c r="AV440" s="213">
        <f t="shared" si="39"/>
        <v>0</v>
      </c>
      <c r="AW440" s="213">
        <f t="shared" si="39"/>
        <v>0</v>
      </c>
      <c r="AX440" s="213">
        <f t="shared" si="39"/>
        <v>0</v>
      </c>
      <c r="AY440" s="214">
        <f t="shared" si="39"/>
        <v>0</v>
      </c>
      <c r="BA440" s="34" t="str">
        <f t="shared" ca="1" si="30"/>
        <v>VariantAllowances</v>
      </c>
      <c r="BB440" s="34" t="str">
        <f t="shared" si="28"/>
        <v>Variant allowances detailed calculation</v>
      </c>
      <c r="BC440" s="34" t="str">
        <f t="shared" si="29"/>
        <v>Variant allowances allocation to totex categories</v>
      </c>
    </row>
    <row r="441" spans="4:55" x14ac:dyDescent="0.35">
      <c r="D441" s="1">
        <f t="shared" si="37"/>
        <v>1</v>
      </c>
      <c r="E441" s="193" t="str">
        <f t="shared" si="38"/>
        <v>PCD_WWU.7 - HS007 (WWU_WWU) / Pipeline Replacements PCD (WWU)</v>
      </c>
      <c r="G441" s="33" t="str">
        <f t="shared" si="26"/>
        <v>£m 23/24 prices</v>
      </c>
      <c r="H441" s="33" t="s">
        <v>169</v>
      </c>
      <c r="AU441" s="166">
        <f t="shared" si="39"/>
        <v>0</v>
      </c>
      <c r="AV441" s="38">
        <f t="shared" si="39"/>
        <v>0</v>
      </c>
      <c r="AW441" s="38">
        <f t="shared" si="39"/>
        <v>0</v>
      </c>
      <c r="AX441" s="38">
        <f t="shared" si="39"/>
        <v>0</v>
      </c>
      <c r="AY441" s="215">
        <f t="shared" si="39"/>
        <v>0</v>
      </c>
      <c r="BA441" s="34" t="str">
        <f t="shared" ca="1" si="30"/>
        <v>VariantAllowances</v>
      </c>
      <c r="BB441" s="34" t="str">
        <f t="shared" si="28"/>
        <v>Variant allowances detailed calculation</v>
      </c>
      <c r="BC441" s="34" t="str">
        <f t="shared" si="29"/>
        <v>Variant allowances allocation to totex categories</v>
      </c>
    </row>
    <row r="442" spans="4:55" x14ac:dyDescent="0.35">
      <c r="D442" s="1">
        <f t="shared" si="37"/>
        <v>1</v>
      </c>
      <c r="E442" s="193" t="str">
        <f t="shared" si="38"/>
        <v>PCD_WWU.7 - HS007 (WWU_WWU) / Pipeline Replacements PCD (WWU)</v>
      </c>
      <c r="G442" s="33" t="str">
        <f t="shared" si="26"/>
        <v>£m 23/24 prices</v>
      </c>
      <c r="H442" s="33" t="s">
        <v>170</v>
      </c>
      <c r="AU442" s="166">
        <f t="shared" si="39"/>
        <v>0</v>
      </c>
      <c r="AV442" s="38">
        <f t="shared" si="39"/>
        <v>0</v>
      </c>
      <c r="AW442" s="38">
        <f t="shared" si="39"/>
        <v>0</v>
      </c>
      <c r="AX442" s="38">
        <f t="shared" si="39"/>
        <v>0</v>
      </c>
      <c r="AY442" s="215">
        <f t="shared" si="39"/>
        <v>0</v>
      </c>
      <c r="BA442" s="34" t="str">
        <f t="shared" ca="1" si="30"/>
        <v>VariantAllowances</v>
      </c>
      <c r="BB442" s="34" t="str">
        <f t="shared" si="28"/>
        <v>Variant allowances detailed calculation</v>
      </c>
      <c r="BC442" s="34" t="str">
        <f t="shared" si="29"/>
        <v>Variant allowances allocation to totex categories</v>
      </c>
    </row>
    <row r="443" spans="4:55" x14ac:dyDescent="0.35">
      <c r="D443" s="1">
        <f t="shared" si="37"/>
        <v>1</v>
      </c>
      <c r="E443" s="193" t="str">
        <f t="shared" si="38"/>
        <v>PCD_WWU.7 - HS007 (WWU_WWU) / Pipeline Replacements PCD (WWU)</v>
      </c>
      <c r="G443" s="33" t="str">
        <f t="shared" si="26"/>
        <v>£m 23/24 prices</v>
      </c>
      <c r="H443" s="33" t="s">
        <v>171</v>
      </c>
      <c r="AU443" s="166">
        <f t="shared" si="39"/>
        <v>0</v>
      </c>
      <c r="AV443" s="38">
        <f t="shared" si="39"/>
        <v>0</v>
      </c>
      <c r="AW443" s="38">
        <f t="shared" si="39"/>
        <v>0</v>
      </c>
      <c r="AX443" s="38">
        <f t="shared" si="39"/>
        <v>0</v>
      </c>
      <c r="AY443" s="215">
        <f t="shared" si="39"/>
        <v>0</v>
      </c>
      <c r="BA443" s="34" t="str">
        <f t="shared" ca="1" si="30"/>
        <v>VariantAllowances</v>
      </c>
      <c r="BB443" s="34" t="str">
        <f t="shared" si="28"/>
        <v>Variant allowances detailed calculation</v>
      </c>
      <c r="BC443" s="34" t="str">
        <f t="shared" si="29"/>
        <v>Variant allowances allocation to totex categories</v>
      </c>
    </row>
    <row r="444" spans="4:55" x14ac:dyDescent="0.35">
      <c r="D444" s="1">
        <f t="shared" si="37"/>
        <v>1</v>
      </c>
      <c r="E444" s="195" t="str">
        <f t="shared" si="38"/>
        <v>PCD_WWU.7 - HS007 (WWU_WWU) / Pipeline Replacements PCD (WWU)</v>
      </c>
      <c r="F444" s="207"/>
      <c r="G444" s="196" t="str">
        <f t="shared" si="26"/>
        <v>£m 23/24 prices</v>
      </c>
      <c r="H444" s="196" t="s">
        <v>172</v>
      </c>
      <c r="I444" s="196"/>
      <c r="J444" s="196"/>
      <c r="K444" s="196"/>
      <c r="L444" s="196"/>
      <c r="M444" s="196"/>
      <c r="N444" s="196"/>
      <c r="O444" s="196"/>
      <c r="P444" s="196"/>
      <c r="Q444" s="196"/>
      <c r="R444" s="196"/>
      <c r="S444" s="196"/>
      <c r="T444" s="196"/>
      <c r="U444" s="196"/>
      <c r="V444" s="196"/>
      <c r="W444" s="196"/>
      <c r="X444" s="196"/>
      <c r="Y444" s="196"/>
      <c r="Z444" s="196"/>
      <c r="AA444" s="196"/>
      <c r="AB444" s="196"/>
      <c r="AC444" s="196"/>
      <c r="AD444" s="196"/>
      <c r="AE444" s="196"/>
      <c r="AF444" s="196"/>
      <c r="AG444" s="196"/>
      <c r="AH444" s="196"/>
      <c r="AI444" s="196"/>
      <c r="AJ444" s="196"/>
      <c r="AK444" s="196"/>
      <c r="AL444" s="196"/>
      <c r="AM444" s="196"/>
      <c r="AN444" s="196"/>
      <c r="AO444" s="196"/>
      <c r="AP444" s="196"/>
      <c r="AQ444" s="196"/>
      <c r="AR444" s="196"/>
      <c r="AS444" s="196"/>
      <c r="AT444" s="208"/>
      <c r="AU444" s="216">
        <f t="shared" si="39"/>
        <v>0</v>
      </c>
      <c r="AV444" s="217">
        <f t="shared" si="39"/>
        <v>0</v>
      </c>
      <c r="AW444" s="217">
        <f t="shared" si="39"/>
        <v>0</v>
      </c>
      <c r="AX444" s="217">
        <f t="shared" si="39"/>
        <v>0</v>
      </c>
      <c r="AY444" s="218">
        <f t="shared" si="39"/>
        <v>0</v>
      </c>
      <c r="BA444" s="34" t="str">
        <f t="shared" ca="1" si="30"/>
        <v>VariantAllowances</v>
      </c>
      <c r="BB444" s="34" t="str">
        <f t="shared" si="28"/>
        <v>Variant allowances detailed calculation</v>
      </c>
      <c r="BC444" s="34" t="str">
        <f t="shared" si="29"/>
        <v>Variant allowances allocation to totex categories</v>
      </c>
    </row>
    <row r="445" spans="4:55" x14ac:dyDescent="0.35">
      <c r="D445" s="1">
        <f t="shared" si="37"/>
        <v>1</v>
      </c>
      <c r="E445" s="187" t="str">
        <f t="shared" si="38"/>
        <v>PCD_WWU.9 - HS009 (WWU_WWU) / Pipeline Replacements PCD (WWU)</v>
      </c>
      <c r="F445" s="201"/>
      <c r="G445" s="188" t="str">
        <f t="shared" si="26"/>
        <v>£m 23/24 prices</v>
      </c>
      <c r="H445" s="188" t="s">
        <v>168</v>
      </c>
      <c r="I445" s="188"/>
      <c r="J445" s="188"/>
      <c r="K445" s="188"/>
      <c r="L445" s="188"/>
      <c r="M445" s="188"/>
      <c r="N445" s="188"/>
      <c r="O445" s="188"/>
      <c r="P445" s="188"/>
      <c r="Q445" s="188"/>
      <c r="R445" s="188"/>
      <c r="S445" s="188"/>
      <c r="T445" s="188"/>
      <c r="U445" s="188"/>
      <c r="V445" s="188"/>
      <c r="W445" s="188"/>
      <c r="X445" s="188"/>
      <c r="Y445" s="188"/>
      <c r="Z445" s="188"/>
      <c r="AA445" s="188"/>
      <c r="AB445" s="188"/>
      <c r="AC445" s="188"/>
      <c r="AD445" s="188"/>
      <c r="AE445" s="188"/>
      <c r="AF445" s="188"/>
      <c r="AG445" s="188"/>
      <c r="AH445" s="188"/>
      <c r="AI445" s="188"/>
      <c r="AJ445" s="188"/>
      <c r="AK445" s="188"/>
      <c r="AL445" s="188"/>
      <c r="AM445" s="188"/>
      <c r="AN445" s="188"/>
      <c r="AO445" s="188"/>
      <c r="AP445" s="188"/>
      <c r="AQ445" s="188"/>
      <c r="AR445" s="188"/>
      <c r="AS445" s="188"/>
      <c r="AT445" s="202"/>
      <c r="AU445" s="212">
        <f t="shared" ref="AU445:AY454" si="40">INDEX(AU$8:AU$57,MATCH($E445,$E$8:$E$57,0))*AU192</f>
        <v>0</v>
      </c>
      <c r="AV445" s="213">
        <f t="shared" si="40"/>
        <v>0</v>
      </c>
      <c r="AW445" s="213">
        <f t="shared" si="40"/>
        <v>0</v>
      </c>
      <c r="AX445" s="213">
        <f t="shared" si="40"/>
        <v>0</v>
      </c>
      <c r="AY445" s="214">
        <f t="shared" si="40"/>
        <v>0</v>
      </c>
      <c r="BA445" s="34" t="str">
        <f t="shared" ca="1" si="30"/>
        <v>VariantAllowances</v>
      </c>
      <c r="BB445" s="34" t="str">
        <f t="shared" si="28"/>
        <v>Variant allowances detailed calculation</v>
      </c>
      <c r="BC445" s="34" t="str">
        <f t="shared" si="29"/>
        <v>Variant allowances allocation to totex categories</v>
      </c>
    </row>
    <row r="446" spans="4:55" x14ac:dyDescent="0.35">
      <c r="D446" s="1">
        <f t="shared" si="37"/>
        <v>1</v>
      </c>
      <c r="E446" s="193" t="str">
        <f t="shared" si="38"/>
        <v>PCD_WWU.9 - HS009 (WWU_WWU) / Pipeline Replacements PCD (WWU)</v>
      </c>
      <c r="G446" s="33" t="str">
        <f t="shared" si="26"/>
        <v>£m 23/24 prices</v>
      </c>
      <c r="H446" s="33" t="s">
        <v>169</v>
      </c>
      <c r="AU446" s="166">
        <f t="shared" si="40"/>
        <v>0</v>
      </c>
      <c r="AV446" s="38">
        <f t="shared" si="40"/>
        <v>0</v>
      </c>
      <c r="AW446" s="38">
        <f t="shared" si="40"/>
        <v>0</v>
      </c>
      <c r="AX446" s="38">
        <f t="shared" si="40"/>
        <v>0</v>
      </c>
      <c r="AY446" s="215">
        <f t="shared" si="40"/>
        <v>0</v>
      </c>
      <c r="BA446" s="34" t="str">
        <f t="shared" ca="1" si="30"/>
        <v>VariantAllowances</v>
      </c>
      <c r="BB446" s="34" t="str">
        <f t="shared" si="28"/>
        <v>Variant allowances detailed calculation</v>
      </c>
      <c r="BC446" s="34" t="str">
        <f t="shared" si="29"/>
        <v>Variant allowances allocation to totex categories</v>
      </c>
    </row>
    <row r="447" spans="4:55" x14ac:dyDescent="0.35">
      <c r="D447" s="1">
        <f t="shared" si="37"/>
        <v>1</v>
      </c>
      <c r="E447" s="193" t="str">
        <f t="shared" si="38"/>
        <v>PCD_WWU.9 - HS009 (WWU_WWU) / Pipeline Replacements PCD (WWU)</v>
      </c>
      <c r="G447" s="33" t="str">
        <f t="shared" si="26"/>
        <v>£m 23/24 prices</v>
      </c>
      <c r="H447" s="33" t="s">
        <v>170</v>
      </c>
      <c r="AU447" s="166">
        <f t="shared" si="40"/>
        <v>0</v>
      </c>
      <c r="AV447" s="38">
        <f t="shared" si="40"/>
        <v>0</v>
      </c>
      <c r="AW447" s="38">
        <f t="shared" si="40"/>
        <v>0</v>
      </c>
      <c r="AX447" s="38">
        <f t="shared" si="40"/>
        <v>0</v>
      </c>
      <c r="AY447" s="215">
        <f t="shared" si="40"/>
        <v>0</v>
      </c>
      <c r="BA447" s="34" t="str">
        <f t="shared" ca="1" si="30"/>
        <v>VariantAllowances</v>
      </c>
      <c r="BB447" s="34" t="str">
        <f t="shared" si="28"/>
        <v>Variant allowances detailed calculation</v>
      </c>
      <c r="BC447" s="34" t="str">
        <f t="shared" si="29"/>
        <v>Variant allowances allocation to totex categories</v>
      </c>
    </row>
    <row r="448" spans="4:55" x14ac:dyDescent="0.35">
      <c r="D448" s="1">
        <f t="shared" si="37"/>
        <v>1</v>
      </c>
      <c r="E448" s="193" t="str">
        <f t="shared" si="38"/>
        <v>PCD_WWU.9 - HS009 (WWU_WWU) / Pipeline Replacements PCD (WWU)</v>
      </c>
      <c r="G448" s="33" t="str">
        <f t="shared" si="26"/>
        <v>£m 23/24 prices</v>
      </c>
      <c r="H448" s="33" t="s">
        <v>171</v>
      </c>
      <c r="AU448" s="166">
        <f t="shared" si="40"/>
        <v>0</v>
      </c>
      <c r="AV448" s="38">
        <f t="shared" si="40"/>
        <v>0</v>
      </c>
      <c r="AW448" s="38">
        <f t="shared" si="40"/>
        <v>0</v>
      </c>
      <c r="AX448" s="38">
        <f t="shared" si="40"/>
        <v>0</v>
      </c>
      <c r="AY448" s="215">
        <f t="shared" si="40"/>
        <v>0</v>
      </c>
      <c r="BA448" s="34" t="str">
        <f t="shared" ca="1" si="30"/>
        <v>VariantAllowances</v>
      </c>
      <c r="BB448" s="34" t="str">
        <f t="shared" si="28"/>
        <v>Variant allowances detailed calculation</v>
      </c>
      <c r="BC448" s="34" t="str">
        <f t="shared" si="29"/>
        <v>Variant allowances allocation to totex categories</v>
      </c>
    </row>
    <row r="449" spans="4:55" x14ac:dyDescent="0.35">
      <c r="D449" s="1">
        <f t="shared" si="37"/>
        <v>1</v>
      </c>
      <c r="E449" s="195" t="str">
        <f t="shared" si="38"/>
        <v>PCD_WWU.9 - HS009 (WWU_WWU) / Pipeline Replacements PCD (WWU)</v>
      </c>
      <c r="F449" s="207"/>
      <c r="G449" s="196" t="str">
        <f t="shared" si="26"/>
        <v>£m 23/24 prices</v>
      </c>
      <c r="H449" s="196" t="s">
        <v>172</v>
      </c>
      <c r="I449" s="196"/>
      <c r="J449" s="196"/>
      <c r="K449" s="196"/>
      <c r="L449" s="196"/>
      <c r="M449" s="196"/>
      <c r="N449" s="196"/>
      <c r="O449" s="196"/>
      <c r="P449" s="196"/>
      <c r="Q449" s="196"/>
      <c r="R449" s="196"/>
      <c r="S449" s="196"/>
      <c r="T449" s="196"/>
      <c r="U449" s="196"/>
      <c r="V449" s="196"/>
      <c r="W449" s="196"/>
      <c r="X449" s="196"/>
      <c r="Y449" s="196"/>
      <c r="Z449" s="196"/>
      <c r="AA449" s="196"/>
      <c r="AB449" s="196"/>
      <c r="AC449" s="196"/>
      <c r="AD449" s="196"/>
      <c r="AE449" s="196"/>
      <c r="AF449" s="196"/>
      <c r="AG449" s="196"/>
      <c r="AH449" s="196"/>
      <c r="AI449" s="196"/>
      <c r="AJ449" s="196"/>
      <c r="AK449" s="196"/>
      <c r="AL449" s="196"/>
      <c r="AM449" s="196"/>
      <c r="AN449" s="196"/>
      <c r="AO449" s="196"/>
      <c r="AP449" s="196"/>
      <c r="AQ449" s="196"/>
      <c r="AR449" s="196"/>
      <c r="AS449" s="196"/>
      <c r="AT449" s="208"/>
      <c r="AU449" s="216">
        <f t="shared" si="40"/>
        <v>0</v>
      </c>
      <c r="AV449" s="217">
        <f t="shared" si="40"/>
        <v>0</v>
      </c>
      <c r="AW449" s="217">
        <f t="shared" si="40"/>
        <v>0</v>
      </c>
      <c r="AX449" s="217">
        <f t="shared" si="40"/>
        <v>0</v>
      </c>
      <c r="AY449" s="218">
        <f t="shared" si="40"/>
        <v>0</v>
      </c>
      <c r="BA449" s="34" t="str">
        <f t="shared" ca="1" si="30"/>
        <v>VariantAllowances</v>
      </c>
      <c r="BB449" s="34" t="str">
        <f t="shared" si="28"/>
        <v>Variant allowances detailed calculation</v>
      </c>
      <c r="BC449" s="34" t="str">
        <f t="shared" si="29"/>
        <v>Variant allowances allocation to totex categories</v>
      </c>
    </row>
    <row r="450" spans="4:55" x14ac:dyDescent="0.35">
      <c r="D450" s="1">
        <f t="shared" si="37"/>
        <v>1</v>
      </c>
      <c r="E450" s="187" t="str">
        <f t="shared" si="38"/>
        <v>PCD_WWU.9 - HS010 (WWU_WWU) / Pipeline Replacements PCD (WWU)</v>
      </c>
      <c r="F450" s="201"/>
      <c r="G450" s="188" t="str">
        <f t="shared" si="26"/>
        <v>£m 23/24 prices</v>
      </c>
      <c r="H450" s="188" t="s">
        <v>168</v>
      </c>
      <c r="I450" s="188"/>
      <c r="J450" s="188"/>
      <c r="K450" s="188"/>
      <c r="L450" s="188"/>
      <c r="M450" s="188"/>
      <c r="N450" s="188"/>
      <c r="O450" s="188"/>
      <c r="P450" s="188"/>
      <c r="Q450" s="188"/>
      <c r="R450" s="188"/>
      <c r="S450" s="188"/>
      <c r="T450" s="188"/>
      <c r="U450" s="188"/>
      <c r="V450" s="188"/>
      <c r="W450" s="188"/>
      <c r="X450" s="188"/>
      <c r="Y450" s="188"/>
      <c r="Z450" s="188"/>
      <c r="AA450" s="188"/>
      <c r="AB450" s="188"/>
      <c r="AC450" s="188"/>
      <c r="AD450" s="188"/>
      <c r="AE450" s="188"/>
      <c r="AF450" s="188"/>
      <c r="AG450" s="188"/>
      <c r="AH450" s="188"/>
      <c r="AI450" s="188"/>
      <c r="AJ450" s="188"/>
      <c r="AK450" s="188"/>
      <c r="AL450" s="188"/>
      <c r="AM450" s="188"/>
      <c r="AN450" s="188"/>
      <c r="AO450" s="188"/>
      <c r="AP450" s="188"/>
      <c r="AQ450" s="188"/>
      <c r="AR450" s="188"/>
      <c r="AS450" s="188"/>
      <c r="AT450" s="202"/>
      <c r="AU450" s="212">
        <f t="shared" si="40"/>
        <v>0</v>
      </c>
      <c r="AV450" s="213">
        <f t="shared" si="40"/>
        <v>0</v>
      </c>
      <c r="AW450" s="213">
        <f t="shared" si="40"/>
        <v>0</v>
      </c>
      <c r="AX450" s="213">
        <f t="shared" si="40"/>
        <v>0</v>
      </c>
      <c r="AY450" s="214">
        <f t="shared" si="40"/>
        <v>0</v>
      </c>
      <c r="BA450" s="34" t="str">
        <f t="shared" ca="1" si="30"/>
        <v>VariantAllowances</v>
      </c>
      <c r="BB450" s="34" t="str">
        <f t="shared" si="28"/>
        <v>Variant allowances detailed calculation</v>
      </c>
      <c r="BC450" s="34" t="str">
        <f t="shared" si="29"/>
        <v>Variant allowances allocation to totex categories</v>
      </c>
    </row>
    <row r="451" spans="4:55" x14ac:dyDescent="0.35">
      <c r="D451" s="1">
        <f t="shared" si="37"/>
        <v>1</v>
      </c>
      <c r="E451" s="193" t="str">
        <f t="shared" si="38"/>
        <v>PCD_WWU.9 - HS010 (WWU_WWU) / Pipeline Replacements PCD (WWU)</v>
      </c>
      <c r="G451" s="33" t="str">
        <f t="shared" si="26"/>
        <v>£m 23/24 prices</v>
      </c>
      <c r="H451" s="33" t="s">
        <v>169</v>
      </c>
      <c r="AU451" s="166">
        <f t="shared" si="40"/>
        <v>0</v>
      </c>
      <c r="AV451" s="38">
        <f t="shared" si="40"/>
        <v>0</v>
      </c>
      <c r="AW451" s="38">
        <f t="shared" si="40"/>
        <v>0</v>
      </c>
      <c r="AX451" s="38">
        <f t="shared" si="40"/>
        <v>0</v>
      </c>
      <c r="AY451" s="215">
        <f t="shared" si="40"/>
        <v>0</v>
      </c>
      <c r="BA451" s="34" t="str">
        <f t="shared" ca="1" si="30"/>
        <v>VariantAllowances</v>
      </c>
      <c r="BB451" s="34" t="str">
        <f t="shared" si="28"/>
        <v>Variant allowances detailed calculation</v>
      </c>
      <c r="BC451" s="34" t="str">
        <f t="shared" si="29"/>
        <v>Variant allowances allocation to totex categories</v>
      </c>
    </row>
    <row r="452" spans="4:55" x14ac:dyDescent="0.35">
      <c r="D452" s="1">
        <f t="shared" si="37"/>
        <v>1</v>
      </c>
      <c r="E452" s="193" t="str">
        <f t="shared" si="38"/>
        <v>PCD_WWU.9 - HS010 (WWU_WWU) / Pipeline Replacements PCD (WWU)</v>
      </c>
      <c r="G452" s="33" t="str">
        <f t="shared" si="26"/>
        <v>£m 23/24 prices</v>
      </c>
      <c r="H452" s="33" t="s">
        <v>170</v>
      </c>
      <c r="AU452" s="166">
        <f t="shared" si="40"/>
        <v>0</v>
      </c>
      <c r="AV452" s="38">
        <f t="shared" si="40"/>
        <v>0</v>
      </c>
      <c r="AW452" s="38">
        <f t="shared" si="40"/>
        <v>0</v>
      </c>
      <c r="AX452" s="38">
        <f t="shared" si="40"/>
        <v>0</v>
      </c>
      <c r="AY452" s="215">
        <f t="shared" si="40"/>
        <v>0</v>
      </c>
      <c r="BA452" s="34" t="str">
        <f t="shared" ca="1" si="30"/>
        <v>VariantAllowances</v>
      </c>
      <c r="BB452" s="34" t="str">
        <f t="shared" si="28"/>
        <v>Variant allowances detailed calculation</v>
      </c>
      <c r="BC452" s="34" t="str">
        <f t="shared" si="29"/>
        <v>Variant allowances allocation to totex categories</v>
      </c>
    </row>
    <row r="453" spans="4:55" x14ac:dyDescent="0.35">
      <c r="D453" s="1">
        <f t="shared" si="37"/>
        <v>1</v>
      </c>
      <c r="E453" s="193" t="str">
        <f t="shared" si="38"/>
        <v>PCD_WWU.9 - HS010 (WWU_WWU) / Pipeline Replacements PCD (WWU)</v>
      </c>
      <c r="G453" s="33" t="str">
        <f t="shared" si="26"/>
        <v>£m 23/24 prices</v>
      </c>
      <c r="H453" s="33" t="s">
        <v>171</v>
      </c>
      <c r="AU453" s="166">
        <f t="shared" si="40"/>
        <v>0</v>
      </c>
      <c r="AV453" s="38">
        <f t="shared" si="40"/>
        <v>0</v>
      </c>
      <c r="AW453" s="38">
        <f t="shared" si="40"/>
        <v>0</v>
      </c>
      <c r="AX453" s="38">
        <f t="shared" si="40"/>
        <v>0</v>
      </c>
      <c r="AY453" s="215">
        <f t="shared" si="40"/>
        <v>0</v>
      </c>
      <c r="BA453" s="34" t="str">
        <f t="shared" ca="1" si="30"/>
        <v>VariantAllowances</v>
      </c>
      <c r="BB453" s="34" t="str">
        <f t="shared" si="28"/>
        <v>Variant allowances detailed calculation</v>
      </c>
      <c r="BC453" s="34" t="str">
        <f t="shared" si="29"/>
        <v>Variant allowances allocation to totex categories</v>
      </c>
    </row>
    <row r="454" spans="4:55" x14ac:dyDescent="0.35">
      <c r="D454" s="1">
        <f t="shared" si="37"/>
        <v>1</v>
      </c>
      <c r="E454" s="195" t="str">
        <f t="shared" si="38"/>
        <v>PCD_WWU.9 - HS010 (WWU_WWU) / Pipeline Replacements PCD (WWU)</v>
      </c>
      <c r="F454" s="207"/>
      <c r="G454" s="196" t="str">
        <f t="shared" si="26"/>
        <v>£m 23/24 prices</v>
      </c>
      <c r="H454" s="196" t="s">
        <v>172</v>
      </c>
      <c r="I454" s="196"/>
      <c r="J454" s="196"/>
      <c r="K454" s="196"/>
      <c r="L454" s="196"/>
      <c r="M454" s="196"/>
      <c r="N454" s="196"/>
      <c r="O454" s="196"/>
      <c r="P454" s="196"/>
      <c r="Q454" s="196"/>
      <c r="R454" s="196"/>
      <c r="S454" s="196"/>
      <c r="T454" s="196"/>
      <c r="U454" s="196"/>
      <c r="V454" s="196"/>
      <c r="W454" s="196"/>
      <c r="X454" s="196"/>
      <c r="Y454" s="196"/>
      <c r="Z454" s="196"/>
      <c r="AA454" s="196"/>
      <c r="AB454" s="196"/>
      <c r="AC454" s="196"/>
      <c r="AD454" s="196"/>
      <c r="AE454" s="196"/>
      <c r="AF454" s="196"/>
      <c r="AG454" s="196"/>
      <c r="AH454" s="196"/>
      <c r="AI454" s="196"/>
      <c r="AJ454" s="196"/>
      <c r="AK454" s="196"/>
      <c r="AL454" s="196"/>
      <c r="AM454" s="196"/>
      <c r="AN454" s="196"/>
      <c r="AO454" s="196"/>
      <c r="AP454" s="196"/>
      <c r="AQ454" s="196"/>
      <c r="AR454" s="196"/>
      <c r="AS454" s="196"/>
      <c r="AT454" s="208"/>
      <c r="AU454" s="216">
        <f t="shared" si="40"/>
        <v>0</v>
      </c>
      <c r="AV454" s="217">
        <f t="shared" si="40"/>
        <v>0</v>
      </c>
      <c r="AW454" s="217">
        <f t="shared" si="40"/>
        <v>0</v>
      </c>
      <c r="AX454" s="217">
        <f t="shared" si="40"/>
        <v>0</v>
      </c>
      <c r="AY454" s="218">
        <f t="shared" si="40"/>
        <v>0</v>
      </c>
      <c r="BA454" s="34" t="str">
        <f t="shared" ca="1" si="30"/>
        <v>VariantAllowances</v>
      </c>
      <c r="BB454" s="34" t="str">
        <f t="shared" si="28"/>
        <v>Variant allowances detailed calculation</v>
      </c>
      <c r="BC454" s="34" t="str">
        <f t="shared" si="29"/>
        <v>Variant allowances allocation to totex categories</v>
      </c>
    </row>
    <row r="455" spans="4:55" x14ac:dyDescent="0.35">
      <c r="D455" s="1">
        <f t="shared" si="37"/>
        <v>1</v>
      </c>
      <c r="E455" s="187" t="str">
        <f t="shared" si="38"/>
        <v>PCD_Mandated Category 3 Security (Cadent_all)</v>
      </c>
      <c r="F455" s="201"/>
      <c r="G455" s="188" t="str">
        <f t="shared" si="26"/>
        <v>£m 23/24 prices</v>
      </c>
      <c r="H455" s="188" t="s">
        <v>168</v>
      </c>
      <c r="I455" s="188"/>
      <c r="J455" s="188"/>
      <c r="K455" s="188"/>
      <c r="L455" s="188"/>
      <c r="M455" s="188"/>
      <c r="N455" s="188"/>
      <c r="O455" s="188"/>
      <c r="P455" s="188"/>
      <c r="Q455" s="188"/>
      <c r="R455" s="188"/>
      <c r="S455" s="188"/>
      <c r="T455" s="188"/>
      <c r="U455" s="188"/>
      <c r="V455" s="188"/>
      <c r="W455" s="188"/>
      <c r="X455" s="188"/>
      <c r="Y455" s="188"/>
      <c r="Z455" s="188"/>
      <c r="AA455" s="188"/>
      <c r="AB455" s="188"/>
      <c r="AC455" s="188"/>
      <c r="AD455" s="188"/>
      <c r="AE455" s="188"/>
      <c r="AF455" s="188"/>
      <c r="AG455" s="188"/>
      <c r="AH455" s="188"/>
      <c r="AI455" s="188"/>
      <c r="AJ455" s="188"/>
      <c r="AK455" s="188"/>
      <c r="AL455" s="188"/>
      <c r="AM455" s="188"/>
      <c r="AN455" s="188"/>
      <c r="AO455" s="188"/>
      <c r="AP455" s="188"/>
      <c r="AQ455" s="188"/>
      <c r="AR455" s="188"/>
      <c r="AS455" s="188"/>
      <c r="AT455" s="202"/>
      <c r="AU455" s="212">
        <f t="shared" ref="AU455:AY464" si="41">INDEX(AU$8:AU$57,MATCH($E455,$E$8:$E$57,0))*AU202</f>
        <v>0</v>
      </c>
      <c r="AV455" s="213">
        <f t="shared" si="41"/>
        <v>0</v>
      </c>
      <c r="AW455" s="213">
        <f t="shared" si="41"/>
        <v>0</v>
      </c>
      <c r="AX455" s="213">
        <f t="shared" si="41"/>
        <v>0</v>
      </c>
      <c r="AY455" s="214">
        <f t="shared" si="41"/>
        <v>0</v>
      </c>
      <c r="BA455" s="34" t="str">
        <f t="shared" ca="1" si="30"/>
        <v>VariantAllowances</v>
      </c>
      <c r="BB455" s="34" t="str">
        <f t="shared" si="28"/>
        <v>Variant allowances detailed calculation</v>
      </c>
      <c r="BC455" s="34" t="str">
        <f t="shared" si="29"/>
        <v>Variant allowances allocation to totex categories</v>
      </c>
    </row>
    <row r="456" spans="4:55" x14ac:dyDescent="0.35">
      <c r="D456" s="1">
        <f t="shared" si="37"/>
        <v>1</v>
      </c>
      <c r="E456" s="193" t="str">
        <f t="shared" si="38"/>
        <v>PCD_Mandated Category 3 Security (Cadent_all)</v>
      </c>
      <c r="G456" s="33" t="str">
        <f t="shared" si="26"/>
        <v>£m 23/24 prices</v>
      </c>
      <c r="H456" s="33" t="s">
        <v>169</v>
      </c>
      <c r="AU456" s="166">
        <f t="shared" si="41"/>
        <v>0</v>
      </c>
      <c r="AV456" s="38">
        <f t="shared" si="41"/>
        <v>0</v>
      </c>
      <c r="AW456" s="38">
        <f t="shared" si="41"/>
        <v>0</v>
      </c>
      <c r="AX456" s="38">
        <f t="shared" si="41"/>
        <v>0</v>
      </c>
      <c r="AY456" s="215">
        <f t="shared" si="41"/>
        <v>0</v>
      </c>
      <c r="BA456" s="34" t="str">
        <f t="shared" ca="1" si="30"/>
        <v>VariantAllowances</v>
      </c>
      <c r="BB456" s="34" t="str">
        <f t="shared" si="28"/>
        <v>Variant allowances detailed calculation</v>
      </c>
      <c r="BC456" s="34" t="str">
        <f t="shared" si="29"/>
        <v>Variant allowances allocation to totex categories</v>
      </c>
    </row>
    <row r="457" spans="4:55" x14ac:dyDescent="0.35">
      <c r="D457" s="1">
        <f t="shared" si="37"/>
        <v>1</v>
      </c>
      <c r="E457" s="193" t="str">
        <f t="shared" si="38"/>
        <v>PCD_Mandated Category 3 Security (Cadent_all)</v>
      </c>
      <c r="G457" s="33" t="str">
        <f t="shared" si="26"/>
        <v>£m 23/24 prices</v>
      </c>
      <c r="H457" s="33" t="s">
        <v>170</v>
      </c>
      <c r="AU457" s="166">
        <f t="shared" si="41"/>
        <v>0</v>
      </c>
      <c r="AV457" s="38">
        <f t="shared" si="41"/>
        <v>0</v>
      </c>
      <c r="AW457" s="38">
        <f t="shared" si="41"/>
        <v>0</v>
      </c>
      <c r="AX457" s="38">
        <f t="shared" si="41"/>
        <v>0</v>
      </c>
      <c r="AY457" s="215">
        <f t="shared" si="41"/>
        <v>0</v>
      </c>
      <c r="BA457" s="34" t="str">
        <f t="shared" ca="1" si="30"/>
        <v>VariantAllowances</v>
      </c>
      <c r="BB457" s="34" t="str">
        <f t="shared" si="28"/>
        <v>Variant allowances detailed calculation</v>
      </c>
      <c r="BC457" s="34" t="str">
        <f t="shared" si="29"/>
        <v>Variant allowances allocation to totex categories</v>
      </c>
    </row>
    <row r="458" spans="4:55" x14ac:dyDescent="0.35">
      <c r="D458" s="1">
        <f t="shared" si="37"/>
        <v>1</v>
      </c>
      <c r="E458" s="193" t="str">
        <f t="shared" si="38"/>
        <v>PCD_Mandated Category 3 Security (Cadent_all)</v>
      </c>
      <c r="G458" s="33" t="str">
        <f t="shared" si="26"/>
        <v>£m 23/24 prices</v>
      </c>
      <c r="H458" s="33" t="s">
        <v>171</v>
      </c>
      <c r="AU458" s="166">
        <f t="shared" si="41"/>
        <v>0</v>
      </c>
      <c r="AV458" s="38">
        <f t="shared" si="41"/>
        <v>0</v>
      </c>
      <c r="AW458" s="38">
        <f t="shared" si="41"/>
        <v>0</v>
      </c>
      <c r="AX458" s="38">
        <f t="shared" si="41"/>
        <v>0</v>
      </c>
      <c r="AY458" s="215">
        <f t="shared" si="41"/>
        <v>0</v>
      </c>
      <c r="BA458" s="34" t="str">
        <f t="shared" ca="1" si="30"/>
        <v>VariantAllowances</v>
      </c>
      <c r="BB458" s="34" t="str">
        <f t="shared" si="28"/>
        <v>Variant allowances detailed calculation</v>
      </c>
      <c r="BC458" s="34" t="str">
        <f t="shared" si="29"/>
        <v>Variant allowances allocation to totex categories</v>
      </c>
    </row>
    <row r="459" spans="4:55" x14ac:dyDescent="0.35">
      <c r="D459" s="1">
        <f t="shared" si="37"/>
        <v>1</v>
      </c>
      <c r="E459" s="195" t="str">
        <f t="shared" si="38"/>
        <v>PCD_Mandated Category 3 Security (Cadent_all)</v>
      </c>
      <c r="F459" s="207"/>
      <c r="G459" s="196" t="str">
        <f t="shared" si="26"/>
        <v>£m 23/24 prices</v>
      </c>
      <c r="H459" s="196" t="s">
        <v>172</v>
      </c>
      <c r="I459" s="196"/>
      <c r="J459" s="196"/>
      <c r="K459" s="196"/>
      <c r="L459" s="196"/>
      <c r="M459" s="196"/>
      <c r="N459" s="196"/>
      <c r="O459" s="196"/>
      <c r="P459" s="196"/>
      <c r="Q459" s="196"/>
      <c r="R459" s="196"/>
      <c r="S459" s="196"/>
      <c r="T459" s="196"/>
      <c r="U459" s="196"/>
      <c r="V459" s="196"/>
      <c r="W459" s="196"/>
      <c r="X459" s="196"/>
      <c r="Y459" s="196"/>
      <c r="Z459" s="196"/>
      <c r="AA459" s="196"/>
      <c r="AB459" s="196"/>
      <c r="AC459" s="196"/>
      <c r="AD459" s="196"/>
      <c r="AE459" s="196"/>
      <c r="AF459" s="196"/>
      <c r="AG459" s="196"/>
      <c r="AH459" s="196"/>
      <c r="AI459" s="196"/>
      <c r="AJ459" s="196"/>
      <c r="AK459" s="196"/>
      <c r="AL459" s="196"/>
      <c r="AM459" s="196"/>
      <c r="AN459" s="196"/>
      <c r="AO459" s="196"/>
      <c r="AP459" s="196"/>
      <c r="AQ459" s="196"/>
      <c r="AR459" s="196"/>
      <c r="AS459" s="196"/>
      <c r="AT459" s="208"/>
      <c r="AU459" s="216">
        <f t="shared" si="41"/>
        <v>0</v>
      </c>
      <c r="AV459" s="217">
        <f t="shared" si="41"/>
        <v>0</v>
      </c>
      <c r="AW459" s="217">
        <f t="shared" si="41"/>
        <v>0</v>
      </c>
      <c r="AX459" s="217">
        <f t="shared" si="41"/>
        <v>0</v>
      </c>
      <c r="AY459" s="218">
        <f t="shared" si="41"/>
        <v>0</v>
      </c>
      <c r="BA459" s="34" t="str">
        <f t="shared" ca="1" si="30"/>
        <v>VariantAllowances</v>
      </c>
      <c r="BB459" s="34" t="str">
        <f t="shared" si="28"/>
        <v>Variant allowances detailed calculation</v>
      </c>
      <c r="BC459" s="34" t="str">
        <f t="shared" si="29"/>
        <v>Variant allowances allocation to totex categories</v>
      </c>
    </row>
    <row r="460" spans="4:55" x14ac:dyDescent="0.35">
      <c r="D460" s="1">
        <f t="shared" si="37"/>
        <v>1.5</v>
      </c>
      <c r="E460" s="187" t="str">
        <f t="shared" si="38"/>
        <v>VD_GSIUR Disconnections Volume Driver</v>
      </c>
      <c r="F460" s="201"/>
      <c r="G460" s="188" t="str">
        <f t="shared" si="26"/>
        <v>£m 23/24 prices</v>
      </c>
      <c r="H460" s="188" t="s">
        <v>168</v>
      </c>
      <c r="I460" s="188"/>
      <c r="J460" s="188"/>
      <c r="K460" s="188"/>
      <c r="L460" s="188"/>
      <c r="M460" s="188"/>
      <c r="N460" s="188"/>
      <c r="O460" s="188"/>
      <c r="P460" s="188"/>
      <c r="Q460" s="188"/>
      <c r="R460" s="188"/>
      <c r="S460" s="188"/>
      <c r="T460" s="188"/>
      <c r="U460" s="188"/>
      <c r="V460" s="188"/>
      <c r="W460" s="188"/>
      <c r="X460" s="188"/>
      <c r="Y460" s="188"/>
      <c r="Z460" s="188"/>
      <c r="AA460" s="188"/>
      <c r="AB460" s="188"/>
      <c r="AC460" s="188"/>
      <c r="AD460" s="188"/>
      <c r="AE460" s="188"/>
      <c r="AF460" s="188"/>
      <c r="AG460" s="188"/>
      <c r="AH460" s="188"/>
      <c r="AI460" s="188"/>
      <c r="AJ460" s="188"/>
      <c r="AK460" s="188"/>
      <c r="AL460" s="188"/>
      <c r="AM460" s="188"/>
      <c r="AN460" s="188"/>
      <c r="AO460" s="188"/>
      <c r="AP460" s="188"/>
      <c r="AQ460" s="188"/>
      <c r="AR460" s="188"/>
      <c r="AS460" s="188"/>
      <c r="AT460" s="202"/>
      <c r="AU460" s="212">
        <f t="shared" si="41"/>
        <v>0</v>
      </c>
      <c r="AV460" s="213">
        <f t="shared" si="41"/>
        <v>0</v>
      </c>
      <c r="AW460" s="213">
        <f t="shared" si="41"/>
        <v>0</v>
      </c>
      <c r="AX460" s="213">
        <f t="shared" si="41"/>
        <v>0</v>
      </c>
      <c r="AY460" s="214">
        <f t="shared" si="41"/>
        <v>0</v>
      </c>
      <c r="BA460" s="34" t="str">
        <f t="shared" ca="1" si="30"/>
        <v>VariantAllowances</v>
      </c>
      <c r="BB460" s="34" t="str">
        <f t="shared" si="28"/>
        <v>Variant allowances detailed calculation</v>
      </c>
      <c r="BC460" s="34" t="str">
        <f t="shared" si="29"/>
        <v>Variant allowances allocation to totex categories</v>
      </c>
    </row>
    <row r="461" spans="4:55" x14ac:dyDescent="0.35">
      <c r="D461" s="1">
        <f t="shared" si="37"/>
        <v>1.5</v>
      </c>
      <c r="E461" s="193" t="str">
        <f t="shared" si="38"/>
        <v>VD_GSIUR Disconnections Volume Driver</v>
      </c>
      <c r="G461" s="33" t="str">
        <f t="shared" si="26"/>
        <v>£m 23/24 prices</v>
      </c>
      <c r="H461" s="33" t="s">
        <v>169</v>
      </c>
      <c r="AU461" s="166">
        <f t="shared" si="41"/>
        <v>0</v>
      </c>
      <c r="AV461" s="38">
        <f t="shared" si="41"/>
        <v>0</v>
      </c>
      <c r="AW461" s="38">
        <f t="shared" si="41"/>
        <v>0</v>
      </c>
      <c r="AX461" s="38">
        <f t="shared" si="41"/>
        <v>0</v>
      </c>
      <c r="AY461" s="215">
        <f t="shared" si="41"/>
        <v>0</v>
      </c>
      <c r="BA461" s="34" t="str">
        <f t="shared" ca="1" si="30"/>
        <v>VariantAllowances</v>
      </c>
      <c r="BB461" s="34" t="str">
        <f t="shared" si="28"/>
        <v>Variant allowances detailed calculation</v>
      </c>
      <c r="BC461" s="34" t="str">
        <f t="shared" si="29"/>
        <v>Variant allowances allocation to totex categories</v>
      </c>
    </row>
    <row r="462" spans="4:55" x14ac:dyDescent="0.35">
      <c r="D462" s="1">
        <f t="shared" si="37"/>
        <v>1.5</v>
      </c>
      <c r="E462" s="193" t="str">
        <f t="shared" si="38"/>
        <v>VD_GSIUR Disconnections Volume Driver</v>
      </c>
      <c r="G462" s="33" t="str">
        <f t="shared" si="26"/>
        <v>£m 23/24 prices</v>
      </c>
      <c r="H462" s="33" t="s">
        <v>170</v>
      </c>
      <c r="AU462" s="166">
        <f t="shared" si="41"/>
        <v>0</v>
      </c>
      <c r="AV462" s="38">
        <f t="shared" si="41"/>
        <v>0</v>
      </c>
      <c r="AW462" s="38">
        <f t="shared" si="41"/>
        <v>0</v>
      </c>
      <c r="AX462" s="38">
        <f t="shared" si="41"/>
        <v>0</v>
      </c>
      <c r="AY462" s="215">
        <f t="shared" si="41"/>
        <v>0</v>
      </c>
      <c r="BA462" s="34" t="str">
        <f t="shared" ca="1" si="30"/>
        <v>VariantAllowances</v>
      </c>
      <c r="BB462" s="34" t="str">
        <f t="shared" si="28"/>
        <v>Variant allowances detailed calculation</v>
      </c>
      <c r="BC462" s="34" t="str">
        <f t="shared" si="29"/>
        <v>Variant allowances allocation to totex categories</v>
      </c>
    </row>
    <row r="463" spans="4:55" x14ac:dyDescent="0.35">
      <c r="D463" s="1">
        <f t="shared" si="37"/>
        <v>1.5</v>
      </c>
      <c r="E463" s="193" t="str">
        <f t="shared" si="38"/>
        <v>VD_GSIUR Disconnections Volume Driver</v>
      </c>
      <c r="G463" s="33" t="str">
        <f t="shared" si="26"/>
        <v>£m 23/24 prices</v>
      </c>
      <c r="H463" s="33" t="s">
        <v>171</v>
      </c>
      <c r="AU463" s="166">
        <f t="shared" si="41"/>
        <v>0.23642983401317269</v>
      </c>
      <c r="AV463" s="38">
        <f t="shared" si="41"/>
        <v>0.23406553567304098</v>
      </c>
      <c r="AW463" s="38">
        <f t="shared" si="41"/>
        <v>0.23172488031631056</v>
      </c>
      <c r="AX463" s="38">
        <f t="shared" si="41"/>
        <v>0.22940763151314744</v>
      </c>
      <c r="AY463" s="215">
        <f t="shared" si="41"/>
        <v>0.22711355519801596</v>
      </c>
      <c r="BA463" s="34" t="str">
        <f t="shared" ca="1" si="30"/>
        <v>VariantAllowances</v>
      </c>
      <c r="BB463" s="34" t="str">
        <f t="shared" si="28"/>
        <v>Variant allowances detailed calculation</v>
      </c>
      <c r="BC463" s="34" t="str">
        <f t="shared" si="29"/>
        <v>Variant allowances allocation to totex categories</v>
      </c>
    </row>
    <row r="464" spans="4:55" x14ac:dyDescent="0.35">
      <c r="D464" s="1">
        <f t="shared" si="37"/>
        <v>1.5</v>
      </c>
      <c r="E464" s="195" t="str">
        <f t="shared" si="38"/>
        <v>VD_GSIUR Disconnections Volume Driver</v>
      </c>
      <c r="F464" s="207"/>
      <c r="G464" s="196" t="str">
        <f t="shared" si="26"/>
        <v>£m 23/24 prices</v>
      </c>
      <c r="H464" s="196" t="s">
        <v>172</v>
      </c>
      <c r="I464" s="196"/>
      <c r="J464" s="196"/>
      <c r="K464" s="196"/>
      <c r="L464" s="196"/>
      <c r="M464" s="196"/>
      <c r="N464" s="196"/>
      <c r="O464" s="196"/>
      <c r="P464" s="196"/>
      <c r="Q464" s="196"/>
      <c r="R464" s="196"/>
      <c r="S464" s="196"/>
      <c r="T464" s="196"/>
      <c r="U464" s="196"/>
      <c r="V464" s="196"/>
      <c r="W464" s="196"/>
      <c r="X464" s="196"/>
      <c r="Y464" s="196"/>
      <c r="Z464" s="196"/>
      <c r="AA464" s="196"/>
      <c r="AB464" s="196"/>
      <c r="AC464" s="196"/>
      <c r="AD464" s="196"/>
      <c r="AE464" s="196"/>
      <c r="AF464" s="196"/>
      <c r="AG464" s="196"/>
      <c r="AH464" s="196"/>
      <c r="AI464" s="196"/>
      <c r="AJ464" s="196"/>
      <c r="AK464" s="196"/>
      <c r="AL464" s="196"/>
      <c r="AM464" s="196"/>
      <c r="AN464" s="196"/>
      <c r="AO464" s="196"/>
      <c r="AP464" s="196"/>
      <c r="AQ464" s="196"/>
      <c r="AR464" s="196"/>
      <c r="AS464" s="196"/>
      <c r="AT464" s="208"/>
      <c r="AU464" s="216">
        <f t="shared" si="41"/>
        <v>0</v>
      </c>
      <c r="AV464" s="217">
        <f t="shared" si="41"/>
        <v>0</v>
      </c>
      <c r="AW464" s="217">
        <f t="shared" si="41"/>
        <v>0</v>
      </c>
      <c r="AX464" s="217">
        <f t="shared" si="41"/>
        <v>0</v>
      </c>
      <c r="AY464" s="218">
        <f t="shared" si="41"/>
        <v>0</v>
      </c>
      <c r="BA464" s="34" t="str">
        <f t="shared" ca="1" si="30"/>
        <v>VariantAllowances</v>
      </c>
      <c r="BB464" s="34" t="str">
        <f t="shared" si="28"/>
        <v>Variant allowances detailed calculation</v>
      </c>
      <c r="BC464" s="34" t="str">
        <f t="shared" si="29"/>
        <v>Variant allowances allocation to totex categories</v>
      </c>
    </row>
    <row r="465" spans="4:55" x14ac:dyDescent="0.35">
      <c r="D465" s="1">
        <f t="shared" si="37"/>
        <v>1</v>
      </c>
      <c r="E465" s="187" t="str">
        <f t="shared" si="38"/>
        <v>VD_[spare slot]</v>
      </c>
      <c r="F465" s="201"/>
      <c r="G465" s="188" t="str">
        <f t="shared" si="26"/>
        <v>£m 23/24 prices</v>
      </c>
      <c r="H465" s="188" t="s">
        <v>168</v>
      </c>
      <c r="I465" s="188"/>
      <c r="J465" s="188"/>
      <c r="K465" s="188"/>
      <c r="L465" s="188"/>
      <c r="M465" s="188"/>
      <c r="N465" s="188"/>
      <c r="O465" s="188"/>
      <c r="P465" s="188"/>
      <c r="Q465" s="188"/>
      <c r="R465" s="188"/>
      <c r="S465" s="188"/>
      <c r="T465" s="188"/>
      <c r="U465" s="188"/>
      <c r="V465" s="188"/>
      <c r="W465" s="188"/>
      <c r="X465" s="188"/>
      <c r="Y465" s="188"/>
      <c r="Z465" s="188"/>
      <c r="AA465" s="188"/>
      <c r="AB465" s="188"/>
      <c r="AC465" s="188"/>
      <c r="AD465" s="188"/>
      <c r="AE465" s="188"/>
      <c r="AF465" s="188"/>
      <c r="AG465" s="188"/>
      <c r="AH465" s="188"/>
      <c r="AI465" s="188"/>
      <c r="AJ465" s="188"/>
      <c r="AK465" s="188"/>
      <c r="AL465" s="188"/>
      <c r="AM465" s="188"/>
      <c r="AN465" s="188"/>
      <c r="AO465" s="188"/>
      <c r="AP465" s="188"/>
      <c r="AQ465" s="188"/>
      <c r="AR465" s="188"/>
      <c r="AS465" s="188"/>
      <c r="AT465" s="202"/>
      <c r="AU465" s="212">
        <f t="shared" ref="AU465:AY474" si="42">INDEX(AU$8:AU$57,MATCH($E465,$E$8:$E$57,0))*AU212</f>
        <v>0</v>
      </c>
      <c r="AV465" s="213">
        <f t="shared" si="42"/>
        <v>0</v>
      </c>
      <c r="AW465" s="213">
        <f t="shared" si="42"/>
        <v>0</v>
      </c>
      <c r="AX465" s="213">
        <f t="shared" si="42"/>
        <v>0</v>
      </c>
      <c r="AY465" s="214">
        <f t="shared" si="42"/>
        <v>0</v>
      </c>
      <c r="BA465" s="34" t="str">
        <f t="shared" ca="1" si="30"/>
        <v>VariantAllowances</v>
      </c>
      <c r="BB465" s="34" t="str">
        <f t="shared" si="28"/>
        <v>Variant allowances detailed calculation</v>
      </c>
      <c r="BC465" s="34" t="str">
        <f t="shared" si="29"/>
        <v>Variant allowances allocation to totex categories</v>
      </c>
    </row>
    <row r="466" spans="4:55" x14ac:dyDescent="0.35">
      <c r="D466" s="1">
        <f t="shared" si="37"/>
        <v>1</v>
      </c>
      <c r="E466" s="193" t="str">
        <f t="shared" si="38"/>
        <v>VD_[spare slot]</v>
      </c>
      <c r="G466" s="33" t="str">
        <f t="shared" si="26"/>
        <v>£m 23/24 prices</v>
      </c>
      <c r="H466" s="33" t="s">
        <v>169</v>
      </c>
      <c r="AU466" s="166">
        <f t="shared" si="42"/>
        <v>0</v>
      </c>
      <c r="AV466" s="38">
        <f t="shared" si="42"/>
        <v>0</v>
      </c>
      <c r="AW466" s="38">
        <f t="shared" si="42"/>
        <v>0</v>
      </c>
      <c r="AX466" s="38">
        <f t="shared" si="42"/>
        <v>0</v>
      </c>
      <c r="AY466" s="215">
        <f t="shared" si="42"/>
        <v>0</v>
      </c>
      <c r="BA466" s="34" t="str">
        <f t="shared" ca="1" si="30"/>
        <v>VariantAllowances</v>
      </c>
      <c r="BB466" s="34" t="str">
        <f t="shared" si="28"/>
        <v>Variant allowances detailed calculation</v>
      </c>
      <c r="BC466" s="34" t="str">
        <f t="shared" si="29"/>
        <v>Variant allowances allocation to totex categories</v>
      </c>
    </row>
    <row r="467" spans="4:55" x14ac:dyDescent="0.35">
      <c r="D467" s="1">
        <f t="shared" si="37"/>
        <v>1</v>
      </c>
      <c r="E467" s="193" t="str">
        <f t="shared" si="38"/>
        <v>VD_[spare slot]</v>
      </c>
      <c r="G467" s="33" t="str">
        <f t="shared" si="26"/>
        <v>£m 23/24 prices</v>
      </c>
      <c r="H467" s="33" t="s">
        <v>170</v>
      </c>
      <c r="AU467" s="166">
        <f t="shared" si="42"/>
        <v>0</v>
      </c>
      <c r="AV467" s="38">
        <f t="shared" si="42"/>
        <v>0</v>
      </c>
      <c r="AW467" s="38">
        <f t="shared" si="42"/>
        <v>0</v>
      </c>
      <c r="AX467" s="38">
        <f t="shared" si="42"/>
        <v>0</v>
      </c>
      <c r="AY467" s="215">
        <f t="shared" si="42"/>
        <v>0</v>
      </c>
      <c r="BA467" s="34" t="str">
        <f t="shared" ca="1" si="30"/>
        <v>VariantAllowances</v>
      </c>
      <c r="BB467" s="34" t="str">
        <f t="shared" si="28"/>
        <v>Variant allowances detailed calculation</v>
      </c>
      <c r="BC467" s="34" t="str">
        <f t="shared" si="29"/>
        <v>Variant allowances allocation to totex categories</v>
      </c>
    </row>
    <row r="468" spans="4:55" x14ac:dyDescent="0.35">
      <c r="D468" s="1">
        <f t="shared" si="37"/>
        <v>1</v>
      </c>
      <c r="E468" s="193" t="str">
        <f t="shared" si="38"/>
        <v>VD_[spare slot]</v>
      </c>
      <c r="G468" s="33" t="str">
        <f t="shared" si="26"/>
        <v>£m 23/24 prices</v>
      </c>
      <c r="H468" s="33" t="s">
        <v>171</v>
      </c>
      <c r="AU468" s="166">
        <f t="shared" si="42"/>
        <v>0</v>
      </c>
      <c r="AV468" s="38">
        <f t="shared" si="42"/>
        <v>0</v>
      </c>
      <c r="AW468" s="38">
        <f t="shared" si="42"/>
        <v>0</v>
      </c>
      <c r="AX468" s="38">
        <f t="shared" si="42"/>
        <v>0</v>
      </c>
      <c r="AY468" s="215">
        <f t="shared" si="42"/>
        <v>0</v>
      </c>
      <c r="BA468" s="34" t="str">
        <f t="shared" ca="1" si="30"/>
        <v>VariantAllowances</v>
      </c>
      <c r="BB468" s="34" t="str">
        <f t="shared" si="28"/>
        <v>Variant allowances detailed calculation</v>
      </c>
      <c r="BC468" s="34" t="str">
        <f t="shared" si="29"/>
        <v>Variant allowances allocation to totex categories</v>
      </c>
    </row>
    <row r="469" spans="4:55" x14ac:dyDescent="0.35">
      <c r="D469" s="1">
        <f t="shared" si="37"/>
        <v>1</v>
      </c>
      <c r="E469" s="195" t="str">
        <f t="shared" si="38"/>
        <v>VD_[spare slot]</v>
      </c>
      <c r="F469" s="207"/>
      <c r="G469" s="196" t="str">
        <f t="shared" si="26"/>
        <v>£m 23/24 prices</v>
      </c>
      <c r="H469" s="196" t="s">
        <v>172</v>
      </c>
      <c r="I469" s="196"/>
      <c r="J469" s="196"/>
      <c r="K469" s="196"/>
      <c r="L469" s="196"/>
      <c r="M469" s="196"/>
      <c r="N469" s="196"/>
      <c r="O469" s="196"/>
      <c r="P469" s="196"/>
      <c r="Q469" s="196"/>
      <c r="R469" s="196"/>
      <c r="S469" s="196"/>
      <c r="T469" s="196"/>
      <c r="U469" s="196"/>
      <c r="V469" s="196"/>
      <c r="W469" s="196"/>
      <c r="X469" s="196"/>
      <c r="Y469" s="196"/>
      <c r="Z469" s="196"/>
      <c r="AA469" s="196"/>
      <c r="AB469" s="196"/>
      <c r="AC469" s="196"/>
      <c r="AD469" s="196"/>
      <c r="AE469" s="196"/>
      <c r="AF469" s="196"/>
      <c r="AG469" s="196"/>
      <c r="AH469" s="196"/>
      <c r="AI469" s="196"/>
      <c r="AJ469" s="196"/>
      <c r="AK469" s="196"/>
      <c r="AL469" s="196"/>
      <c r="AM469" s="196"/>
      <c r="AN469" s="196"/>
      <c r="AO469" s="196"/>
      <c r="AP469" s="196"/>
      <c r="AQ469" s="196"/>
      <c r="AR469" s="196"/>
      <c r="AS469" s="196"/>
      <c r="AT469" s="208"/>
      <c r="AU469" s="216">
        <f t="shared" si="42"/>
        <v>0</v>
      </c>
      <c r="AV469" s="217">
        <f t="shared" si="42"/>
        <v>0</v>
      </c>
      <c r="AW469" s="217">
        <f t="shared" si="42"/>
        <v>0</v>
      </c>
      <c r="AX469" s="217">
        <f t="shared" si="42"/>
        <v>0</v>
      </c>
      <c r="AY469" s="218">
        <f t="shared" si="42"/>
        <v>0</v>
      </c>
      <c r="BA469" s="34" t="str">
        <f t="shared" ca="1" si="30"/>
        <v>VariantAllowances</v>
      </c>
      <c r="BB469" s="34" t="str">
        <f t="shared" si="28"/>
        <v>Variant allowances detailed calculation</v>
      </c>
      <c r="BC469" s="34" t="str">
        <f t="shared" si="29"/>
        <v>Variant allowances allocation to totex categories</v>
      </c>
    </row>
    <row r="470" spans="4:55" x14ac:dyDescent="0.35">
      <c r="D470" s="1">
        <f t="shared" si="37"/>
        <v>1.5</v>
      </c>
      <c r="E470" s="187" t="str">
        <f t="shared" si="38"/>
        <v>VD_Tier 2A Mains and Services Replacement Volume Driver</v>
      </c>
      <c r="F470" s="201"/>
      <c r="G470" s="188" t="str">
        <f t="shared" si="26"/>
        <v>£m 23/24 prices</v>
      </c>
      <c r="H470" s="188" t="s">
        <v>168</v>
      </c>
      <c r="I470" s="188"/>
      <c r="J470" s="188"/>
      <c r="K470" s="188"/>
      <c r="L470" s="188"/>
      <c r="M470" s="188"/>
      <c r="N470" s="188"/>
      <c r="O470" s="188"/>
      <c r="P470" s="188"/>
      <c r="Q470" s="188"/>
      <c r="R470" s="188"/>
      <c r="S470" s="188"/>
      <c r="T470" s="188"/>
      <c r="U470" s="188"/>
      <c r="V470" s="188"/>
      <c r="W470" s="188"/>
      <c r="X470" s="188"/>
      <c r="Y470" s="188"/>
      <c r="Z470" s="188"/>
      <c r="AA470" s="188"/>
      <c r="AB470" s="188"/>
      <c r="AC470" s="188"/>
      <c r="AD470" s="188"/>
      <c r="AE470" s="188"/>
      <c r="AF470" s="188"/>
      <c r="AG470" s="188"/>
      <c r="AH470" s="188"/>
      <c r="AI470" s="188"/>
      <c r="AJ470" s="188"/>
      <c r="AK470" s="188"/>
      <c r="AL470" s="188"/>
      <c r="AM470" s="188"/>
      <c r="AN470" s="188"/>
      <c r="AO470" s="188"/>
      <c r="AP470" s="188"/>
      <c r="AQ470" s="188"/>
      <c r="AR470" s="188"/>
      <c r="AS470" s="188"/>
      <c r="AT470" s="202"/>
      <c r="AU470" s="212">
        <f t="shared" si="42"/>
        <v>0</v>
      </c>
      <c r="AV470" s="213">
        <f t="shared" si="42"/>
        <v>0</v>
      </c>
      <c r="AW470" s="213">
        <f t="shared" si="42"/>
        <v>0</v>
      </c>
      <c r="AX470" s="213">
        <f t="shared" si="42"/>
        <v>0</v>
      </c>
      <c r="AY470" s="214">
        <f t="shared" si="42"/>
        <v>0</v>
      </c>
      <c r="BA470" s="34" t="str">
        <f t="shared" ca="1" si="30"/>
        <v>VariantAllowances</v>
      </c>
      <c r="BB470" s="34" t="str">
        <f t="shared" si="28"/>
        <v>Variant allowances detailed calculation</v>
      </c>
      <c r="BC470" s="34" t="str">
        <f t="shared" si="29"/>
        <v>Variant allowances allocation to totex categories</v>
      </c>
    </row>
    <row r="471" spans="4:55" x14ac:dyDescent="0.35">
      <c r="D471" s="1">
        <f t="shared" si="37"/>
        <v>1.5</v>
      </c>
      <c r="E471" s="193" t="str">
        <f t="shared" si="38"/>
        <v>VD_Tier 2A Mains and Services Replacement Volume Driver</v>
      </c>
      <c r="G471" s="33" t="str">
        <f t="shared" si="26"/>
        <v>£m 23/24 prices</v>
      </c>
      <c r="H471" s="33" t="s">
        <v>169</v>
      </c>
      <c r="AU471" s="166">
        <f t="shared" si="42"/>
        <v>0</v>
      </c>
      <c r="AV471" s="38">
        <f t="shared" si="42"/>
        <v>0</v>
      </c>
      <c r="AW471" s="38">
        <f t="shared" si="42"/>
        <v>0</v>
      </c>
      <c r="AX471" s="38">
        <f t="shared" si="42"/>
        <v>0</v>
      </c>
      <c r="AY471" s="215">
        <f t="shared" si="42"/>
        <v>0</v>
      </c>
      <c r="BA471" s="34" t="str">
        <f t="shared" ca="1" si="30"/>
        <v>VariantAllowances</v>
      </c>
      <c r="BB471" s="34" t="str">
        <f t="shared" si="28"/>
        <v>Variant allowances detailed calculation</v>
      </c>
      <c r="BC471" s="34" t="str">
        <f t="shared" si="29"/>
        <v>Variant allowances allocation to totex categories</v>
      </c>
    </row>
    <row r="472" spans="4:55" x14ac:dyDescent="0.35">
      <c r="D472" s="1">
        <f t="shared" si="37"/>
        <v>1.5</v>
      </c>
      <c r="E472" s="193" t="str">
        <f t="shared" si="38"/>
        <v>VD_Tier 2A Mains and Services Replacement Volume Driver</v>
      </c>
      <c r="G472" s="33" t="str">
        <f t="shared" si="26"/>
        <v>£m 23/24 prices</v>
      </c>
      <c r="H472" s="33" t="s">
        <v>170</v>
      </c>
      <c r="AU472" s="166">
        <f t="shared" si="42"/>
        <v>0</v>
      </c>
      <c r="AV472" s="38">
        <f t="shared" si="42"/>
        <v>0</v>
      </c>
      <c r="AW472" s="38">
        <f t="shared" si="42"/>
        <v>0</v>
      </c>
      <c r="AX472" s="38">
        <f t="shared" si="42"/>
        <v>0</v>
      </c>
      <c r="AY472" s="215">
        <f t="shared" si="42"/>
        <v>0</v>
      </c>
      <c r="BA472" s="34" t="str">
        <f t="shared" ca="1" si="30"/>
        <v>VariantAllowances</v>
      </c>
      <c r="BB472" s="34" t="str">
        <f t="shared" si="28"/>
        <v>Variant allowances detailed calculation</v>
      </c>
      <c r="BC472" s="34" t="str">
        <f t="shared" si="29"/>
        <v>Variant allowances allocation to totex categories</v>
      </c>
    </row>
    <row r="473" spans="4:55" x14ac:dyDescent="0.35">
      <c r="D473" s="1">
        <f t="shared" si="37"/>
        <v>1.5</v>
      </c>
      <c r="E473" s="193" t="str">
        <f t="shared" si="38"/>
        <v>VD_Tier 2A Mains and Services Replacement Volume Driver</v>
      </c>
      <c r="G473" s="33" t="str">
        <f t="shared" si="26"/>
        <v>£m 23/24 prices</v>
      </c>
      <c r="H473" s="33" t="s">
        <v>171</v>
      </c>
      <c r="AU473" s="166">
        <f t="shared" si="42"/>
        <v>0</v>
      </c>
      <c r="AV473" s="38">
        <f t="shared" si="42"/>
        <v>0</v>
      </c>
      <c r="AW473" s="38">
        <f t="shared" si="42"/>
        <v>0</v>
      </c>
      <c r="AX473" s="38">
        <f t="shared" si="42"/>
        <v>0</v>
      </c>
      <c r="AY473" s="215">
        <f t="shared" si="42"/>
        <v>0</v>
      </c>
      <c r="BA473" s="34" t="str">
        <f t="shared" ca="1" si="30"/>
        <v>VariantAllowances</v>
      </c>
      <c r="BB473" s="34" t="str">
        <f t="shared" si="28"/>
        <v>Variant allowances detailed calculation</v>
      </c>
      <c r="BC473" s="34" t="str">
        <f t="shared" si="29"/>
        <v>Variant allowances allocation to totex categories</v>
      </c>
    </row>
    <row r="474" spans="4:55" x14ac:dyDescent="0.35">
      <c r="D474" s="1">
        <f t="shared" si="37"/>
        <v>1.5</v>
      </c>
      <c r="E474" s="195" t="str">
        <f t="shared" si="38"/>
        <v>VD_Tier 2A Mains and Services Replacement Volume Driver</v>
      </c>
      <c r="F474" s="207"/>
      <c r="G474" s="196" t="str">
        <f t="shared" si="26"/>
        <v>£m 23/24 prices</v>
      </c>
      <c r="H474" s="196" t="s">
        <v>172</v>
      </c>
      <c r="I474" s="196"/>
      <c r="J474" s="196"/>
      <c r="K474" s="196"/>
      <c r="L474" s="196"/>
      <c r="M474" s="196"/>
      <c r="N474" s="196"/>
      <c r="O474" s="196"/>
      <c r="P474" s="196"/>
      <c r="Q474" s="196"/>
      <c r="R474" s="196"/>
      <c r="S474" s="196"/>
      <c r="T474" s="196"/>
      <c r="U474" s="196"/>
      <c r="V474" s="196"/>
      <c r="W474" s="196"/>
      <c r="X474" s="196"/>
      <c r="Y474" s="196"/>
      <c r="Z474" s="196"/>
      <c r="AA474" s="196"/>
      <c r="AB474" s="196"/>
      <c r="AC474" s="196"/>
      <c r="AD474" s="196"/>
      <c r="AE474" s="196"/>
      <c r="AF474" s="196"/>
      <c r="AG474" s="196"/>
      <c r="AH474" s="196"/>
      <c r="AI474" s="196"/>
      <c r="AJ474" s="196"/>
      <c r="AK474" s="196"/>
      <c r="AL474" s="196"/>
      <c r="AM474" s="196"/>
      <c r="AN474" s="196"/>
      <c r="AO474" s="196"/>
      <c r="AP474" s="196"/>
      <c r="AQ474" s="196"/>
      <c r="AR474" s="196"/>
      <c r="AS474" s="196"/>
      <c r="AT474" s="208"/>
      <c r="AU474" s="216">
        <f t="shared" si="42"/>
        <v>1.6249792416178273</v>
      </c>
      <c r="AV474" s="217">
        <f t="shared" si="42"/>
        <v>1.621156924180772</v>
      </c>
      <c r="AW474" s="217">
        <f t="shared" si="42"/>
        <v>1.5244649102439816</v>
      </c>
      <c r="AX474" s="217">
        <f t="shared" si="42"/>
        <v>1.4872780783305408</v>
      </c>
      <c r="AY474" s="218">
        <f t="shared" si="42"/>
        <v>1.4704102890598547</v>
      </c>
      <c r="BA474" s="34" t="str">
        <f t="shared" ca="1" si="30"/>
        <v>VariantAllowances</v>
      </c>
      <c r="BB474" s="34" t="str">
        <f t="shared" si="28"/>
        <v>Variant allowances detailed calculation</v>
      </c>
      <c r="BC474" s="34" t="str">
        <f t="shared" si="29"/>
        <v>Variant allowances allocation to totex categories</v>
      </c>
    </row>
    <row r="475" spans="4:55" x14ac:dyDescent="0.35">
      <c r="D475" s="1">
        <f t="shared" si="37"/>
        <v>2.5</v>
      </c>
      <c r="E475" s="187" t="str">
        <f t="shared" si="38"/>
        <v>UIOLI_Net Zero and Re-opener Development Fund / Decarbonisation Project Development Fund UIOLI</v>
      </c>
      <c r="F475" s="201"/>
      <c r="G475" s="188" t="str">
        <f t="shared" si="26"/>
        <v>£m 23/24 prices</v>
      </c>
      <c r="H475" s="188" t="s">
        <v>168</v>
      </c>
      <c r="I475" s="188"/>
      <c r="J475" s="188"/>
      <c r="K475" s="188"/>
      <c r="L475" s="188"/>
      <c r="M475" s="188"/>
      <c r="N475" s="188"/>
      <c r="O475" s="188"/>
      <c r="P475" s="188"/>
      <c r="Q475" s="188"/>
      <c r="R475" s="188"/>
      <c r="S475" s="188"/>
      <c r="T475" s="188"/>
      <c r="U475" s="188"/>
      <c r="V475" s="188"/>
      <c r="W475" s="188"/>
      <c r="X475" s="188"/>
      <c r="Y475" s="188"/>
      <c r="Z475" s="188"/>
      <c r="AA475" s="188"/>
      <c r="AB475" s="188"/>
      <c r="AC475" s="188"/>
      <c r="AD475" s="188"/>
      <c r="AE475" s="188"/>
      <c r="AF475" s="188"/>
      <c r="AG475" s="188"/>
      <c r="AH475" s="188"/>
      <c r="AI475" s="188"/>
      <c r="AJ475" s="188"/>
      <c r="AK475" s="188"/>
      <c r="AL475" s="188"/>
      <c r="AM475" s="188"/>
      <c r="AN475" s="188"/>
      <c r="AO475" s="188"/>
      <c r="AP475" s="188"/>
      <c r="AQ475" s="188"/>
      <c r="AR475" s="188"/>
      <c r="AS475" s="188"/>
      <c r="AT475" s="202"/>
      <c r="AU475" s="212">
        <f t="shared" ref="AU475:AY484" si="43">INDEX(AU$8:AU$57,MATCH($E475,$E$8:$E$57,0))*AU222</f>
        <v>0</v>
      </c>
      <c r="AV475" s="213">
        <f t="shared" si="43"/>
        <v>0</v>
      </c>
      <c r="AW475" s="213">
        <f t="shared" si="43"/>
        <v>0</v>
      </c>
      <c r="AX475" s="213">
        <f t="shared" si="43"/>
        <v>0</v>
      </c>
      <c r="AY475" s="214">
        <f t="shared" si="43"/>
        <v>0</v>
      </c>
      <c r="BA475" s="34" t="str">
        <f t="shared" ca="1" si="30"/>
        <v>VariantAllowances</v>
      </c>
      <c r="BB475" s="34" t="str">
        <f t="shared" si="28"/>
        <v>Variant allowances detailed calculation</v>
      </c>
      <c r="BC475" s="34" t="str">
        <f t="shared" si="29"/>
        <v>Variant allowances allocation to totex categories</v>
      </c>
    </row>
    <row r="476" spans="4:55" x14ac:dyDescent="0.35">
      <c r="D476" s="1">
        <f t="shared" si="37"/>
        <v>2.5</v>
      </c>
      <c r="E476" s="193" t="str">
        <f t="shared" si="38"/>
        <v>UIOLI_Net Zero and Re-opener Development Fund / Decarbonisation Project Development Fund UIOLI</v>
      </c>
      <c r="G476" s="33" t="str">
        <f t="shared" si="26"/>
        <v>£m 23/24 prices</v>
      </c>
      <c r="H476" s="33" t="s">
        <v>169</v>
      </c>
      <c r="AU476" s="166">
        <f t="shared" si="43"/>
        <v>0.24784995798772846</v>
      </c>
      <c r="AV476" s="38">
        <f t="shared" si="43"/>
        <v>0.25534293079615111</v>
      </c>
      <c r="AW476" s="38">
        <f t="shared" si="43"/>
        <v>0.25325279841311449</v>
      </c>
      <c r="AX476" s="38">
        <f t="shared" si="43"/>
        <v>0.23216214450881686</v>
      </c>
      <c r="AY476" s="215">
        <f t="shared" si="43"/>
        <v>0.21789930374694225</v>
      </c>
      <c r="BA476" s="34" t="str">
        <f t="shared" ca="1" si="30"/>
        <v>VariantAllowances</v>
      </c>
      <c r="BB476" s="34" t="str">
        <f t="shared" si="28"/>
        <v>Variant allowances detailed calculation</v>
      </c>
      <c r="BC476" s="34" t="str">
        <f t="shared" si="29"/>
        <v>Variant allowances allocation to totex categories</v>
      </c>
    </row>
    <row r="477" spans="4:55" x14ac:dyDescent="0.35">
      <c r="D477" s="1">
        <f t="shared" si="37"/>
        <v>2.5</v>
      </c>
      <c r="E477" s="193" t="str">
        <f t="shared" si="38"/>
        <v>UIOLI_Net Zero and Re-opener Development Fund / Decarbonisation Project Development Fund UIOLI</v>
      </c>
      <c r="G477" s="33" t="str">
        <f t="shared" si="26"/>
        <v>£m 23/24 prices</v>
      </c>
      <c r="H477" s="33" t="s">
        <v>170</v>
      </c>
      <c r="AU477" s="166">
        <f t="shared" si="43"/>
        <v>0</v>
      </c>
      <c r="AV477" s="38">
        <f t="shared" si="43"/>
        <v>0</v>
      </c>
      <c r="AW477" s="38">
        <f t="shared" si="43"/>
        <v>0</v>
      </c>
      <c r="AX477" s="38">
        <f t="shared" si="43"/>
        <v>0</v>
      </c>
      <c r="AY477" s="215">
        <f t="shared" si="43"/>
        <v>0</v>
      </c>
      <c r="BA477" s="34" t="str">
        <f t="shared" ca="1" si="30"/>
        <v>VariantAllowances</v>
      </c>
      <c r="BB477" s="34" t="str">
        <f t="shared" si="28"/>
        <v>Variant allowances detailed calculation</v>
      </c>
      <c r="BC477" s="34" t="str">
        <f t="shared" si="29"/>
        <v>Variant allowances allocation to totex categories</v>
      </c>
    </row>
    <row r="478" spans="4:55" x14ac:dyDescent="0.35">
      <c r="D478" s="1">
        <f t="shared" si="37"/>
        <v>2.5</v>
      </c>
      <c r="E478" s="193" t="str">
        <f t="shared" si="38"/>
        <v>UIOLI_Net Zero and Re-opener Development Fund / Decarbonisation Project Development Fund UIOLI</v>
      </c>
      <c r="G478" s="33" t="str">
        <f t="shared" si="26"/>
        <v>£m 23/24 prices</v>
      </c>
      <c r="H478" s="33" t="s">
        <v>171</v>
      </c>
      <c r="AU478" s="166">
        <f t="shared" si="43"/>
        <v>0.99139983195091386</v>
      </c>
      <c r="AV478" s="38">
        <f t="shared" si="43"/>
        <v>1.0213717231846045</v>
      </c>
      <c r="AW478" s="38">
        <f t="shared" si="43"/>
        <v>1.013011193652458</v>
      </c>
      <c r="AX478" s="38">
        <f t="shared" si="43"/>
        <v>0.92864857803526746</v>
      </c>
      <c r="AY478" s="215">
        <f t="shared" si="43"/>
        <v>0.87159721498776899</v>
      </c>
      <c r="BA478" s="34" t="str">
        <f t="shared" ca="1" si="30"/>
        <v>VariantAllowances</v>
      </c>
      <c r="BB478" s="34" t="str">
        <f t="shared" si="28"/>
        <v>Variant allowances detailed calculation</v>
      </c>
      <c r="BC478" s="34" t="str">
        <f t="shared" si="29"/>
        <v>Variant allowances allocation to totex categories</v>
      </c>
    </row>
    <row r="479" spans="4:55" x14ac:dyDescent="0.35">
      <c r="D479" s="1">
        <f t="shared" si="37"/>
        <v>2.5</v>
      </c>
      <c r="E479" s="195" t="str">
        <f t="shared" si="38"/>
        <v>UIOLI_Net Zero and Re-opener Development Fund / Decarbonisation Project Development Fund UIOLI</v>
      </c>
      <c r="F479" s="207"/>
      <c r="G479" s="196" t="str">
        <f t="shared" si="26"/>
        <v>£m 23/24 prices</v>
      </c>
      <c r="H479" s="196" t="s">
        <v>172</v>
      </c>
      <c r="I479" s="196"/>
      <c r="J479" s="196"/>
      <c r="K479" s="196"/>
      <c r="L479" s="196"/>
      <c r="M479" s="196"/>
      <c r="N479" s="196"/>
      <c r="O479" s="196"/>
      <c r="P479" s="196"/>
      <c r="Q479" s="196"/>
      <c r="R479" s="196"/>
      <c r="S479" s="196"/>
      <c r="T479" s="196"/>
      <c r="U479" s="196"/>
      <c r="V479" s="196"/>
      <c r="W479" s="196"/>
      <c r="X479" s="196"/>
      <c r="Y479" s="196"/>
      <c r="Z479" s="196"/>
      <c r="AA479" s="196"/>
      <c r="AB479" s="196"/>
      <c r="AC479" s="196"/>
      <c r="AD479" s="196"/>
      <c r="AE479" s="196"/>
      <c r="AF479" s="196"/>
      <c r="AG479" s="196"/>
      <c r="AH479" s="196"/>
      <c r="AI479" s="196"/>
      <c r="AJ479" s="196"/>
      <c r="AK479" s="196"/>
      <c r="AL479" s="196"/>
      <c r="AM479" s="196"/>
      <c r="AN479" s="196"/>
      <c r="AO479" s="196"/>
      <c r="AP479" s="196"/>
      <c r="AQ479" s="196"/>
      <c r="AR479" s="196"/>
      <c r="AS479" s="196"/>
      <c r="AT479" s="208"/>
      <c r="AU479" s="216">
        <f t="shared" si="43"/>
        <v>0</v>
      </c>
      <c r="AV479" s="217">
        <f t="shared" si="43"/>
        <v>0</v>
      </c>
      <c r="AW479" s="217">
        <f t="shared" si="43"/>
        <v>0</v>
      </c>
      <c r="AX479" s="217">
        <f t="shared" si="43"/>
        <v>0</v>
      </c>
      <c r="AY479" s="218">
        <f t="shared" si="43"/>
        <v>0</v>
      </c>
      <c r="BA479" s="34" t="str">
        <f t="shared" ca="1" si="30"/>
        <v>VariantAllowances</v>
      </c>
      <c r="BB479" s="34" t="str">
        <f t="shared" si="28"/>
        <v>Variant allowances detailed calculation</v>
      </c>
      <c r="BC479" s="34" t="str">
        <f t="shared" si="29"/>
        <v>Variant allowances allocation to totex categories</v>
      </c>
    </row>
    <row r="480" spans="4:55" x14ac:dyDescent="0.35">
      <c r="D480" s="1">
        <f t="shared" si="37"/>
        <v>2.5</v>
      </c>
      <c r="E480" s="187" t="str">
        <f t="shared" si="38"/>
        <v>UIOLI_Cyber Resilience_NGN</v>
      </c>
      <c r="F480" s="201"/>
      <c r="G480" s="188" t="str">
        <f t="shared" si="26"/>
        <v>£m 23/24 prices</v>
      </c>
      <c r="H480" s="188" t="s">
        <v>168</v>
      </c>
      <c r="I480" s="188"/>
      <c r="J480" s="188"/>
      <c r="K480" s="188"/>
      <c r="L480" s="188"/>
      <c r="M480" s="188"/>
      <c r="N480" s="188"/>
      <c r="O480" s="188"/>
      <c r="P480" s="188"/>
      <c r="Q480" s="188"/>
      <c r="R480" s="188"/>
      <c r="S480" s="188"/>
      <c r="T480" s="188"/>
      <c r="U480" s="188"/>
      <c r="V480" s="188"/>
      <c r="W480" s="188"/>
      <c r="X480" s="188"/>
      <c r="Y480" s="188"/>
      <c r="Z480" s="188"/>
      <c r="AA480" s="188"/>
      <c r="AB480" s="188"/>
      <c r="AC480" s="188"/>
      <c r="AD480" s="188"/>
      <c r="AE480" s="188"/>
      <c r="AF480" s="188"/>
      <c r="AG480" s="188"/>
      <c r="AH480" s="188"/>
      <c r="AI480" s="188"/>
      <c r="AJ480" s="188"/>
      <c r="AK480" s="188"/>
      <c r="AL480" s="188"/>
      <c r="AM480" s="188"/>
      <c r="AN480" s="188"/>
      <c r="AO480" s="188"/>
      <c r="AP480" s="188"/>
      <c r="AQ480" s="188"/>
      <c r="AR480" s="188"/>
      <c r="AS480" s="188"/>
      <c r="AT480" s="202"/>
      <c r="AU480" s="212">
        <f t="shared" si="43"/>
        <v>0</v>
      </c>
      <c r="AV480" s="213">
        <f t="shared" si="43"/>
        <v>0</v>
      </c>
      <c r="AW480" s="213">
        <f t="shared" si="43"/>
        <v>0</v>
      </c>
      <c r="AX480" s="213">
        <f t="shared" si="43"/>
        <v>0</v>
      </c>
      <c r="AY480" s="214">
        <f t="shared" si="43"/>
        <v>0</v>
      </c>
      <c r="BA480" s="34" t="str">
        <f t="shared" ca="1" si="30"/>
        <v>VariantAllowances</v>
      </c>
      <c r="BB480" s="34" t="str">
        <f t="shared" si="28"/>
        <v>Variant allowances detailed calculation</v>
      </c>
      <c r="BC480" s="34" t="str">
        <f t="shared" si="29"/>
        <v>Variant allowances allocation to totex categories</v>
      </c>
    </row>
    <row r="481" spans="4:55" x14ac:dyDescent="0.35">
      <c r="D481" s="1">
        <f t="shared" si="37"/>
        <v>2.5</v>
      </c>
      <c r="E481" s="193" t="str">
        <f t="shared" si="38"/>
        <v>UIOLI_Cyber Resilience_NGN</v>
      </c>
      <c r="G481" s="33" t="str">
        <f t="shared" si="26"/>
        <v>£m 23/24 prices</v>
      </c>
      <c r="H481" s="33" t="s">
        <v>169</v>
      </c>
      <c r="AU481" s="166">
        <f t="shared" si="43"/>
        <v>0</v>
      </c>
      <c r="AV481" s="38">
        <f t="shared" si="43"/>
        <v>0</v>
      </c>
      <c r="AW481" s="38">
        <f t="shared" si="43"/>
        <v>0</v>
      </c>
      <c r="AX481" s="38">
        <f t="shared" si="43"/>
        <v>0</v>
      </c>
      <c r="AY481" s="215">
        <f t="shared" si="43"/>
        <v>0</v>
      </c>
      <c r="BA481" s="34" t="str">
        <f t="shared" ca="1" si="30"/>
        <v>VariantAllowances</v>
      </c>
      <c r="BB481" s="34" t="str">
        <f t="shared" si="28"/>
        <v>Variant allowances detailed calculation</v>
      </c>
      <c r="BC481" s="34" t="str">
        <f t="shared" si="29"/>
        <v>Variant allowances allocation to totex categories</v>
      </c>
    </row>
    <row r="482" spans="4:55" x14ac:dyDescent="0.35">
      <c r="D482" s="1">
        <f t="shared" si="37"/>
        <v>2.5</v>
      </c>
      <c r="E482" s="193" t="str">
        <f t="shared" si="38"/>
        <v>UIOLI_Cyber Resilience_NGN</v>
      </c>
      <c r="G482" s="33" t="str">
        <f t="shared" si="26"/>
        <v>£m 23/24 prices</v>
      </c>
      <c r="H482" s="33" t="s">
        <v>170</v>
      </c>
      <c r="AU482" s="166">
        <f t="shared" si="43"/>
        <v>0</v>
      </c>
      <c r="AV482" s="38">
        <f t="shared" si="43"/>
        <v>0</v>
      </c>
      <c r="AW482" s="38">
        <f t="shared" si="43"/>
        <v>0</v>
      </c>
      <c r="AX482" s="38">
        <f t="shared" si="43"/>
        <v>0</v>
      </c>
      <c r="AY482" s="215">
        <f t="shared" si="43"/>
        <v>0</v>
      </c>
      <c r="BA482" s="34" t="str">
        <f t="shared" ca="1" si="30"/>
        <v>VariantAllowances</v>
      </c>
      <c r="BB482" s="34" t="str">
        <f t="shared" si="28"/>
        <v>Variant allowances detailed calculation</v>
      </c>
      <c r="BC482" s="34" t="str">
        <f t="shared" si="29"/>
        <v>Variant allowances allocation to totex categories</v>
      </c>
    </row>
    <row r="483" spans="4:55" x14ac:dyDescent="0.35">
      <c r="D483" s="1">
        <f t="shared" si="37"/>
        <v>2.5</v>
      </c>
      <c r="E483" s="193" t="str">
        <f t="shared" si="38"/>
        <v>UIOLI_Cyber Resilience_NGN</v>
      </c>
      <c r="G483" s="33" t="str">
        <f t="shared" si="26"/>
        <v>£m 23/24 prices</v>
      </c>
      <c r="H483" s="33" t="s">
        <v>171</v>
      </c>
      <c r="AU483" s="166">
        <f t="shared" si="43"/>
        <v>0</v>
      </c>
      <c r="AV483" s="38">
        <f t="shared" si="43"/>
        <v>0</v>
      </c>
      <c r="AW483" s="38">
        <f t="shared" si="43"/>
        <v>0</v>
      </c>
      <c r="AX483" s="38">
        <f t="shared" si="43"/>
        <v>0</v>
      </c>
      <c r="AY483" s="215">
        <f t="shared" si="43"/>
        <v>0</v>
      </c>
      <c r="BA483" s="34" t="str">
        <f t="shared" ca="1" si="30"/>
        <v>VariantAllowances</v>
      </c>
      <c r="BB483" s="34" t="str">
        <f t="shared" si="28"/>
        <v>Variant allowances detailed calculation</v>
      </c>
      <c r="BC483" s="34" t="str">
        <f t="shared" si="29"/>
        <v>Variant allowances allocation to totex categories</v>
      </c>
    </row>
    <row r="484" spans="4:55" x14ac:dyDescent="0.35">
      <c r="D484" s="1">
        <f t="shared" si="37"/>
        <v>2.5</v>
      </c>
      <c r="E484" s="195" t="str">
        <f t="shared" si="38"/>
        <v>UIOLI_Cyber Resilience_NGN</v>
      </c>
      <c r="F484" s="207"/>
      <c r="G484" s="196" t="str">
        <f t="shared" ref="G484:G547" si="44">price_label</f>
        <v>£m 23/24 prices</v>
      </c>
      <c r="H484" s="196" t="s">
        <v>172</v>
      </c>
      <c r="I484" s="196"/>
      <c r="J484" s="196"/>
      <c r="K484" s="196"/>
      <c r="L484" s="196"/>
      <c r="M484" s="196"/>
      <c r="N484" s="196"/>
      <c r="O484" s="196"/>
      <c r="P484" s="196"/>
      <c r="Q484" s="196"/>
      <c r="R484" s="196"/>
      <c r="S484" s="196"/>
      <c r="T484" s="196"/>
      <c r="U484" s="196"/>
      <c r="V484" s="196"/>
      <c r="W484" s="196"/>
      <c r="X484" s="196"/>
      <c r="Y484" s="196"/>
      <c r="Z484" s="196"/>
      <c r="AA484" s="196"/>
      <c r="AB484" s="196"/>
      <c r="AC484" s="196"/>
      <c r="AD484" s="196"/>
      <c r="AE484" s="196"/>
      <c r="AF484" s="196"/>
      <c r="AG484" s="196"/>
      <c r="AH484" s="196"/>
      <c r="AI484" s="196"/>
      <c r="AJ484" s="196"/>
      <c r="AK484" s="196"/>
      <c r="AL484" s="196"/>
      <c r="AM484" s="196"/>
      <c r="AN484" s="196"/>
      <c r="AO484" s="196"/>
      <c r="AP484" s="196"/>
      <c r="AQ484" s="196"/>
      <c r="AR484" s="196"/>
      <c r="AS484" s="196"/>
      <c r="AT484" s="208"/>
      <c r="AU484" s="216">
        <f t="shared" si="43"/>
        <v>0</v>
      </c>
      <c r="AV484" s="217">
        <f t="shared" si="43"/>
        <v>0</v>
      </c>
      <c r="AW484" s="217">
        <f t="shared" si="43"/>
        <v>0</v>
      </c>
      <c r="AX484" s="217">
        <f t="shared" si="43"/>
        <v>0</v>
      </c>
      <c r="AY484" s="218">
        <f t="shared" si="43"/>
        <v>0</v>
      </c>
      <c r="BA484" s="34" t="str">
        <f t="shared" ca="1" si="30"/>
        <v>VariantAllowances</v>
      </c>
      <c r="BB484" s="34" t="str">
        <f t="shared" ref="BB484:BB547" si="45">$A$363</f>
        <v>Variant allowances detailed calculation</v>
      </c>
      <c r="BC484" s="34" t="str">
        <f t="shared" ref="BC484:BC547" si="46">$B$364</f>
        <v>Variant allowances allocation to totex categories</v>
      </c>
    </row>
    <row r="485" spans="4:55" x14ac:dyDescent="0.35">
      <c r="D485" s="1">
        <f t="shared" si="37"/>
        <v>2.5</v>
      </c>
      <c r="E485" s="187" t="str">
        <f t="shared" si="38"/>
        <v>UIOLI_Cyber Resilience_All except NGN and WWU</v>
      </c>
      <c r="F485" s="201"/>
      <c r="G485" s="188" t="str">
        <f t="shared" si="44"/>
        <v>£m 23/24 prices</v>
      </c>
      <c r="H485" s="188" t="s">
        <v>168</v>
      </c>
      <c r="I485" s="188"/>
      <c r="J485" s="188"/>
      <c r="K485" s="188"/>
      <c r="L485" s="188"/>
      <c r="M485" s="188"/>
      <c r="N485" s="188"/>
      <c r="O485" s="188"/>
      <c r="P485" s="188"/>
      <c r="Q485" s="188"/>
      <c r="R485" s="188"/>
      <c r="S485" s="188"/>
      <c r="T485" s="188"/>
      <c r="U485" s="188"/>
      <c r="V485" s="188"/>
      <c r="W485" s="188"/>
      <c r="X485" s="188"/>
      <c r="Y485" s="188"/>
      <c r="Z485" s="188"/>
      <c r="AA485" s="188"/>
      <c r="AB485" s="188"/>
      <c r="AC485" s="188"/>
      <c r="AD485" s="188"/>
      <c r="AE485" s="188"/>
      <c r="AF485" s="188"/>
      <c r="AG485" s="188"/>
      <c r="AH485" s="188"/>
      <c r="AI485" s="188"/>
      <c r="AJ485" s="188"/>
      <c r="AK485" s="188"/>
      <c r="AL485" s="188"/>
      <c r="AM485" s="188"/>
      <c r="AN485" s="188"/>
      <c r="AO485" s="188"/>
      <c r="AP485" s="188"/>
      <c r="AQ485" s="188"/>
      <c r="AR485" s="188"/>
      <c r="AS485" s="188"/>
      <c r="AT485" s="202"/>
      <c r="AU485" s="212">
        <f t="shared" ref="AU485:AY494" si="47">INDEX(AU$8:AU$57,MATCH($E485,$E$8:$E$57,0))*AU232</f>
        <v>0</v>
      </c>
      <c r="AV485" s="213">
        <f t="shared" si="47"/>
        <v>0</v>
      </c>
      <c r="AW485" s="213">
        <f t="shared" si="47"/>
        <v>0</v>
      </c>
      <c r="AX485" s="213">
        <f t="shared" si="47"/>
        <v>0</v>
      </c>
      <c r="AY485" s="214">
        <f t="shared" si="47"/>
        <v>0</v>
      </c>
      <c r="BA485" s="34" t="str">
        <f t="shared" ref="BA485:BA548" ca="1" si="48">$A$1</f>
        <v>VariantAllowances</v>
      </c>
      <c r="BB485" s="34" t="str">
        <f t="shared" si="45"/>
        <v>Variant allowances detailed calculation</v>
      </c>
      <c r="BC485" s="34" t="str">
        <f t="shared" si="46"/>
        <v>Variant allowances allocation to totex categories</v>
      </c>
    </row>
    <row r="486" spans="4:55" x14ac:dyDescent="0.35">
      <c r="D486" s="1">
        <f t="shared" si="37"/>
        <v>2.5</v>
      </c>
      <c r="E486" s="193" t="str">
        <f t="shared" si="38"/>
        <v>UIOLI_Cyber Resilience_All except NGN and WWU</v>
      </c>
      <c r="G486" s="33" t="str">
        <f t="shared" si="44"/>
        <v>£m 23/24 prices</v>
      </c>
      <c r="H486" s="33" t="s">
        <v>169</v>
      </c>
      <c r="AU486" s="166">
        <f t="shared" si="47"/>
        <v>0</v>
      </c>
      <c r="AV486" s="38">
        <f t="shared" si="47"/>
        <v>0</v>
      </c>
      <c r="AW486" s="38">
        <f t="shared" si="47"/>
        <v>0</v>
      </c>
      <c r="AX486" s="38">
        <f t="shared" si="47"/>
        <v>0</v>
      </c>
      <c r="AY486" s="215">
        <f t="shared" si="47"/>
        <v>0</v>
      </c>
      <c r="BA486" s="34" t="str">
        <f t="shared" ca="1" si="48"/>
        <v>VariantAllowances</v>
      </c>
      <c r="BB486" s="34" t="str">
        <f t="shared" si="45"/>
        <v>Variant allowances detailed calculation</v>
      </c>
      <c r="BC486" s="34" t="str">
        <f t="shared" si="46"/>
        <v>Variant allowances allocation to totex categories</v>
      </c>
    </row>
    <row r="487" spans="4:55" x14ac:dyDescent="0.35">
      <c r="D487" s="1">
        <f t="shared" si="37"/>
        <v>2.5</v>
      </c>
      <c r="E487" s="193" t="str">
        <f t="shared" si="38"/>
        <v>UIOLI_Cyber Resilience_All except NGN and WWU</v>
      </c>
      <c r="G487" s="33" t="str">
        <f t="shared" si="44"/>
        <v>£m 23/24 prices</v>
      </c>
      <c r="H487" s="33" t="s">
        <v>170</v>
      </c>
      <c r="AU487" s="166">
        <f t="shared" si="47"/>
        <v>0.10206121530286198</v>
      </c>
      <c r="AV487" s="38">
        <f t="shared" si="47"/>
        <v>0.12990934690692862</v>
      </c>
      <c r="AW487" s="38">
        <f t="shared" si="47"/>
        <v>0.14575828722957393</v>
      </c>
      <c r="AX487" s="38">
        <f t="shared" si="47"/>
        <v>0.1612772578110756</v>
      </c>
      <c r="AY487" s="215">
        <f t="shared" si="47"/>
        <v>0.17647127315222433</v>
      </c>
      <c r="BA487" s="34" t="str">
        <f t="shared" ca="1" si="48"/>
        <v>VariantAllowances</v>
      </c>
      <c r="BB487" s="34" t="str">
        <f t="shared" si="45"/>
        <v>Variant allowances detailed calculation</v>
      </c>
      <c r="BC487" s="34" t="str">
        <f t="shared" si="46"/>
        <v>Variant allowances allocation to totex categories</v>
      </c>
    </row>
    <row r="488" spans="4:55" x14ac:dyDescent="0.35">
      <c r="D488" s="1">
        <f t="shared" si="37"/>
        <v>2.5</v>
      </c>
      <c r="E488" s="193" t="str">
        <f t="shared" si="38"/>
        <v>UIOLI_Cyber Resilience_All except NGN and WWU</v>
      </c>
      <c r="G488" s="33" t="str">
        <f t="shared" si="44"/>
        <v>£m 23/24 prices</v>
      </c>
      <c r="H488" s="33" t="s">
        <v>171</v>
      </c>
      <c r="AU488" s="166">
        <f t="shared" si="47"/>
        <v>0</v>
      </c>
      <c r="AV488" s="38">
        <f t="shared" si="47"/>
        <v>0</v>
      </c>
      <c r="AW488" s="38">
        <f t="shared" si="47"/>
        <v>0</v>
      </c>
      <c r="AX488" s="38">
        <f t="shared" si="47"/>
        <v>0</v>
      </c>
      <c r="AY488" s="215">
        <f t="shared" si="47"/>
        <v>0</v>
      </c>
      <c r="BA488" s="34" t="str">
        <f t="shared" ca="1" si="48"/>
        <v>VariantAllowances</v>
      </c>
      <c r="BB488" s="34" t="str">
        <f t="shared" si="45"/>
        <v>Variant allowances detailed calculation</v>
      </c>
      <c r="BC488" s="34" t="str">
        <f t="shared" si="46"/>
        <v>Variant allowances allocation to totex categories</v>
      </c>
    </row>
    <row r="489" spans="4:55" x14ac:dyDescent="0.35">
      <c r="D489" s="1">
        <f t="shared" si="37"/>
        <v>2.5</v>
      </c>
      <c r="E489" s="195" t="str">
        <f t="shared" si="38"/>
        <v>UIOLI_Cyber Resilience_All except NGN and WWU</v>
      </c>
      <c r="F489" s="207"/>
      <c r="G489" s="196" t="str">
        <f t="shared" si="44"/>
        <v>£m 23/24 prices</v>
      </c>
      <c r="H489" s="196" t="s">
        <v>172</v>
      </c>
      <c r="I489" s="196"/>
      <c r="J489" s="196"/>
      <c r="K489" s="196"/>
      <c r="L489" s="196"/>
      <c r="M489" s="196"/>
      <c r="N489" s="196"/>
      <c r="O489" s="196"/>
      <c r="P489" s="196"/>
      <c r="Q489" s="196"/>
      <c r="R489" s="196"/>
      <c r="S489" s="196"/>
      <c r="T489" s="196"/>
      <c r="U489" s="196"/>
      <c r="V489" s="196"/>
      <c r="W489" s="196"/>
      <c r="X489" s="196"/>
      <c r="Y489" s="196"/>
      <c r="Z489" s="196"/>
      <c r="AA489" s="196"/>
      <c r="AB489" s="196"/>
      <c r="AC489" s="196"/>
      <c r="AD489" s="196"/>
      <c r="AE489" s="196"/>
      <c r="AF489" s="196"/>
      <c r="AG489" s="196"/>
      <c r="AH489" s="196"/>
      <c r="AI489" s="196"/>
      <c r="AJ489" s="196"/>
      <c r="AK489" s="196"/>
      <c r="AL489" s="196"/>
      <c r="AM489" s="196"/>
      <c r="AN489" s="196"/>
      <c r="AO489" s="196"/>
      <c r="AP489" s="196"/>
      <c r="AQ489" s="196"/>
      <c r="AR489" s="196"/>
      <c r="AS489" s="196"/>
      <c r="AT489" s="208"/>
      <c r="AU489" s="216">
        <f t="shared" si="47"/>
        <v>0</v>
      </c>
      <c r="AV489" s="217">
        <f t="shared" si="47"/>
        <v>0</v>
      </c>
      <c r="AW489" s="217">
        <f t="shared" si="47"/>
        <v>0</v>
      </c>
      <c r="AX489" s="217">
        <f t="shared" si="47"/>
        <v>0</v>
      </c>
      <c r="AY489" s="218">
        <f t="shared" si="47"/>
        <v>0</v>
      </c>
      <c r="BA489" s="34" t="str">
        <f t="shared" ca="1" si="48"/>
        <v>VariantAllowances</v>
      </c>
      <c r="BB489" s="34" t="str">
        <f t="shared" si="45"/>
        <v>Variant allowances detailed calculation</v>
      </c>
      <c r="BC489" s="34" t="str">
        <f t="shared" si="46"/>
        <v>Variant allowances allocation to totex categories</v>
      </c>
    </row>
    <row r="490" spans="4:55" x14ac:dyDescent="0.35">
      <c r="D490" s="1">
        <f t="shared" si="37"/>
        <v>2.5</v>
      </c>
      <c r="E490" s="187" t="str">
        <f t="shared" si="38"/>
        <v>UIOLI_Biomethane connections / Biomethane Distributed Entry Reinforcement</v>
      </c>
      <c r="F490" s="201"/>
      <c r="G490" s="188" t="str">
        <f t="shared" si="44"/>
        <v>£m 23/24 prices</v>
      </c>
      <c r="H490" s="188" t="s">
        <v>168</v>
      </c>
      <c r="I490" s="188"/>
      <c r="J490" s="188"/>
      <c r="K490" s="188"/>
      <c r="L490" s="188"/>
      <c r="M490" s="188"/>
      <c r="N490" s="188"/>
      <c r="O490" s="188"/>
      <c r="P490" s="188"/>
      <c r="Q490" s="188"/>
      <c r="R490" s="188"/>
      <c r="S490" s="188"/>
      <c r="T490" s="188"/>
      <c r="U490" s="188"/>
      <c r="V490" s="188"/>
      <c r="W490" s="188"/>
      <c r="X490" s="188"/>
      <c r="Y490" s="188"/>
      <c r="Z490" s="188"/>
      <c r="AA490" s="188"/>
      <c r="AB490" s="188"/>
      <c r="AC490" s="188"/>
      <c r="AD490" s="188"/>
      <c r="AE490" s="188"/>
      <c r="AF490" s="188"/>
      <c r="AG490" s="188"/>
      <c r="AH490" s="188"/>
      <c r="AI490" s="188"/>
      <c r="AJ490" s="188"/>
      <c r="AK490" s="188"/>
      <c r="AL490" s="188"/>
      <c r="AM490" s="188"/>
      <c r="AN490" s="188"/>
      <c r="AO490" s="188"/>
      <c r="AP490" s="188"/>
      <c r="AQ490" s="188"/>
      <c r="AR490" s="188"/>
      <c r="AS490" s="188"/>
      <c r="AT490" s="202"/>
      <c r="AU490" s="212">
        <f t="shared" si="47"/>
        <v>4</v>
      </c>
      <c r="AV490" s="213">
        <f t="shared" si="47"/>
        <v>4</v>
      </c>
      <c r="AW490" s="213">
        <f t="shared" si="47"/>
        <v>4</v>
      </c>
      <c r="AX490" s="213">
        <f t="shared" si="47"/>
        <v>4</v>
      </c>
      <c r="AY490" s="214">
        <f t="shared" si="47"/>
        <v>4</v>
      </c>
      <c r="BA490" s="34" t="str">
        <f t="shared" ca="1" si="48"/>
        <v>VariantAllowances</v>
      </c>
      <c r="BB490" s="34" t="str">
        <f t="shared" si="45"/>
        <v>Variant allowances detailed calculation</v>
      </c>
      <c r="BC490" s="34" t="str">
        <f t="shared" si="46"/>
        <v>Variant allowances allocation to totex categories</v>
      </c>
    </row>
    <row r="491" spans="4:55" x14ac:dyDescent="0.35">
      <c r="D491" s="1">
        <f t="shared" si="37"/>
        <v>2.5</v>
      </c>
      <c r="E491" s="193" t="str">
        <f t="shared" si="38"/>
        <v>UIOLI_Biomethane connections / Biomethane Distributed Entry Reinforcement</v>
      </c>
      <c r="G491" s="33" t="str">
        <f t="shared" si="44"/>
        <v>£m 23/24 prices</v>
      </c>
      <c r="H491" s="33" t="s">
        <v>169</v>
      </c>
      <c r="AU491" s="166">
        <f t="shared" si="47"/>
        <v>0</v>
      </c>
      <c r="AV491" s="38">
        <f t="shared" si="47"/>
        <v>0</v>
      </c>
      <c r="AW491" s="38">
        <f t="shared" si="47"/>
        <v>0</v>
      </c>
      <c r="AX491" s="38">
        <f t="shared" si="47"/>
        <v>0</v>
      </c>
      <c r="AY491" s="215">
        <f t="shared" si="47"/>
        <v>0</v>
      </c>
      <c r="BA491" s="34" t="str">
        <f t="shared" ca="1" si="48"/>
        <v>VariantAllowances</v>
      </c>
      <c r="BB491" s="34" t="str">
        <f t="shared" si="45"/>
        <v>Variant allowances detailed calculation</v>
      </c>
      <c r="BC491" s="34" t="str">
        <f t="shared" si="46"/>
        <v>Variant allowances allocation to totex categories</v>
      </c>
    </row>
    <row r="492" spans="4:55" x14ac:dyDescent="0.35">
      <c r="D492" s="1">
        <f t="shared" si="37"/>
        <v>2.5</v>
      </c>
      <c r="E492" s="193" t="str">
        <f t="shared" si="38"/>
        <v>UIOLI_Biomethane connections / Biomethane Distributed Entry Reinforcement</v>
      </c>
      <c r="G492" s="33" t="str">
        <f t="shared" si="44"/>
        <v>£m 23/24 prices</v>
      </c>
      <c r="H492" s="33" t="s">
        <v>170</v>
      </c>
      <c r="AU492" s="166">
        <f t="shared" si="47"/>
        <v>0</v>
      </c>
      <c r="AV492" s="38">
        <f t="shared" si="47"/>
        <v>0</v>
      </c>
      <c r="AW492" s="38">
        <f t="shared" si="47"/>
        <v>0</v>
      </c>
      <c r="AX492" s="38">
        <f t="shared" si="47"/>
        <v>0</v>
      </c>
      <c r="AY492" s="215">
        <f t="shared" si="47"/>
        <v>0</v>
      </c>
      <c r="BA492" s="34" t="str">
        <f t="shared" ca="1" si="48"/>
        <v>VariantAllowances</v>
      </c>
      <c r="BB492" s="34" t="str">
        <f t="shared" si="45"/>
        <v>Variant allowances detailed calculation</v>
      </c>
      <c r="BC492" s="34" t="str">
        <f t="shared" si="46"/>
        <v>Variant allowances allocation to totex categories</v>
      </c>
    </row>
    <row r="493" spans="4:55" x14ac:dyDescent="0.35">
      <c r="D493" s="1">
        <f t="shared" ref="D493:D556" si="49">INDEX($AY$60:$AY$109,MATCH(E493,$E$60:$E$109,0))</f>
        <v>2.5</v>
      </c>
      <c r="E493" s="193" t="str">
        <f t="shared" ref="E493:E556" si="50">E240</f>
        <v>UIOLI_Biomethane connections / Biomethane Distributed Entry Reinforcement</v>
      </c>
      <c r="G493" s="33" t="str">
        <f t="shared" si="44"/>
        <v>£m 23/24 prices</v>
      </c>
      <c r="H493" s="33" t="s">
        <v>171</v>
      </c>
      <c r="AU493" s="166">
        <f t="shared" si="47"/>
        <v>0</v>
      </c>
      <c r="AV493" s="38">
        <f t="shared" si="47"/>
        <v>0</v>
      </c>
      <c r="AW493" s="38">
        <f t="shared" si="47"/>
        <v>0</v>
      </c>
      <c r="AX493" s="38">
        <f t="shared" si="47"/>
        <v>0</v>
      </c>
      <c r="AY493" s="215">
        <f t="shared" si="47"/>
        <v>0</v>
      </c>
      <c r="BA493" s="34" t="str">
        <f t="shared" ca="1" si="48"/>
        <v>VariantAllowances</v>
      </c>
      <c r="BB493" s="34" t="str">
        <f t="shared" si="45"/>
        <v>Variant allowances detailed calculation</v>
      </c>
      <c r="BC493" s="34" t="str">
        <f t="shared" si="46"/>
        <v>Variant allowances allocation to totex categories</v>
      </c>
    </row>
    <row r="494" spans="4:55" x14ac:dyDescent="0.35">
      <c r="D494" s="1">
        <f t="shared" si="49"/>
        <v>2.5</v>
      </c>
      <c r="E494" s="195" t="str">
        <f t="shared" si="50"/>
        <v>UIOLI_Biomethane connections / Biomethane Distributed Entry Reinforcement</v>
      </c>
      <c r="F494" s="207"/>
      <c r="G494" s="196" t="str">
        <f t="shared" si="44"/>
        <v>£m 23/24 prices</v>
      </c>
      <c r="H494" s="196" t="s">
        <v>172</v>
      </c>
      <c r="I494" s="196"/>
      <c r="J494" s="196"/>
      <c r="K494" s="196"/>
      <c r="L494" s="196"/>
      <c r="M494" s="196"/>
      <c r="N494" s="196"/>
      <c r="O494" s="196"/>
      <c r="P494" s="196"/>
      <c r="Q494" s="196"/>
      <c r="R494" s="196"/>
      <c r="S494" s="196"/>
      <c r="T494" s="196"/>
      <c r="U494" s="196"/>
      <c r="V494" s="196"/>
      <c r="W494" s="196"/>
      <c r="X494" s="196"/>
      <c r="Y494" s="196"/>
      <c r="Z494" s="196"/>
      <c r="AA494" s="196"/>
      <c r="AB494" s="196"/>
      <c r="AC494" s="196"/>
      <c r="AD494" s="196"/>
      <c r="AE494" s="196"/>
      <c r="AF494" s="196"/>
      <c r="AG494" s="196"/>
      <c r="AH494" s="196"/>
      <c r="AI494" s="196"/>
      <c r="AJ494" s="196"/>
      <c r="AK494" s="196"/>
      <c r="AL494" s="196"/>
      <c r="AM494" s="196"/>
      <c r="AN494" s="196"/>
      <c r="AO494" s="196"/>
      <c r="AP494" s="196"/>
      <c r="AQ494" s="196"/>
      <c r="AR494" s="196"/>
      <c r="AS494" s="196"/>
      <c r="AT494" s="208"/>
      <c r="AU494" s="216">
        <f t="shared" si="47"/>
        <v>0</v>
      </c>
      <c r="AV494" s="217">
        <f t="shared" si="47"/>
        <v>0</v>
      </c>
      <c r="AW494" s="217">
        <f t="shared" si="47"/>
        <v>0</v>
      </c>
      <c r="AX494" s="217">
        <f t="shared" si="47"/>
        <v>0</v>
      </c>
      <c r="AY494" s="218">
        <f t="shared" si="47"/>
        <v>0</v>
      </c>
      <c r="BA494" s="34" t="str">
        <f t="shared" ca="1" si="48"/>
        <v>VariantAllowances</v>
      </c>
      <c r="BB494" s="34" t="str">
        <f t="shared" si="45"/>
        <v>Variant allowances detailed calculation</v>
      </c>
      <c r="BC494" s="34" t="str">
        <f t="shared" si="46"/>
        <v>Variant allowances allocation to totex categories</v>
      </c>
    </row>
    <row r="495" spans="4:55" x14ac:dyDescent="0.35">
      <c r="D495" s="1">
        <f t="shared" si="49"/>
        <v>2.5</v>
      </c>
      <c r="E495" s="187" t="str">
        <f t="shared" si="50"/>
        <v>Re-opener_Climate change resilience work</v>
      </c>
      <c r="F495" s="201"/>
      <c r="G495" s="188" t="str">
        <f t="shared" si="44"/>
        <v>£m 23/24 prices</v>
      </c>
      <c r="H495" s="188" t="s">
        <v>168</v>
      </c>
      <c r="I495" s="188"/>
      <c r="J495" s="188"/>
      <c r="K495" s="188"/>
      <c r="L495" s="188"/>
      <c r="M495" s="188"/>
      <c r="N495" s="188"/>
      <c r="O495" s="188"/>
      <c r="P495" s="188"/>
      <c r="Q495" s="188"/>
      <c r="R495" s="188"/>
      <c r="S495" s="188"/>
      <c r="T495" s="188"/>
      <c r="U495" s="188"/>
      <c r="V495" s="188"/>
      <c r="W495" s="188"/>
      <c r="X495" s="188"/>
      <c r="Y495" s="188"/>
      <c r="Z495" s="188"/>
      <c r="AA495" s="188"/>
      <c r="AB495" s="188"/>
      <c r="AC495" s="188"/>
      <c r="AD495" s="188"/>
      <c r="AE495" s="188"/>
      <c r="AF495" s="188"/>
      <c r="AG495" s="188"/>
      <c r="AH495" s="188"/>
      <c r="AI495" s="188"/>
      <c r="AJ495" s="188"/>
      <c r="AK495" s="188"/>
      <c r="AL495" s="188"/>
      <c r="AM495" s="188"/>
      <c r="AN495" s="188"/>
      <c r="AO495" s="188"/>
      <c r="AP495" s="188"/>
      <c r="AQ495" s="188"/>
      <c r="AR495" s="188"/>
      <c r="AS495" s="188"/>
      <c r="AT495" s="202"/>
      <c r="AU495" s="212">
        <f t="shared" ref="AU495:AY504" si="51">INDEX(AU$8:AU$57,MATCH($E495,$E$8:$E$57,0))*AU242</f>
        <v>0</v>
      </c>
      <c r="AV495" s="213">
        <f t="shared" si="51"/>
        <v>0</v>
      </c>
      <c r="AW495" s="213">
        <f t="shared" si="51"/>
        <v>0</v>
      </c>
      <c r="AX495" s="213">
        <f t="shared" si="51"/>
        <v>0</v>
      </c>
      <c r="AY495" s="214">
        <f t="shared" si="51"/>
        <v>0</v>
      </c>
      <c r="BA495" s="34" t="str">
        <f t="shared" ca="1" si="48"/>
        <v>VariantAllowances</v>
      </c>
      <c r="BB495" s="34" t="str">
        <f t="shared" si="45"/>
        <v>Variant allowances detailed calculation</v>
      </c>
      <c r="BC495" s="34" t="str">
        <f t="shared" si="46"/>
        <v>Variant allowances allocation to totex categories</v>
      </c>
    </row>
    <row r="496" spans="4:55" x14ac:dyDescent="0.35">
      <c r="D496" s="1">
        <f t="shared" si="49"/>
        <v>2.5</v>
      </c>
      <c r="E496" s="193" t="str">
        <f t="shared" si="50"/>
        <v>Re-opener_Climate change resilience work</v>
      </c>
      <c r="G496" s="33" t="str">
        <f t="shared" si="44"/>
        <v>£m 23/24 prices</v>
      </c>
      <c r="H496" s="33" t="s">
        <v>169</v>
      </c>
      <c r="AU496" s="166">
        <f t="shared" si="51"/>
        <v>0</v>
      </c>
      <c r="AV496" s="38">
        <f t="shared" si="51"/>
        <v>0</v>
      </c>
      <c r="AW496" s="38">
        <f t="shared" si="51"/>
        <v>0</v>
      </c>
      <c r="AX496" s="38">
        <f t="shared" si="51"/>
        <v>0</v>
      </c>
      <c r="AY496" s="215">
        <f t="shared" si="51"/>
        <v>0</v>
      </c>
      <c r="BA496" s="34" t="str">
        <f t="shared" ca="1" si="48"/>
        <v>VariantAllowances</v>
      </c>
      <c r="BB496" s="34" t="str">
        <f t="shared" si="45"/>
        <v>Variant allowances detailed calculation</v>
      </c>
      <c r="BC496" s="34" t="str">
        <f t="shared" si="46"/>
        <v>Variant allowances allocation to totex categories</v>
      </c>
    </row>
    <row r="497" spans="4:55" x14ac:dyDescent="0.35">
      <c r="D497" s="1">
        <f t="shared" si="49"/>
        <v>2.5</v>
      </c>
      <c r="E497" s="193" t="str">
        <f t="shared" si="50"/>
        <v>Re-opener_Climate change resilience work</v>
      </c>
      <c r="G497" s="33" t="str">
        <f t="shared" si="44"/>
        <v>£m 23/24 prices</v>
      </c>
      <c r="H497" s="33" t="s">
        <v>170</v>
      </c>
      <c r="AU497" s="166">
        <f t="shared" si="51"/>
        <v>0</v>
      </c>
      <c r="AV497" s="38">
        <f t="shared" si="51"/>
        <v>0</v>
      </c>
      <c r="AW497" s="38">
        <f t="shared" si="51"/>
        <v>0</v>
      </c>
      <c r="AX497" s="38">
        <f t="shared" si="51"/>
        <v>0</v>
      </c>
      <c r="AY497" s="215">
        <f t="shared" si="51"/>
        <v>0</v>
      </c>
      <c r="BA497" s="34" t="str">
        <f t="shared" ca="1" si="48"/>
        <v>VariantAllowances</v>
      </c>
      <c r="BB497" s="34" t="str">
        <f t="shared" si="45"/>
        <v>Variant allowances detailed calculation</v>
      </c>
      <c r="BC497" s="34" t="str">
        <f t="shared" si="46"/>
        <v>Variant allowances allocation to totex categories</v>
      </c>
    </row>
    <row r="498" spans="4:55" x14ac:dyDescent="0.35">
      <c r="D498" s="1">
        <f t="shared" si="49"/>
        <v>2.5</v>
      </c>
      <c r="E498" s="193" t="str">
        <f t="shared" si="50"/>
        <v>Re-opener_Climate change resilience work</v>
      </c>
      <c r="G498" s="33" t="str">
        <f t="shared" si="44"/>
        <v>£m 23/24 prices</v>
      </c>
      <c r="H498" s="33" t="s">
        <v>171</v>
      </c>
      <c r="AU498" s="166">
        <f t="shared" si="51"/>
        <v>0</v>
      </c>
      <c r="AV498" s="38">
        <f t="shared" si="51"/>
        <v>0</v>
      </c>
      <c r="AW498" s="38">
        <f t="shared" si="51"/>
        <v>0</v>
      </c>
      <c r="AX498" s="38">
        <f t="shared" si="51"/>
        <v>0</v>
      </c>
      <c r="AY498" s="215">
        <f t="shared" si="51"/>
        <v>0</v>
      </c>
      <c r="BA498" s="34" t="str">
        <f t="shared" ca="1" si="48"/>
        <v>VariantAllowances</v>
      </c>
      <c r="BB498" s="34" t="str">
        <f t="shared" si="45"/>
        <v>Variant allowances detailed calculation</v>
      </c>
      <c r="BC498" s="34" t="str">
        <f t="shared" si="46"/>
        <v>Variant allowances allocation to totex categories</v>
      </c>
    </row>
    <row r="499" spans="4:55" x14ac:dyDescent="0.35">
      <c r="D499" s="1">
        <f t="shared" si="49"/>
        <v>2.5</v>
      </c>
      <c r="E499" s="195" t="str">
        <f t="shared" si="50"/>
        <v>Re-opener_Climate change resilience work</v>
      </c>
      <c r="F499" s="207"/>
      <c r="G499" s="196" t="str">
        <f t="shared" si="44"/>
        <v>£m 23/24 prices</v>
      </c>
      <c r="H499" s="196" t="s">
        <v>172</v>
      </c>
      <c r="I499" s="196"/>
      <c r="J499" s="196"/>
      <c r="K499" s="196"/>
      <c r="L499" s="196"/>
      <c r="M499" s="196"/>
      <c r="N499" s="196"/>
      <c r="O499" s="196"/>
      <c r="P499" s="196"/>
      <c r="Q499" s="196"/>
      <c r="R499" s="196"/>
      <c r="S499" s="196"/>
      <c r="T499" s="196"/>
      <c r="U499" s="196"/>
      <c r="V499" s="196"/>
      <c r="W499" s="196"/>
      <c r="X499" s="196"/>
      <c r="Y499" s="196"/>
      <c r="Z499" s="196"/>
      <c r="AA499" s="196"/>
      <c r="AB499" s="196"/>
      <c r="AC499" s="196"/>
      <c r="AD499" s="196"/>
      <c r="AE499" s="196"/>
      <c r="AF499" s="196"/>
      <c r="AG499" s="196"/>
      <c r="AH499" s="196"/>
      <c r="AI499" s="196"/>
      <c r="AJ499" s="196"/>
      <c r="AK499" s="196"/>
      <c r="AL499" s="196"/>
      <c r="AM499" s="196"/>
      <c r="AN499" s="196"/>
      <c r="AO499" s="196"/>
      <c r="AP499" s="196"/>
      <c r="AQ499" s="196"/>
      <c r="AR499" s="196"/>
      <c r="AS499" s="196"/>
      <c r="AT499" s="208"/>
      <c r="AU499" s="216">
        <f t="shared" si="51"/>
        <v>0</v>
      </c>
      <c r="AV499" s="217">
        <f t="shared" si="51"/>
        <v>0</v>
      </c>
      <c r="AW499" s="217">
        <f t="shared" si="51"/>
        <v>0</v>
      </c>
      <c r="AX499" s="217">
        <f t="shared" si="51"/>
        <v>0</v>
      </c>
      <c r="AY499" s="218">
        <f t="shared" si="51"/>
        <v>0</v>
      </c>
      <c r="BA499" s="34" t="str">
        <f t="shared" ca="1" si="48"/>
        <v>VariantAllowances</v>
      </c>
      <c r="BB499" s="34" t="str">
        <f t="shared" si="45"/>
        <v>Variant allowances detailed calculation</v>
      </c>
      <c r="BC499" s="34" t="str">
        <f t="shared" si="46"/>
        <v>Variant allowances allocation to totex categories</v>
      </c>
    </row>
    <row r="500" spans="4:55" x14ac:dyDescent="0.35">
      <c r="D500" s="1">
        <f t="shared" si="49"/>
        <v>2.5</v>
      </c>
      <c r="E500" s="187" t="str">
        <f t="shared" si="50"/>
        <v>Re-opener_Coordinated Adjustment Mechanism Re-opener</v>
      </c>
      <c r="F500" s="201"/>
      <c r="G500" s="188" t="str">
        <f t="shared" si="44"/>
        <v>£m 23/24 prices</v>
      </c>
      <c r="H500" s="188" t="s">
        <v>168</v>
      </c>
      <c r="I500" s="188"/>
      <c r="J500" s="188"/>
      <c r="K500" s="188"/>
      <c r="L500" s="188"/>
      <c r="M500" s="188"/>
      <c r="N500" s="188"/>
      <c r="O500" s="188"/>
      <c r="P500" s="188"/>
      <c r="Q500" s="188"/>
      <c r="R500" s="188"/>
      <c r="S500" s="188"/>
      <c r="T500" s="188"/>
      <c r="U500" s="188"/>
      <c r="V500" s="188"/>
      <c r="W500" s="188"/>
      <c r="X500" s="188"/>
      <c r="Y500" s="188"/>
      <c r="Z500" s="188"/>
      <c r="AA500" s="188"/>
      <c r="AB500" s="188"/>
      <c r="AC500" s="188"/>
      <c r="AD500" s="188"/>
      <c r="AE500" s="188"/>
      <c r="AF500" s="188"/>
      <c r="AG500" s="188"/>
      <c r="AH500" s="188"/>
      <c r="AI500" s="188"/>
      <c r="AJ500" s="188"/>
      <c r="AK500" s="188"/>
      <c r="AL500" s="188"/>
      <c r="AM500" s="188"/>
      <c r="AN500" s="188"/>
      <c r="AO500" s="188"/>
      <c r="AP500" s="188"/>
      <c r="AQ500" s="188"/>
      <c r="AR500" s="188"/>
      <c r="AS500" s="188"/>
      <c r="AT500" s="202"/>
      <c r="AU500" s="212">
        <f t="shared" si="51"/>
        <v>0</v>
      </c>
      <c r="AV500" s="213">
        <f t="shared" si="51"/>
        <v>0</v>
      </c>
      <c r="AW500" s="213">
        <f t="shared" si="51"/>
        <v>0</v>
      </c>
      <c r="AX500" s="213">
        <f t="shared" si="51"/>
        <v>0</v>
      </c>
      <c r="AY500" s="214">
        <f t="shared" si="51"/>
        <v>0</v>
      </c>
      <c r="BA500" s="34" t="str">
        <f t="shared" ca="1" si="48"/>
        <v>VariantAllowances</v>
      </c>
      <c r="BB500" s="34" t="str">
        <f t="shared" si="45"/>
        <v>Variant allowances detailed calculation</v>
      </c>
      <c r="BC500" s="34" t="str">
        <f t="shared" si="46"/>
        <v>Variant allowances allocation to totex categories</v>
      </c>
    </row>
    <row r="501" spans="4:55" x14ac:dyDescent="0.35">
      <c r="D501" s="1">
        <f t="shared" si="49"/>
        <v>2.5</v>
      </c>
      <c r="E501" s="193" t="str">
        <f t="shared" si="50"/>
        <v>Re-opener_Coordinated Adjustment Mechanism Re-opener</v>
      </c>
      <c r="G501" s="33" t="str">
        <f t="shared" si="44"/>
        <v>£m 23/24 prices</v>
      </c>
      <c r="H501" s="33" t="s">
        <v>169</v>
      </c>
      <c r="AU501" s="166">
        <f t="shared" si="51"/>
        <v>0</v>
      </c>
      <c r="AV501" s="38">
        <f t="shared" si="51"/>
        <v>0</v>
      </c>
      <c r="AW501" s="38">
        <f t="shared" si="51"/>
        <v>0</v>
      </c>
      <c r="AX501" s="38">
        <f t="shared" si="51"/>
        <v>0</v>
      </c>
      <c r="AY501" s="215">
        <f t="shared" si="51"/>
        <v>0</v>
      </c>
      <c r="BA501" s="34" t="str">
        <f t="shared" ca="1" si="48"/>
        <v>VariantAllowances</v>
      </c>
      <c r="BB501" s="34" t="str">
        <f t="shared" si="45"/>
        <v>Variant allowances detailed calculation</v>
      </c>
      <c r="BC501" s="34" t="str">
        <f t="shared" si="46"/>
        <v>Variant allowances allocation to totex categories</v>
      </c>
    </row>
    <row r="502" spans="4:55" x14ac:dyDescent="0.35">
      <c r="D502" s="1">
        <f t="shared" si="49"/>
        <v>2.5</v>
      </c>
      <c r="E502" s="193" t="str">
        <f t="shared" si="50"/>
        <v>Re-opener_Coordinated Adjustment Mechanism Re-opener</v>
      </c>
      <c r="G502" s="33" t="str">
        <f t="shared" si="44"/>
        <v>£m 23/24 prices</v>
      </c>
      <c r="H502" s="33" t="s">
        <v>170</v>
      </c>
      <c r="AU502" s="166">
        <f t="shared" si="51"/>
        <v>0</v>
      </c>
      <c r="AV502" s="38">
        <f t="shared" si="51"/>
        <v>0</v>
      </c>
      <c r="AW502" s="38">
        <f t="shared" si="51"/>
        <v>0</v>
      </c>
      <c r="AX502" s="38">
        <f t="shared" si="51"/>
        <v>0</v>
      </c>
      <c r="AY502" s="215">
        <f t="shared" si="51"/>
        <v>0</v>
      </c>
      <c r="BA502" s="34" t="str">
        <f t="shared" ca="1" si="48"/>
        <v>VariantAllowances</v>
      </c>
      <c r="BB502" s="34" t="str">
        <f t="shared" si="45"/>
        <v>Variant allowances detailed calculation</v>
      </c>
      <c r="BC502" s="34" t="str">
        <f t="shared" si="46"/>
        <v>Variant allowances allocation to totex categories</v>
      </c>
    </row>
    <row r="503" spans="4:55" x14ac:dyDescent="0.35">
      <c r="D503" s="1">
        <f t="shared" si="49"/>
        <v>2.5</v>
      </c>
      <c r="E503" s="193" t="str">
        <f t="shared" si="50"/>
        <v>Re-opener_Coordinated Adjustment Mechanism Re-opener</v>
      </c>
      <c r="G503" s="33" t="str">
        <f t="shared" si="44"/>
        <v>£m 23/24 prices</v>
      </c>
      <c r="H503" s="33" t="s">
        <v>171</v>
      </c>
      <c r="AU503" s="166">
        <f t="shared" si="51"/>
        <v>0</v>
      </c>
      <c r="AV503" s="38">
        <f t="shared" si="51"/>
        <v>0</v>
      </c>
      <c r="AW503" s="38">
        <f t="shared" si="51"/>
        <v>0</v>
      </c>
      <c r="AX503" s="38">
        <f t="shared" si="51"/>
        <v>0</v>
      </c>
      <c r="AY503" s="215">
        <f t="shared" si="51"/>
        <v>0</v>
      </c>
      <c r="BA503" s="34" t="str">
        <f t="shared" ca="1" si="48"/>
        <v>VariantAllowances</v>
      </c>
      <c r="BB503" s="34" t="str">
        <f t="shared" si="45"/>
        <v>Variant allowances detailed calculation</v>
      </c>
      <c r="BC503" s="34" t="str">
        <f t="shared" si="46"/>
        <v>Variant allowances allocation to totex categories</v>
      </c>
    </row>
    <row r="504" spans="4:55" x14ac:dyDescent="0.35">
      <c r="D504" s="1">
        <f t="shared" si="49"/>
        <v>2.5</v>
      </c>
      <c r="E504" s="195" t="str">
        <f t="shared" si="50"/>
        <v>Re-opener_Coordinated Adjustment Mechanism Re-opener</v>
      </c>
      <c r="F504" s="207"/>
      <c r="G504" s="196" t="str">
        <f t="shared" si="44"/>
        <v>£m 23/24 prices</v>
      </c>
      <c r="H504" s="196" t="s">
        <v>172</v>
      </c>
      <c r="I504" s="196"/>
      <c r="J504" s="196"/>
      <c r="K504" s="196"/>
      <c r="L504" s="196"/>
      <c r="M504" s="196"/>
      <c r="N504" s="196"/>
      <c r="O504" s="196"/>
      <c r="P504" s="196"/>
      <c r="Q504" s="196"/>
      <c r="R504" s="196"/>
      <c r="S504" s="196"/>
      <c r="T504" s="196"/>
      <c r="U504" s="196"/>
      <c r="V504" s="196"/>
      <c r="W504" s="196"/>
      <c r="X504" s="196"/>
      <c r="Y504" s="196"/>
      <c r="Z504" s="196"/>
      <c r="AA504" s="196"/>
      <c r="AB504" s="196"/>
      <c r="AC504" s="196"/>
      <c r="AD504" s="196"/>
      <c r="AE504" s="196"/>
      <c r="AF504" s="196"/>
      <c r="AG504" s="196"/>
      <c r="AH504" s="196"/>
      <c r="AI504" s="196"/>
      <c r="AJ504" s="196"/>
      <c r="AK504" s="196"/>
      <c r="AL504" s="196"/>
      <c r="AM504" s="196"/>
      <c r="AN504" s="196"/>
      <c r="AO504" s="196"/>
      <c r="AP504" s="196"/>
      <c r="AQ504" s="196"/>
      <c r="AR504" s="196"/>
      <c r="AS504" s="196"/>
      <c r="AT504" s="208"/>
      <c r="AU504" s="216">
        <f t="shared" si="51"/>
        <v>0</v>
      </c>
      <c r="AV504" s="217">
        <f t="shared" si="51"/>
        <v>0</v>
      </c>
      <c r="AW504" s="217">
        <f t="shared" si="51"/>
        <v>0</v>
      </c>
      <c r="AX504" s="217">
        <f t="shared" si="51"/>
        <v>0</v>
      </c>
      <c r="AY504" s="218">
        <f t="shared" si="51"/>
        <v>0</v>
      </c>
      <c r="BA504" s="34" t="str">
        <f t="shared" ca="1" si="48"/>
        <v>VariantAllowances</v>
      </c>
      <c r="BB504" s="34" t="str">
        <f t="shared" si="45"/>
        <v>Variant allowances detailed calculation</v>
      </c>
      <c r="BC504" s="34" t="str">
        <f t="shared" si="46"/>
        <v>Variant allowances allocation to totex categories</v>
      </c>
    </row>
    <row r="505" spans="4:55" x14ac:dyDescent="0.35">
      <c r="D505" s="1">
        <f t="shared" si="49"/>
        <v>2.5</v>
      </c>
      <c r="E505" s="187" t="str">
        <f t="shared" si="50"/>
        <v>Re-opener_Cyber re-opener (Cadent_EoE) / Cyber resilience Re-Opener</v>
      </c>
      <c r="F505" s="201"/>
      <c r="G505" s="188" t="str">
        <f t="shared" si="44"/>
        <v>£m 23/24 prices</v>
      </c>
      <c r="H505" s="188" t="s">
        <v>168</v>
      </c>
      <c r="I505" s="188"/>
      <c r="J505" s="188"/>
      <c r="K505" s="188"/>
      <c r="L505" s="188"/>
      <c r="M505" s="188"/>
      <c r="N505" s="188"/>
      <c r="O505" s="188"/>
      <c r="P505" s="188"/>
      <c r="Q505" s="188"/>
      <c r="R505" s="188"/>
      <c r="S505" s="188"/>
      <c r="T505" s="188"/>
      <c r="U505" s="188"/>
      <c r="V505" s="188"/>
      <c r="W505" s="188"/>
      <c r="X505" s="188"/>
      <c r="Y505" s="188"/>
      <c r="Z505" s="188"/>
      <c r="AA505" s="188"/>
      <c r="AB505" s="188"/>
      <c r="AC505" s="188"/>
      <c r="AD505" s="188"/>
      <c r="AE505" s="188"/>
      <c r="AF505" s="188"/>
      <c r="AG505" s="188"/>
      <c r="AH505" s="188"/>
      <c r="AI505" s="188"/>
      <c r="AJ505" s="188"/>
      <c r="AK505" s="188"/>
      <c r="AL505" s="188"/>
      <c r="AM505" s="188"/>
      <c r="AN505" s="188"/>
      <c r="AO505" s="188"/>
      <c r="AP505" s="188"/>
      <c r="AQ505" s="188"/>
      <c r="AR505" s="188"/>
      <c r="AS505" s="188"/>
      <c r="AT505" s="202"/>
      <c r="AU505" s="212">
        <f t="shared" ref="AU505:AY514" si="52">INDEX(AU$8:AU$57,MATCH($E505,$E$8:$E$57,0))*AU252</f>
        <v>0</v>
      </c>
      <c r="AV505" s="213">
        <f t="shared" si="52"/>
        <v>0</v>
      </c>
      <c r="AW505" s="213">
        <f t="shared" si="52"/>
        <v>0</v>
      </c>
      <c r="AX505" s="213">
        <f t="shared" si="52"/>
        <v>0</v>
      </c>
      <c r="AY505" s="214">
        <f t="shared" si="52"/>
        <v>0</v>
      </c>
      <c r="BA505" s="34" t="str">
        <f t="shared" ca="1" si="48"/>
        <v>VariantAllowances</v>
      </c>
      <c r="BB505" s="34" t="str">
        <f t="shared" si="45"/>
        <v>Variant allowances detailed calculation</v>
      </c>
      <c r="BC505" s="34" t="str">
        <f t="shared" si="46"/>
        <v>Variant allowances allocation to totex categories</v>
      </c>
    </row>
    <row r="506" spans="4:55" x14ac:dyDescent="0.35">
      <c r="D506" s="1">
        <f t="shared" si="49"/>
        <v>2.5</v>
      </c>
      <c r="E506" s="193" t="str">
        <f t="shared" si="50"/>
        <v>Re-opener_Cyber re-opener (Cadent_EoE) / Cyber resilience Re-Opener</v>
      </c>
      <c r="G506" s="33" t="str">
        <f t="shared" si="44"/>
        <v>£m 23/24 prices</v>
      </c>
      <c r="H506" s="33" t="s">
        <v>169</v>
      </c>
      <c r="AU506" s="166">
        <f t="shared" si="52"/>
        <v>0</v>
      </c>
      <c r="AV506" s="38">
        <f t="shared" si="52"/>
        <v>0</v>
      </c>
      <c r="AW506" s="38">
        <f t="shared" si="52"/>
        <v>0</v>
      </c>
      <c r="AX506" s="38">
        <f t="shared" si="52"/>
        <v>3.0994571041259209</v>
      </c>
      <c r="AY506" s="215">
        <f t="shared" si="52"/>
        <v>3.0994571041259209</v>
      </c>
      <c r="BA506" s="34" t="str">
        <f t="shared" ca="1" si="48"/>
        <v>VariantAllowances</v>
      </c>
      <c r="BB506" s="34" t="str">
        <f t="shared" si="45"/>
        <v>Variant allowances detailed calculation</v>
      </c>
      <c r="BC506" s="34" t="str">
        <f t="shared" si="46"/>
        <v>Variant allowances allocation to totex categories</v>
      </c>
    </row>
    <row r="507" spans="4:55" x14ac:dyDescent="0.35">
      <c r="D507" s="1">
        <f t="shared" si="49"/>
        <v>2.5</v>
      </c>
      <c r="E507" s="193" t="str">
        <f t="shared" si="50"/>
        <v>Re-opener_Cyber re-opener (Cadent_EoE) / Cyber resilience Re-Opener</v>
      </c>
      <c r="G507" s="33" t="str">
        <f t="shared" si="44"/>
        <v>£m 23/24 prices</v>
      </c>
      <c r="H507" s="33" t="s">
        <v>170</v>
      </c>
      <c r="AU507" s="166">
        <f t="shared" si="52"/>
        <v>0</v>
      </c>
      <c r="AV507" s="38">
        <f t="shared" si="52"/>
        <v>0</v>
      </c>
      <c r="AW507" s="38">
        <f t="shared" si="52"/>
        <v>0</v>
      </c>
      <c r="AX507" s="38">
        <f t="shared" si="52"/>
        <v>3.0994571041259209</v>
      </c>
      <c r="AY507" s="215">
        <f t="shared" si="52"/>
        <v>3.0994571041259209</v>
      </c>
      <c r="BA507" s="34" t="str">
        <f t="shared" ca="1" si="48"/>
        <v>VariantAllowances</v>
      </c>
      <c r="BB507" s="34" t="str">
        <f t="shared" si="45"/>
        <v>Variant allowances detailed calculation</v>
      </c>
      <c r="BC507" s="34" t="str">
        <f t="shared" si="46"/>
        <v>Variant allowances allocation to totex categories</v>
      </c>
    </row>
    <row r="508" spans="4:55" x14ac:dyDescent="0.35">
      <c r="D508" s="1">
        <f t="shared" si="49"/>
        <v>2.5</v>
      </c>
      <c r="E508" s="193" t="str">
        <f t="shared" si="50"/>
        <v>Re-opener_Cyber re-opener (Cadent_EoE) / Cyber resilience Re-Opener</v>
      </c>
      <c r="G508" s="33" t="str">
        <f t="shared" si="44"/>
        <v>£m 23/24 prices</v>
      </c>
      <c r="H508" s="33" t="s">
        <v>171</v>
      </c>
      <c r="AU508" s="166">
        <f t="shared" si="52"/>
        <v>0</v>
      </c>
      <c r="AV508" s="38">
        <f t="shared" si="52"/>
        <v>0</v>
      </c>
      <c r="AW508" s="38">
        <f t="shared" si="52"/>
        <v>0</v>
      </c>
      <c r="AX508" s="38">
        <f t="shared" si="52"/>
        <v>0</v>
      </c>
      <c r="AY508" s="215">
        <f t="shared" si="52"/>
        <v>0</v>
      </c>
      <c r="BA508" s="34" t="str">
        <f t="shared" ca="1" si="48"/>
        <v>VariantAllowances</v>
      </c>
      <c r="BB508" s="34" t="str">
        <f t="shared" si="45"/>
        <v>Variant allowances detailed calculation</v>
      </c>
      <c r="BC508" s="34" t="str">
        <f t="shared" si="46"/>
        <v>Variant allowances allocation to totex categories</v>
      </c>
    </row>
    <row r="509" spans="4:55" x14ac:dyDescent="0.35">
      <c r="D509" s="1">
        <f t="shared" si="49"/>
        <v>2.5</v>
      </c>
      <c r="E509" s="195" t="str">
        <f t="shared" si="50"/>
        <v>Re-opener_Cyber re-opener (Cadent_EoE) / Cyber resilience Re-Opener</v>
      </c>
      <c r="F509" s="207"/>
      <c r="G509" s="196" t="str">
        <f t="shared" si="44"/>
        <v>£m 23/24 prices</v>
      </c>
      <c r="H509" s="196" t="s">
        <v>172</v>
      </c>
      <c r="I509" s="196"/>
      <c r="J509" s="196"/>
      <c r="K509" s="196"/>
      <c r="L509" s="196"/>
      <c r="M509" s="196"/>
      <c r="N509" s="196"/>
      <c r="O509" s="196"/>
      <c r="P509" s="196"/>
      <c r="Q509" s="196"/>
      <c r="R509" s="196"/>
      <c r="S509" s="196"/>
      <c r="T509" s="196"/>
      <c r="U509" s="196"/>
      <c r="V509" s="196"/>
      <c r="W509" s="196"/>
      <c r="X509" s="196"/>
      <c r="Y509" s="196"/>
      <c r="Z509" s="196"/>
      <c r="AA509" s="196"/>
      <c r="AB509" s="196"/>
      <c r="AC509" s="196"/>
      <c r="AD509" s="196"/>
      <c r="AE509" s="196"/>
      <c r="AF509" s="196"/>
      <c r="AG509" s="196"/>
      <c r="AH509" s="196"/>
      <c r="AI509" s="196"/>
      <c r="AJ509" s="196"/>
      <c r="AK509" s="196"/>
      <c r="AL509" s="196"/>
      <c r="AM509" s="196"/>
      <c r="AN509" s="196"/>
      <c r="AO509" s="196"/>
      <c r="AP509" s="196"/>
      <c r="AQ509" s="196"/>
      <c r="AR509" s="196"/>
      <c r="AS509" s="196"/>
      <c r="AT509" s="208"/>
      <c r="AU509" s="216">
        <f t="shared" si="52"/>
        <v>0</v>
      </c>
      <c r="AV509" s="217">
        <f t="shared" si="52"/>
        <v>0</v>
      </c>
      <c r="AW509" s="217">
        <f t="shared" si="52"/>
        <v>0</v>
      </c>
      <c r="AX509" s="217">
        <f t="shared" si="52"/>
        <v>0</v>
      </c>
      <c r="AY509" s="218">
        <f t="shared" si="52"/>
        <v>0</v>
      </c>
      <c r="BA509" s="34" t="str">
        <f t="shared" ca="1" si="48"/>
        <v>VariantAllowances</v>
      </c>
      <c r="BB509" s="34" t="str">
        <f t="shared" si="45"/>
        <v>Variant allowances detailed calculation</v>
      </c>
      <c r="BC509" s="34" t="str">
        <f t="shared" si="46"/>
        <v>Variant allowances allocation to totex categories</v>
      </c>
    </row>
    <row r="510" spans="4:55" x14ac:dyDescent="0.35">
      <c r="D510" s="1">
        <f t="shared" si="49"/>
        <v>2.5</v>
      </c>
      <c r="E510" s="187" t="str">
        <f t="shared" si="50"/>
        <v>Re-opener_Data and digitalisation</v>
      </c>
      <c r="F510" s="201"/>
      <c r="G510" s="188" t="str">
        <f t="shared" si="44"/>
        <v>£m 23/24 prices</v>
      </c>
      <c r="H510" s="188" t="s">
        <v>168</v>
      </c>
      <c r="I510" s="188"/>
      <c r="J510" s="188"/>
      <c r="K510" s="188"/>
      <c r="L510" s="188"/>
      <c r="M510" s="188"/>
      <c r="N510" s="188"/>
      <c r="O510" s="188"/>
      <c r="P510" s="188"/>
      <c r="Q510" s="188"/>
      <c r="R510" s="188"/>
      <c r="S510" s="188"/>
      <c r="T510" s="188"/>
      <c r="U510" s="188"/>
      <c r="V510" s="188"/>
      <c r="W510" s="188"/>
      <c r="X510" s="188"/>
      <c r="Y510" s="188"/>
      <c r="Z510" s="188"/>
      <c r="AA510" s="188"/>
      <c r="AB510" s="188"/>
      <c r="AC510" s="188"/>
      <c r="AD510" s="188"/>
      <c r="AE510" s="188"/>
      <c r="AF510" s="188"/>
      <c r="AG510" s="188"/>
      <c r="AH510" s="188"/>
      <c r="AI510" s="188"/>
      <c r="AJ510" s="188"/>
      <c r="AK510" s="188"/>
      <c r="AL510" s="188"/>
      <c r="AM510" s="188"/>
      <c r="AN510" s="188"/>
      <c r="AO510" s="188"/>
      <c r="AP510" s="188"/>
      <c r="AQ510" s="188"/>
      <c r="AR510" s="188"/>
      <c r="AS510" s="188"/>
      <c r="AT510" s="202"/>
      <c r="AU510" s="212">
        <f t="shared" si="52"/>
        <v>0</v>
      </c>
      <c r="AV510" s="213">
        <f t="shared" si="52"/>
        <v>0</v>
      </c>
      <c r="AW510" s="213">
        <f t="shared" si="52"/>
        <v>0</v>
      </c>
      <c r="AX510" s="213">
        <f t="shared" si="52"/>
        <v>0</v>
      </c>
      <c r="AY510" s="214">
        <f t="shared" si="52"/>
        <v>0</v>
      </c>
      <c r="BA510" s="34" t="str">
        <f t="shared" ca="1" si="48"/>
        <v>VariantAllowances</v>
      </c>
      <c r="BB510" s="34" t="str">
        <f t="shared" si="45"/>
        <v>Variant allowances detailed calculation</v>
      </c>
      <c r="BC510" s="34" t="str">
        <f t="shared" si="46"/>
        <v>Variant allowances allocation to totex categories</v>
      </c>
    </row>
    <row r="511" spans="4:55" x14ac:dyDescent="0.35">
      <c r="D511" s="1">
        <f t="shared" si="49"/>
        <v>2.5</v>
      </c>
      <c r="E511" s="193" t="str">
        <f t="shared" si="50"/>
        <v>Re-opener_Data and digitalisation</v>
      </c>
      <c r="G511" s="33" t="str">
        <f t="shared" si="44"/>
        <v>£m 23/24 prices</v>
      </c>
      <c r="H511" s="33" t="s">
        <v>169</v>
      </c>
      <c r="AU511" s="166">
        <f t="shared" si="52"/>
        <v>0</v>
      </c>
      <c r="AV511" s="38">
        <f t="shared" si="52"/>
        <v>0</v>
      </c>
      <c r="AW511" s="38">
        <f t="shared" si="52"/>
        <v>0</v>
      </c>
      <c r="AX511" s="38">
        <f t="shared" si="52"/>
        <v>0</v>
      </c>
      <c r="AY511" s="215">
        <f t="shared" si="52"/>
        <v>0</v>
      </c>
      <c r="BA511" s="34" t="str">
        <f t="shared" ca="1" si="48"/>
        <v>VariantAllowances</v>
      </c>
      <c r="BB511" s="34" t="str">
        <f t="shared" si="45"/>
        <v>Variant allowances detailed calculation</v>
      </c>
      <c r="BC511" s="34" t="str">
        <f t="shared" si="46"/>
        <v>Variant allowances allocation to totex categories</v>
      </c>
    </row>
    <row r="512" spans="4:55" x14ac:dyDescent="0.35">
      <c r="D512" s="1">
        <f t="shared" si="49"/>
        <v>2.5</v>
      </c>
      <c r="E512" s="193" t="str">
        <f t="shared" si="50"/>
        <v>Re-opener_Data and digitalisation</v>
      </c>
      <c r="G512" s="33" t="str">
        <f t="shared" si="44"/>
        <v>£m 23/24 prices</v>
      </c>
      <c r="H512" s="33" t="s">
        <v>170</v>
      </c>
      <c r="AU512" s="166">
        <f t="shared" si="52"/>
        <v>0</v>
      </c>
      <c r="AV512" s="38">
        <f t="shared" si="52"/>
        <v>0</v>
      </c>
      <c r="AW512" s="38">
        <f t="shared" si="52"/>
        <v>0</v>
      </c>
      <c r="AX512" s="38">
        <f t="shared" si="52"/>
        <v>0</v>
      </c>
      <c r="AY512" s="215">
        <f t="shared" si="52"/>
        <v>0</v>
      </c>
      <c r="BA512" s="34" t="str">
        <f t="shared" ca="1" si="48"/>
        <v>VariantAllowances</v>
      </c>
      <c r="BB512" s="34" t="str">
        <f t="shared" si="45"/>
        <v>Variant allowances detailed calculation</v>
      </c>
      <c r="BC512" s="34" t="str">
        <f t="shared" si="46"/>
        <v>Variant allowances allocation to totex categories</v>
      </c>
    </row>
    <row r="513" spans="4:55" x14ac:dyDescent="0.35">
      <c r="D513" s="1">
        <f t="shared" si="49"/>
        <v>2.5</v>
      </c>
      <c r="E513" s="193" t="str">
        <f t="shared" si="50"/>
        <v>Re-opener_Data and digitalisation</v>
      </c>
      <c r="G513" s="33" t="str">
        <f t="shared" si="44"/>
        <v>£m 23/24 prices</v>
      </c>
      <c r="H513" s="33" t="s">
        <v>171</v>
      </c>
      <c r="AU513" s="166">
        <f t="shared" si="52"/>
        <v>0</v>
      </c>
      <c r="AV513" s="38">
        <f t="shared" si="52"/>
        <v>0</v>
      </c>
      <c r="AW513" s="38">
        <f t="shared" si="52"/>
        <v>0</v>
      </c>
      <c r="AX513" s="38">
        <f t="shared" si="52"/>
        <v>0</v>
      </c>
      <c r="AY513" s="215">
        <f t="shared" si="52"/>
        <v>0</v>
      </c>
      <c r="BA513" s="34" t="str">
        <f t="shared" ca="1" si="48"/>
        <v>VariantAllowances</v>
      </c>
      <c r="BB513" s="34" t="str">
        <f t="shared" si="45"/>
        <v>Variant allowances detailed calculation</v>
      </c>
      <c r="BC513" s="34" t="str">
        <f t="shared" si="46"/>
        <v>Variant allowances allocation to totex categories</v>
      </c>
    </row>
    <row r="514" spans="4:55" x14ac:dyDescent="0.35">
      <c r="D514" s="1">
        <f t="shared" si="49"/>
        <v>2.5</v>
      </c>
      <c r="E514" s="195" t="str">
        <f t="shared" si="50"/>
        <v>Re-opener_Data and digitalisation</v>
      </c>
      <c r="F514" s="207"/>
      <c r="G514" s="196" t="str">
        <f t="shared" si="44"/>
        <v>£m 23/24 prices</v>
      </c>
      <c r="H514" s="196" t="s">
        <v>172</v>
      </c>
      <c r="I514" s="196"/>
      <c r="J514" s="196"/>
      <c r="K514" s="196"/>
      <c r="L514" s="196"/>
      <c r="M514" s="196"/>
      <c r="N514" s="196"/>
      <c r="O514" s="196"/>
      <c r="P514" s="196"/>
      <c r="Q514" s="196"/>
      <c r="R514" s="196"/>
      <c r="S514" s="196"/>
      <c r="T514" s="196"/>
      <c r="U514" s="196"/>
      <c r="V514" s="196"/>
      <c r="W514" s="196"/>
      <c r="X514" s="196"/>
      <c r="Y514" s="196"/>
      <c r="Z514" s="196"/>
      <c r="AA514" s="196"/>
      <c r="AB514" s="196"/>
      <c r="AC514" s="196"/>
      <c r="AD514" s="196"/>
      <c r="AE514" s="196"/>
      <c r="AF514" s="196"/>
      <c r="AG514" s="196"/>
      <c r="AH514" s="196"/>
      <c r="AI514" s="196"/>
      <c r="AJ514" s="196"/>
      <c r="AK514" s="196"/>
      <c r="AL514" s="196"/>
      <c r="AM514" s="196"/>
      <c r="AN514" s="196"/>
      <c r="AO514" s="196"/>
      <c r="AP514" s="196"/>
      <c r="AQ514" s="196"/>
      <c r="AR514" s="196"/>
      <c r="AS514" s="196"/>
      <c r="AT514" s="208"/>
      <c r="AU514" s="216">
        <f t="shared" si="52"/>
        <v>0</v>
      </c>
      <c r="AV514" s="217">
        <f t="shared" si="52"/>
        <v>0</v>
      </c>
      <c r="AW514" s="217">
        <f t="shared" si="52"/>
        <v>0</v>
      </c>
      <c r="AX514" s="217">
        <f t="shared" si="52"/>
        <v>0</v>
      </c>
      <c r="AY514" s="218">
        <f t="shared" si="52"/>
        <v>0</v>
      </c>
      <c r="BA514" s="34" t="str">
        <f t="shared" ca="1" si="48"/>
        <v>VariantAllowances</v>
      </c>
      <c r="BB514" s="34" t="str">
        <f t="shared" si="45"/>
        <v>Variant allowances detailed calculation</v>
      </c>
      <c r="BC514" s="34" t="str">
        <f t="shared" si="46"/>
        <v>Variant allowances allocation to totex categories</v>
      </c>
    </row>
    <row r="515" spans="4:55" x14ac:dyDescent="0.35">
      <c r="D515" s="1">
        <f t="shared" si="49"/>
        <v>2.5</v>
      </c>
      <c r="E515" s="187" t="str">
        <f t="shared" si="50"/>
        <v>Re-opener_Digitalisation re-opener</v>
      </c>
      <c r="F515" s="201"/>
      <c r="G515" s="188" t="str">
        <f t="shared" si="44"/>
        <v>£m 23/24 prices</v>
      </c>
      <c r="H515" s="188" t="s">
        <v>168</v>
      </c>
      <c r="I515" s="188"/>
      <c r="J515" s="188"/>
      <c r="K515" s="188"/>
      <c r="L515" s="188"/>
      <c r="M515" s="188"/>
      <c r="N515" s="188"/>
      <c r="O515" s="188"/>
      <c r="P515" s="188"/>
      <c r="Q515" s="188"/>
      <c r="R515" s="188"/>
      <c r="S515" s="188"/>
      <c r="T515" s="188"/>
      <c r="U515" s="188"/>
      <c r="V515" s="188"/>
      <c r="W515" s="188"/>
      <c r="X515" s="188"/>
      <c r="Y515" s="188"/>
      <c r="Z515" s="188"/>
      <c r="AA515" s="188"/>
      <c r="AB515" s="188"/>
      <c r="AC515" s="188"/>
      <c r="AD515" s="188"/>
      <c r="AE515" s="188"/>
      <c r="AF515" s="188"/>
      <c r="AG515" s="188"/>
      <c r="AH515" s="188"/>
      <c r="AI515" s="188"/>
      <c r="AJ515" s="188"/>
      <c r="AK515" s="188"/>
      <c r="AL515" s="188"/>
      <c r="AM515" s="188"/>
      <c r="AN515" s="188"/>
      <c r="AO515" s="188"/>
      <c r="AP515" s="188"/>
      <c r="AQ515" s="188"/>
      <c r="AR515" s="188"/>
      <c r="AS515" s="188"/>
      <c r="AT515" s="202"/>
      <c r="AU515" s="212">
        <f t="shared" ref="AU515:AY524" si="53">INDEX(AU$8:AU$57,MATCH($E515,$E$8:$E$57,0))*AU262</f>
        <v>0</v>
      </c>
      <c r="AV515" s="213">
        <f t="shared" si="53"/>
        <v>0</v>
      </c>
      <c r="AW515" s="213">
        <f t="shared" si="53"/>
        <v>0</v>
      </c>
      <c r="AX515" s="213">
        <f t="shared" si="53"/>
        <v>0</v>
      </c>
      <c r="AY515" s="214">
        <f t="shared" si="53"/>
        <v>0</v>
      </c>
      <c r="BA515" s="34" t="str">
        <f t="shared" ca="1" si="48"/>
        <v>VariantAllowances</v>
      </c>
      <c r="BB515" s="34" t="str">
        <f t="shared" si="45"/>
        <v>Variant allowances detailed calculation</v>
      </c>
      <c r="BC515" s="34" t="str">
        <f t="shared" si="46"/>
        <v>Variant allowances allocation to totex categories</v>
      </c>
    </row>
    <row r="516" spans="4:55" x14ac:dyDescent="0.35">
      <c r="D516" s="1">
        <f t="shared" si="49"/>
        <v>2.5</v>
      </c>
      <c r="E516" s="193" t="str">
        <f t="shared" si="50"/>
        <v>Re-opener_Digitalisation re-opener</v>
      </c>
      <c r="G516" s="33" t="str">
        <f t="shared" si="44"/>
        <v>£m 23/24 prices</v>
      </c>
      <c r="H516" s="33" t="s">
        <v>169</v>
      </c>
      <c r="AU516" s="166">
        <f t="shared" si="53"/>
        <v>0</v>
      </c>
      <c r="AV516" s="38">
        <f t="shared" si="53"/>
        <v>0</v>
      </c>
      <c r="AW516" s="38">
        <f t="shared" si="53"/>
        <v>0</v>
      </c>
      <c r="AX516" s="38">
        <f t="shared" si="53"/>
        <v>0</v>
      </c>
      <c r="AY516" s="215">
        <f t="shared" si="53"/>
        <v>0</v>
      </c>
      <c r="BA516" s="34" t="str">
        <f t="shared" ca="1" si="48"/>
        <v>VariantAllowances</v>
      </c>
      <c r="BB516" s="34" t="str">
        <f t="shared" si="45"/>
        <v>Variant allowances detailed calculation</v>
      </c>
      <c r="BC516" s="34" t="str">
        <f t="shared" si="46"/>
        <v>Variant allowances allocation to totex categories</v>
      </c>
    </row>
    <row r="517" spans="4:55" x14ac:dyDescent="0.35">
      <c r="D517" s="1">
        <f t="shared" si="49"/>
        <v>2.5</v>
      </c>
      <c r="E517" s="193" t="str">
        <f t="shared" si="50"/>
        <v>Re-opener_Digitalisation re-opener</v>
      </c>
      <c r="G517" s="33" t="str">
        <f t="shared" si="44"/>
        <v>£m 23/24 prices</v>
      </c>
      <c r="H517" s="33" t="s">
        <v>170</v>
      </c>
      <c r="AU517" s="166">
        <f t="shared" si="53"/>
        <v>0</v>
      </c>
      <c r="AV517" s="38">
        <f t="shared" si="53"/>
        <v>0</v>
      </c>
      <c r="AW517" s="38">
        <f t="shared" si="53"/>
        <v>0</v>
      </c>
      <c r="AX517" s="38">
        <f t="shared" si="53"/>
        <v>0</v>
      </c>
      <c r="AY517" s="215">
        <f t="shared" si="53"/>
        <v>0</v>
      </c>
      <c r="BA517" s="34" t="str">
        <f t="shared" ca="1" si="48"/>
        <v>VariantAllowances</v>
      </c>
      <c r="BB517" s="34" t="str">
        <f t="shared" si="45"/>
        <v>Variant allowances detailed calculation</v>
      </c>
      <c r="BC517" s="34" t="str">
        <f t="shared" si="46"/>
        <v>Variant allowances allocation to totex categories</v>
      </c>
    </row>
    <row r="518" spans="4:55" x14ac:dyDescent="0.35">
      <c r="D518" s="1">
        <f t="shared" si="49"/>
        <v>2.5</v>
      </c>
      <c r="E518" s="193" t="str">
        <f t="shared" si="50"/>
        <v>Re-opener_Digitalisation re-opener</v>
      </c>
      <c r="G518" s="33" t="str">
        <f t="shared" si="44"/>
        <v>£m 23/24 prices</v>
      </c>
      <c r="H518" s="33" t="s">
        <v>171</v>
      </c>
      <c r="AU518" s="166">
        <f t="shared" si="53"/>
        <v>0</v>
      </c>
      <c r="AV518" s="38">
        <f t="shared" si="53"/>
        <v>0</v>
      </c>
      <c r="AW518" s="38">
        <f t="shared" si="53"/>
        <v>0</v>
      </c>
      <c r="AX518" s="38">
        <f t="shared" si="53"/>
        <v>0</v>
      </c>
      <c r="AY518" s="215">
        <f t="shared" si="53"/>
        <v>0</v>
      </c>
      <c r="BA518" s="34" t="str">
        <f t="shared" ca="1" si="48"/>
        <v>VariantAllowances</v>
      </c>
      <c r="BB518" s="34" t="str">
        <f t="shared" si="45"/>
        <v>Variant allowances detailed calculation</v>
      </c>
      <c r="BC518" s="34" t="str">
        <f t="shared" si="46"/>
        <v>Variant allowances allocation to totex categories</v>
      </c>
    </row>
    <row r="519" spans="4:55" x14ac:dyDescent="0.35">
      <c r="D519" s="1">
        <f t="shared" si="49"/>
        <v>2.5</v>
      </c>
      <c r="E519" s="195" t="str">
        <f t="shared" si="50"/>
        <v>Re-opener_Digitalisation re-opener</v>
      </c>
      <c r="F519" s="207"/>
      <c r="G519" s="196" t="str">
        <f t="shared" si="44"/>
        <v>£m 23/24 prices</v>
      </c>
      <c r="H519" s="196" t="s">
        <v>172</v>
      </c>
      <c r="I519" s="196"/>
      <c r="J519" s="196"/>
      <c r="K519" s="196"/>
      <c r="L519" s="196"/>
      <c r="M519" s="196"/>
      <c r="N519" s="196"/>
      <c r="O519" s="196"/>
      <c r="P519" s="196"/>
      <c r="Q519" s="196"/>
      <c r="R519" s="196"/>
      <c r="S519" s="196"/>
      <c r="T519" s="196"/>
      <c r="U519" s="196"/>
      <c r="V519" s="196"/>
      <c r="W519" s="196"/>
      <c r="X519" s="196"/>
      <c r="Y519" s="196"/>
      <c r="Z519" s="196"/>
      <c r="AA519" s="196"/>
      <c r="AB519" s="196"/>
      <c r="AC519" s="196"/>
      <c r="AD519" s="196"/>
      <c r="AE519" s="196"/>
      <c r="AF519" s="196"/>
      <c r="AG519" s="196"/>
      <c r="AH519" s="196"/>
      <c r="AI519" s="196"/>
      <c r="AJ519" s="196"/>
      <c r="AK519" s="196"/>
      <c r="AL519" s="196"/>
      <c r="AM519" s="196"/>
      <c r="AN519" s="196"/>
      <c r="AO519" s="196"/>
      <c r="AP519" s="196"/>
      <c r="AQ519" s="196"/>
      <c r="AR519" s="196"/>
      <c r="AS519" s="196"/>
      <c r="AT519" s="208"/>
      <c r="AU519" s="216">
        <f t="shared" si="53"/>
        <v>0</v>
      </c>
      <c r="AV519" s="217">
        <f t="shared" si="53"/>
        <v>0</v>
      </c>
      <c r="AW519" s="217">
        <f t="shared" si="53"/>
        <v>0</v>
      </c>
      <c r="AX519" s="217">
        <f t="shared" si="53"/>
        <v>0</v>
      </c>
      <c r="AY519" s="218">
        <f t="shared" si="53"/>
        <v>0</v>
      </c>
      <c r="BA519" s="34" t="str">
        <f t="shared" ca="1" si="48"/>
        <v>VariantAllowances</v>
      </c>
      <c r="BB519" s="34" t="str">
        <f t="shared" si="45"/>
        <v>Variant allowances detailed calculation</v>
      </c>
      <c r="BC519" s="34" t="str">
        <f t="shared" si="46"/>
        <v>Variant allowances allocation to totex categories</v>
      </c>
    </row>
    <row r="520" spans="4:55" x14ac:dyDescent="0.35">
      <c r="D520" s="1">
        <f t="shared" si="49"/>
        <v>2.5</v>
      </c>
      <c r="E520" s="187" t="str">
        <f t="shared" si="50"/>
        <v>Re-opener_Diversions and Loss of Development Claims Re-opener</v>
      </c>
      <c r="F520" s="201"/>
      <c r="G520" s="188" t="str">
        <f t="shared" si="44"/>
        <v>£m 23/24 prices</v>
      </c>
      <c r="H520" s="188" t="s">
        <v>168</v>
      </c>
      <c r="I520" s="188"/>
      <c r="J520" s="188"/>
      <c r="K520" s="188"/>
      <c r="L520" s="188"/>
      <c r="M520" s="188"/>
      <c r="N520" s="188"/>
      <c r="O520" s="188"/>
      <c r="P520" s="188"/>
      <c r="Q520" s="188"/>
      <c r="R520" s="188"/>
      <c r="S520" s="188"/>
      <c r="T520" s="188"/>
      <c r="U520" s="188"/>
      <c r="V520" s="188"/>
      <c r="W520" s="188"/>
      <c r="X520" s="188"/>
      <c r="Y520" s="188"/>
      <c r="Z520" s="188"/>
      <c r="AA520" s="188"/>
      <c r="AB520" s="188"/>
      <c r="AC520" s="188"/>
      <c r="AD520" s="188"/>
      <c r="AE520" s="188"/>
      <c r="AF520" s="188"/>
      <c r="AG520" s="188"/>
      <c r="AH520" s="188"/>
      <c r="AI520" s="188"/>
      <c r="AJ520" s="188"/>
      <c r="AK520" s="188"/>
      <c r="AL520" s="188"/>
      <c r="AM520" s="188"/>
      <c r="AN520" s="188"/>
      <c r="AO520" s="188"/>
      <c r="AP520" s="188"/>
      <c r="AQ520" s="188"/>
      <c r="AR520" s="188"/>
      <c r="AS520" s="188"/>
      <c r="AT520" s="202"/>
      <c r="AU520" s="212">
        <f t="shared" si="53"/>
        <v>0</v>
      </c>
      <c r="AV520" s="213">
        <f t="shared" si="53"/>
        <v>0</v>
      </c>
      <c r="AW520" s="213">
        <f t="shared" si="53"/>
        <v>0</v>
      </c>
      <c r="AX520" s="213">
        <f t="shared" si="53"/>
        <v>0</v>
      </c>
      <c r="AY520" s="214">
        <f t="shared" si="53"/>
        <v>0</v>
      </c>
      <c r="BA520" s="34" t="str">
        <f t="shared" ca="1" si="48"/>
        <v>VariantAllowances</v>
      </c>
      <c r="BB520" s="34" t="str">
        <f t="shared" si="45"/>
        <v>Variant allowances detailed calculation</v>
      </c>
      <c r="BC520" s="34" t="str">
        <f t="shared" si="46"/>
        <v>Variant allowances allocation to totex categories</v>
      </c>
    </row>
    <row r="521" spans="4:55" x14ac:dyDescent="0.35">
      <c r="D521" s="1">
        <f t="shared" si="49"/>
        <v>2.5</v>
      </c>
      <c r="E521" s="193" t="str">
        <f t="shared" si="50"/>
        <v>Re-opener_Diversions and Loss of Development Claims Re-opener</v>
      </c>
      <c r="G521" s="33" t="str">
        <f t="shared" si="44"/>
        <v>£m 23/24 prices</v>
      </c>
      <c r="H521" s="33" t="s">
        <v>169</v>
      </c>
      <c r="AU521" s="166">
        <f t="shared" si="53"/>
        <v>1.984</v>
      </c>
      <c r="AV521" s="38">
        <f t="shared" si="53"/>
        <v>1.984</v>
      </c>
      <c r="AW521" s="38">
        <f t="shared" si="53"/>
        <v>1.984</v>
      </c>
      <c r="AX521" s="38">
        <f t="shared" si="53"/>
        <v>1.984</v>
      </c>
      <c r="AY521" s="215">
        <f t="shared" si="53"/>
        <v>1.984</v>
      </c>
      <c r="BA521" s="34" t="str">
        <f t="shared" ca="1" si="48"/>
        <v>VariantAllowances</v>
      </c>
      <c r="BB521" s="34" t="str">
        <f t="shared" si="45"/>
        <v>Variant allowances detailed calculation</v>
      </c>
      <c r="BC521" s="34" t="str">
        <f t="shared" si="46"/>
        <v>Variant allowances allocation to totex categories</v>
      </c>
    </row>
    <row r="522" spans="4:55" x14ac:dyDescent="0.35">
      <c r="D522" s="1">
        <f t="shared" si="49"/>
        <v>2.5</v>
      </c>
      <c r="E522" s="193" t="str">
        <f t="shared" si="50"/>
        <v>Re-opener_Diversions and Loss of Development Claims Re-opener</v>
      </c>
      <c r="G522" s="33" t="str">
        <f t="shared" si="44"/>
        <v>£m 23/24 prices</v>
      </c>
      <c r="H522" s="33" t="s">
        <v>170</v>
      </c>
      <c r="AU522" s="166">
        <f t="shared" si="53"/>
        <v>0</v>
      </c>
      <c r="AV522" s="38">
        <f t="shared" si="53"/>
        <v>0</v>
      </c>
      <c r="AW522" s="38">
        <f t="shared" si="53"/>
        <v>0</v>
      </c>
      <c r="AX522" s="38">
        <f t="shared" si="53"/>
        <v>0</v>
      </c>
      <c r="AY522" s="215">
        <f t="shared" si="53"/>
        <v>0</v>
      </c>
      <c r="BA522" s="34" t="str">
        <f t="shared" ca="1" si="48"/>
        <v>VariantAllowances</v>
      </c>
      <c r="BB522" s="34" t="str">
        <f t="shared" si="45"/>
        <v>Variant allowances detailed calculation</v>
      </c>
      <c r="BC522" s="34" t="str">
        <f t="shared" si="46"/>
        <v>Variant allowances allocation to totex categories</v>
      </c>
    </row>
    <row r="523" spans="4:55" x14ac:dyDescent="0.35">
      <c r="D523" s="1">
        <f t="shared" si="49"/>
        <v>2.5</v>
      </c>
      <c r="E523" s="193" t="str">
        <f t="shared" si="50"/>
        <v>Re-opener_Diversions and Loss of Development Claims Re-opener</v>
      </c>
      <c r="G523" s="33" t="str">
        <f t="shared" si="44"/>
        <v>£m 23/24 prices</v>
      </c>
      <c r="H523" s="33" t="s">
        <v>171</v>
      </c>
      <c r="AU523" s="166">
        <f t="shared" si="53"/>
        <v>0</v>
      </c>
      <c r="AV523" s="38">
        <f t="shared" si="53"/>
        <v>0</v>
      </c>
      <c r="AW523" s="38">
        <f t="shared" si="53"/>
        <v>0</v>
      </c>
      <c r="AX523" s="38">
        <f t="shared" si="53"/>
        <v>0</v>
      </c>
      <c r="AY523" s="215">
        <f t="shared" si="53"/>
        <v>0</v>
      </c>
      <c r="BA523" s="34" t="str">
        <f t="shared" ca="1" si="48"/>
        <v>VariantAllowances</v>
      </c>
      <c r="BB523" s="34" t="str">
        <f t="shared" si="45"/>
        <v>Variant allowances detailed calculation</v>
      </c>
      <c r="BC523" s="34" t="str">
        <f t="shared" si="46"/>
        <v>Variant allowances allocation to totex categories</v>
      </c>
    </row>
    <row r="524" spans="4:55" x14ac:dyDescent="0.35">
      <c r="D524" s="1">
        <f t="shared" si="49"/>
        <v>2.5</v>
      </c>
      <c r="E524" s="195" t="str">
        <f t="shared" si="50"/>
        <v>Re-opener_Diversions and Loss of Development Claims Re-opener</v>
      </c>
      <c r="F524" s="207"/>
      <c r="G524" s="196" t="str">
        <f t="shared" si="44"/>
        <v>£m 23/24 prices</v>
      </c>
      <c r="H524" s="196" t="s">
        <v>172</v>
      </c>
      <c r="I524" s="196"/>
      <c r="J524" s="196"/>
      <c r="K524" s="196"/>
      <c r="L524" s="196"/>
      <c r="M524" s="196"/>
      <c r="N524" s="196"/>
      <c r="O524" s="196"/>
      <c r="P524" s="196"/>
      <c r="Q524" s="196"/>
      <c r="R524" s="196"/>
      <c r="S524" s="196"/>
      <c r="T524" s="196"/>
      <c r="U524" s="196"/>
      <c r="V524" s="196"/>
      <c r="W524" s="196"/>
      <c r="X524" s="196"/>
      <c r="Y524" s="196"/>
      <c r="Z524" s="196"/>
      <c r="AA524" s="196"/>
      <c r="AB524" s="196"/>
      <c r="AC524" s="196"/>
      <c r="AD524" s="196"/>
      <c r="AE524" s="196"/>
      <c r="AF524" s="196"/>
      <c r="AG524" s="196"/>
      <c r="AH524" s="196"/>
      <c r="AI524" s="196"/>
      <c r="AJ524" s="196"/>
      <c r="AK524" s="196"/>
      <c r="AL524" s="196"/>
      <c r="AM524" s="196"/>
      <c r="AN524" s="196"/>
      <c r="AO524" s="196"/>
      <c r="AP524" s="196"/>
      <c r="AQ524" s="196"/>
      <c r="AR524" s="196"/>
      <c r="AS524" s="196"/>
      <c r="AT524" s="208"/>
      <c r="AU524" s="216">
        <f t="shared" si="53"/>
        <v>0</v>
      </c>
      <c r="AV524" s="217">
        <f t="shared" si="53"/>
        <v>0</v>
      </c>
      <c r="AW524" s="217">
        <f t="shared" si="53"/>
        <v>0</v>
      </c>
      <c r="AX524" s="217">
        <f t="shared" si="53"/>
        <v>0</v>
      </c>
      <c r="AY524" s="218">
        <f t="shared" si="53"/>
        <v>0</v>
      </c>
      <c r="BA524" s="34" t="str">
        <f t="shared" ca="1" si="48"/>
        <v>VariantAllowances</v>
      </c>
      <c r="BB524" s="34" t="str">
        <f t="shared" si="45"/>
        <v>Variant allowances detailed calculation</v>
      </c>
      <c r="BC524" s="34" t="str">
        <f t="shared" si="46"/>
        <v>Variant allowances allocation to totex categories</v>
      </c>
    </row>
    <row r="525" spans="4:55" x14ac:dyDescent="0.35">
      <c r="D525" s="1">
        <f t="shared" si="49"/>
        <v>2.5</v>
      </c>
      <c r="E525" s="187" t="str">
        <f t="shared" si="50"/>
        <v>Re-opener_Heat Policy re-opener</v>
      </c>
      <c r="F525" s="201"/>
      <c r="G525" s="188" t="str">
        <f t="shared" si="44"/>
        <v>£m 23/24 prices</v>
      </c>
      <c r="H525" s="188" t="s">
        <v>168</v>
      </c>
      <c r="I525" s="188"/>
      <c r="J525" s="188"/>
      <c r="K525" s="188"/>
      <c r="L525" s="188"/>
      <c r="M525" s="188"/>
      <c r="N525" s="188"/>
      <c r="O525" s="188"/>
      <c r="P525" s="188"/>
      <c r="Q525" s="188"/>
      <c r="R525" s="188"/>
      <c r="S525" s="188"/>
      <c r="T525" s="188"/>
      <c r="U525" s="188"/>
      <c r="V525" s="188"/>
      <c r="W525" s="188"/>
      <c r="X525" s="188"/>
      <c r="Y525" s="188"/>
      <c r="Z525" s="188"/>
      <c r="AA525" s="188"/>
      <c r="AB525" s="188"/>
      <c r="AC525" s="188"/>
      <c r="AD525" s="188"/>
      <c r="AE525" s="188"/>
      <c r="AF525" s="188"/>
      <c r="AG525" s="188"/>
      <c r="AH525" s="188"/>
      <c r="AI525" s="188"/>
      <c r="AJ525" s="188"/>
      <c r="AK525" s="188"/>
      <c r="AL525" s="188"/>
      <c r="AM525" s="188"/>
      <c r="AN525" s="188"/>
      <c r="AO525" s="188"/>
      <c r="AP525" s="188"/>
      <c r="AQ525" s="188"/>
      <c r="AR525" s="188"/>
      <c r="AS525" s="188"/>
      <c r="AT525" s="202"/>
      <c r="AU525" s="212">
        <f t="shared" ref="AU525:AY534" si="54">INDEX(AU$8:AU$57,MATCH($E525,$E$8:$E$57,0))*AU272</f>
        <v>0</v>
      </c>
      <c r="AV525" s="213">
        <f t="shared" si="54"/>
        <v>0</v>
      </c>
      <c r="AW525" s="213">
        <f t="shared" si="54"/>
        <v>0</v>
      </c>
      <c r="AX525" s="213">
        <f t="shared" si="54"/>
        <v>0</v>
      </c>
      <c r="AY525" s="214">
        <f t="shared" si="54"/>
        <v>0</v>
      </c>
      <c r="BA525" s="34" t="str">
        <f t="shared" ca="1" si="48"/>
        <v>VariantAllowances</v>
      </c>
      <c r="BB525" s="34" t="str">
        <f t="shared" si="45"/>
        <v>Variant allowances detailed calculation</v>
      </c>
      <c r="BC525" s="34" t="str">
        <f t="shared" si="46"/>
        <v>Variant allowances allocation to totex categories</v>
      </c>
    </row>
    <row r="526" spans="4:55" x14ac:dyDescent="0.35">
      <c r="D526" s="1">
        <f t="shared" si="49"/>
        <v>2.5</v>
      </c>
      <c r="E526" s="193" t="str">
        <f t="shared" si="50"/>
        <v>Re-opener_Heat Policy re-opener</v>
      </c>
      <c r="G526" s="33" t="str">
        <f t="shared" si="44"/>
        <v>£m 23/24 prices</v>
      </c>
      <c r="H526" s="33" t="s">
        <v>169</v>
      </c>
      <c r="AU526" s="166">
        <f t="shared" si="54"/>
        <v>0</v>
      </c>
      <c r="AV526" s="38">
        <f t="shared" si="54"/>
        <v>0</v>
      </c>
      <c r="AW526" s="38">
        <f t="shared" si="54"/>
        <v>0</v>
      </c>
      <c r="AX526" s="38">
        <f t="shared" si="54"/>
        <v>0</v>
      </c>
      <c r="AY526" s="215">
        <f t="shared" si="54"/>
        <v>0</v>
      </c>
      <c r="BA526" s="34" t="str">
        <f t="shared" ca="1" si="48"/>
        <v>VariantAllowances</v>
      </c>
      <c r="BB526" s="34" t="str">
        <f t="shared" si="45"/>
        <v>Variant allowances detailed calculation</v>
      </c>
      <c r="BC526" s="34" t="str">
        <f t="shared" si="46"/>
        <v>Variant allowances allocation to totex categories</v>
      </c>
    </row>
    <row r="527" spans="4:55" x14ac:dyDescent="0.35">
      <c r="D527" s="1">
        <f t="shared" si="49"/>
        <v>2.5</v>
      </c>
      <c r="E527" s="193" t="str">
        <f t="shared" si="50"/>
        <v>Re-opener_Heat Policy re-opener</v>
      </c>
      <c r="G527" s="33" t="str">
        <f t="shared" si="44"/>
        <v>£m 23/24 prices</v>
      </c>
      <c r="H527" s="33" t="s">
        <v>170</v>
      </c>
      <c r="AU527" s="166">
        <f t="shared" si="54"/>
        <v>0</v>
      </c>
      <c r="AV527" s="38">
        <f t="shared" si="54"/>
        <v>0</v>
      </c>
      <c r="AW527" s="38">
        <f t="shared" si="54"/>
        <v>0</v>
      </c>
      <c r="AX527" s="38">
        <f t="shared" si="54"/>
        <v>0</v>
      </c>
      <c r="AY527" s="215">
        <f t="shared" si="54"/>
        <v>0</v>
      </c>
      <c r="BA527" s="34" t="str">
        <f t="shared" ca="1" si="48"/>
        <v>VariantAllowances</v>
      </c>
      <c r="BB527" s="34" t="str">
        <f t="shared" si="45"/>
        <v>Variant allowances detailed calculation</v>
      </c>
      <c r="BC527" s="34" t="str">
        <f t="shared" si="46"/>
        <v>Variant allowances allocation to totex categories</v>
      </c>
    </row>
    <row r="528" spans="4:55" x14ac:dyDescent="0.35">
      <c r="D528" s="1">
        <f t="shared" si="49"/>
        <v>2.5</v>
      </c>
      <c r="E528" s="193" t="str">
        <f t="shared" si="50"/>
        <v>Re-opener_Heat Policy re-opener</v>
      </c>
      <c r="G528" s="33" t="str">
        <f t="shared" si="44"/>
        <v>£m 23/24 prices</v>
      </c>
      <c r="H528" s="33" t="s">
        <v>171</v>
      </c>
      <c r="AU528" s="166">
        <f t="shared" si="54"/>
        <v>0</v>
      </c>
      <c r="AV528" s="38">
        <f t="shared" si="54"/>
        <v>0</v>
      </c>
      <c r="AW528" s="38">
        <f t="shared" si="54"/>
        <v>0</v>
      </c>
      <c r="AX528" s="38">
        <f t="shared" si="54"/>
        <v>0</v>
      </c>
      <c r="AY528" s="215">
        <f t="shared" si="54"/>
        <v>0</v>
      </c>
      <c r="BA528" s="34" t="str">
        <f t="shared" ca="1" si="48"/>
        <v>VariantAllowances</v>
      </c>
      <c r="BB528" s="34" t="str">
        <f t="shared" si="45"/>
        <v>Variant allowances detailed calculation</v>
      </c>
      <c r="BC528" s="34" t="str">
        <f t="shared" si="46"/>
        <v>Variant allowances allocation to totex categories</v>
      </c>
    </row>
    <row r="529" spans="4:55" x14ac:dyDescent="0.35">
      <c r="D529" s="1">
        <f t="shared" si="49"/>
        <v>2.5</v>
      </c>
      <c r="E529" s="195" t="str">
        <f t="shared" si="50"/>
        <v>Re-opener_Heat Policy re-opener</v>
      </c>
      <c r="F529" s="207"/>
      <c r="G529" s="196" t="str">
        <f t="shared" si="44"/>
        <v>£m 23/24 prices</v>
      </c>
      <c r="H529" s="196" t="s">
        <v>172</v>
      </c>
      <c r="I529" s="196"/>
      <c r="J529" s="196"/>
      <c r="K529" s="196"/>
      <c r="L529" s="196"/>
      <c r="M529" s="196"/>
      <c r="N529" s="196"/>
      <c r="O529" s="196"/>
      <c r="P529" s="196"/>
      <c r="Q529" s="196"/>
      <c r="R529" s="196"/>
      <c r="S529" s="196"/>
      <c r="T529" s="196"/>
      <c r="U529" s="196"/>
      <c r="V529" s="196"/>
      <c r="W529" s="196"/>
      <c r="X529" s="196"/>
      <c r="Y529" s="196"/>
      <c r="Z529" s="196"/>
      <c r="AA529" s="196"/>
      <c r="AB529" s="196"/>
      <c r="AC529" s="196"/>
      <c r="AD529" s="196"/>
      <c r="AE529" s="196"/>
      <c r="AF529" s="196"/>
      <c r="AG529" s="196"/>
      <c r="AH529" s="196"/>
      <c r="AI529" s="196"/>
      <c r="AJ529" s="196"/>
      <c r="AK529" s="196"/>
      <c r="AL529" s="196"/>
      <c r="AM529" s="196"/>
      <c r="AN529" s="196"/>
      <c r="AO529" s="196"/>
      <c r="AP529" s="196"/>
      <c r="AQ529" s="196"/>
      <c r="AR529" s="196"/>
      <c r="AS529" s="196"/>
      <c r="AT529" s="208"/>
      <c r="AU529" s="216">
        <f t="shared" si="54"/>
        <v>0</v>
      </c>
      <c r="AV529" s="217">
        <f t="shared" si="54"/>
        <v>0</v>
      </c>
      <c r="AW529" s="217">
        <f t="shared" si="54"/>
        <v>0</v>
      </c>
      <c r="AX529" s="217">
        <f t="shared" si="54"/>
        <v>0</v>
      </c>
      <c r="AY529" s="218">
        <f t="shared" si="54"/>
        <v>0</v>
      </c>
      <c r="BA529" s="34" t="str">
        <f t="shared" ca="1" si="48"/>
        <v>VariantAllowances</v>
      </c>
      <c r="BB529" s="34" t="str">
        <f t="shared" si="45"/>
        <v>Variant allowances detailed calculation</v>
      </c>
      <c r="BC529" s="34" t="str">
        <f t="shared" si="46"/>
        <v>Variant allowances allocation to totex categories</v>
      </c>
    </row>
    <row r="530" spans="4:55" x14ac:dyDescent="0.35">
      <c r="D530" s="1">
        <f t="shared" si="49"/>
        <v>2.5</v>
      </c>
      <c r="E530" s="187" t="str">
        <f t="shared" si="50"/>
        <v>Re-opener_HSE Policy Re-opener</v>
      </c>
      <c r="F530" s="201"/>
      <c r="G530" s="188" t="str">
        <f t="shared" si="44"/>
        <v>£m 23/24 prices</v>
      </c>
      <c r="H530" s="188" t="s">
        <v>168</v>
      </c>
      <c r="I530" s="188"/>
      <c r="J530" s="188"/>
      <c r="K530" s="188"/>
      <c r="L530" s="188"/>
      <c r="M530" s="188"/>
      <c r="N530" s="188"/>
      <c r="O530" s="188"/>
      <c r="P530" s="188"/>
      <c r="Q530" s="188"/>
      <c r="R530" s="188"/>
      <c r="S530" s="188"/>
      <c r="T530" s="188"/>
      <c r="U530" s="188"/>
      <c r="V530" s="188"/>
      <c r="W530" s="188"/>
      <c r="X530" s="188"/>
      <c r="Y530" s="188"/>
      <c r="Z530" s="188"/>
      <c r="AA530" s="188"/>
      <c r="AB530" s="188"/>
      <c r="AC530" s="188"/>
      <c r="AD530" s="188"/>
      <c r="AE530" s="188"/>
      <c r="AF530" s="188"/>
      <c r="AG530" s="188"/>
      <c r="AH530" s="188"/>
      <c r="AI530" s="188"/>
      <c r="AJ530" s="188"/>
      <c r="AK530" s="188"/>
      <c r="AL530" s="188"/>
      <c r="AM530" s="188"/>
      <c r="AN530" s="188"/>
      <c r="AO530" s="188"/>
      <c r="AP530" s="188"/>
      <c r="AQ530" s="188"/>
      <c r="AR530" s="188"/>
      <c r="AS530" s="188"/>
      <c r="AT530" s="202"/>
      <c r="AU530" s="212">
        <f t="shared" si="54"/>
        <v>0</v>
      </c>
      <c r="AV530" s="213">
        <f t="shared" si="54"/>
        <v>0</v>
      </c>
      <c r="AW530" s="213">
        <f t="shared" si="54"/>
        <v>0</v>
      </c>
      <c r="AX530" s="213">
        <f t="shared" si="54"/>
        <v>0</v>
      </c>
      <c r="AY530" s="214">
        <f t="shared" si="54"/>
        <v>0</v>
      </c>
      <c r="BA530" s="34" t="str">
        <f t="shared" ca="1" si="48"/>
        <v>VariantAllowances</v>
      </c>
      <c r="BB530" s="34" t="str">
        <f t="shared" si="45"/>
        <v>Variant allowances detailed calculation</v>
      </c>
      <c r="BC530" s="34" t="str">
        <f t="shared" si="46"/>
        <v>Variant allowances allocation to totex categories</v>
      </c>
    </row>
    <row r="531" spans="4:55" x14ac:dyDescent="0.35">
      <c r="D531" s="1">
        <f t="shared" si="49"/>
        <v>2.5</v>
      </c>
      <c r="E531" s="193" t="str">
        <f t="shared" si="50"/>
        <v>Re-opener_HSE Policy Re-opener</v>
      </c>
      <c r="G531" s="33" t="str">
        <f t="shared" si="44"/>
        <v>£m 23/24 prices</v>
      </c>
      <c r="H531" s="33" t="s">
        <v>169</v>
      </c>
      <c r="AU531" s="166">
        <f t="shared" si="54"/>
        <v>0</v>
      </c>
      <c r="AV531" s="38">
        <f t="shared" si="54"/>
        <v>0</v>
      </c>
      <c r="AW531" s="38">
        <f t="shared" si="54"/>
        <v>0</v>
      </c>
      <c r="AX531" s="38">
        <f t="shared" si="54"/>
        <v>0</v>
      </c>
      <c r="AY531" s="215">
        <f t="shared" si="54"/>
        <v>0</v>
      </c>
      <c r="BA531" s="34" t="str">
        <f t="shared" ca="1" si="48"/>
        <v>VariantAllowances</v>
      </c>
      <c r="BB531" s="34" t="str">
        <f t="shared" si="45"/>
        <v>Variant allowances detailed calculation</v>
      </c>
      <c r="BC531" s="34" t="str">
        <f t="shared" si="46"/>
        <v>Variant allowances allocation to totex categories</v>
      </c>
    </row>
    <row r="532" spans="4:55" x14ac:dyDescent="0.35">
      <c r="D532" s="1">
        <f t="shared" si="49"/>
        <v>2.5</v>
      </c>
      <c r="E532" s="193" t="str">
        <f t="shared" si="50"/>
        <v>Re-opener_HSE Policy Re-opener</v>
      </c>
      <c r="G532" s="33" t="str">
        <f t="shared" si="44"/>
        <v>£m 23/24 prices</v>
      </c>
      <c r="H532" s="33" t="s">
        <v>170</v>
      </c>
      <c r="AU532" s="166">
        <f t="shared" si="54"/>
        <v>0</v>
      </c>
      <c r="AV532" s="38">
        <f t="shared" si="54"/>
        <v>0</v>
      </c>
      <c r="AW532" s="38">
        <f t="shared" si="54"/>
        <v>0</v>
      </c>
      <c r="AX532" s="38">
        <f t="shared" si="54"/>
        <v>0</v>
      </c>
      <c r="AY532" s="215">
        <f t="shared" si="54"/>
        <v>0</v>
      </c>
      <c r="BA532" s="34" t="str">
        <f t="shared" ca="1" si="48"/>
        <v>VariantAllowances</v>
      </c>
      <c r="BB532" s="34" t="str">
        <f t="shared" si="45"/>
        <v>Variant allowances detailed calculation</v>
      </c>
      <c r="BC532" s="34" t="str">
        <f t="shared" si="46"/>
        <v>Variant allowances allocation to totex categories</v>
      </c>
    </row>
    <row r="533" spans="4:55" x14ac:dyDescent="0.35">
      <c r="D533" s="1">
        <f t="shared" si="49"/>
        <v>2.5</v>
      </c>
      <c r="E533" s="193" t="str">
        <f t="shared" si="50"/>
        <v>Re-opener_HSE Policy Re-opener</v>
      </c>
      <c r="G533" s="33" t="str">
        <f t="shared" si="44"/>
        <v>£m 23/24 prices</v>
      </c>
      <c r="H533" s="33" t="s">
        <v>171</v>
      </c>
      <c r="AU533" s="166">
        <f t="shared" si="54"/>
        <v>0</v>
      </c>
      <c r="AV533" s="38">
        <f t="shared" si="54"/>
        <v>0</v>
      </c>
      <c r="AW533" s="38">
        <f t="shared" si="54"/>
        <v>0</v>
      </c>
      <c r="AX533" s="38">
        <f t="shared" si="54"/>
        <v>0</v>
      </c>
      <c r="AY533" s="215">
        <f t="shared" si="54"/>
        <v>0</v>
      </c>
      <c r="BA533" s="34" t="str">
        <f t="shared" ca="1" si="48"/>
        <v>VariantAllowances</v>
      </c>
      <c r="BB533" s="34" t="str">
        <f t="shared" si="45"/>
        <v>Variant allowances detailed calculation</v>
      </c>
      <c r="BC533" s="34" t="str">
        <f t="shared" si="46"/>
        <v>Variant allowances allocation to totex categories</v>
      </c>
    </row>
    <row r="534" spans="4:55" x14ac:dyDescent="0.35">
      <c r="D534" s="1">
        <f t="shared" si="49"/>
        <v>2.5</v>
      </c>
      <c r="E534" s="195" t="str">
        <f t="shared" si="50"/>
        <v>Re-opener_HSE Policy Re-opener</v>
      </c>
      <c r="F534" s="207"/>
      <c r="G534" s="196" t="str">
        <f t="shared" si="44"/>
        <v>£m 23/24 prices</v>
      </c>
      <c r="H534" s="196" t="s">
        <v>172</v>
      </c>
      <c r="I534" s="196"/>
      <c r="J534" s="196"/>
      <c r="K534" s="196"/>
      <c r="L534" s="196"/>
      <c r="M534" s="196"/>
      <c r="N534" s="196"/>
      <c r="O534" s="196"/>
      <c r="P534" s="196"/>
      <c r="Q534" s="196"/>
      <c r="R534" s="196"/>
      <c r="S534" s="196"/>
      <c r="T534" s="196"/>
      <c r="U534" s="196"/>
      <c r="V534" s="196"/>
      <c r="W534" s="196"/>
      <c r="X534" s="196"/>
      <c r="Y534" s="196"/>
      <c r="Z534" s="196"/>
      <c r="AA534" s="196"/>
      <c r="AB534" s="196"/>
      <c r="AC534" s="196"/>
      <c r="AD534" s="196"/>
      <c r="AE534" s="196"/>
      <c r="AF534" s="196"/>
      <c r="AG534" s="196"/>
      <c r="AH534" s="196"/>
      <c r="AI534" s="196"/>
      <c r="AJ534" s="196"/>
      <c r="AK534" s="196"/>
      <c r="AL534" s="196"/>
      <c r="AM534" s="196"/>
      <c r="AN534" s="196"/>
      <c r="AO534" s="196"/>
      <c r="AP534" s="196"/>
      <c r="AQ534" s="196"/>
      <c r="AR534" s="196"/>
      <c r="AS534" s="196"/>
      <c r="AT534" s="208"/>
      <c r="AU534" s="216">
        <f t="shared" si="54"/>
        <v>0</v>
      </c>
      <c r="AV534" s="217">
        <f t="shared" si="54"/>
        <v>0</v>
      </c>
      <c r="AW534" s="217">
        <f t="shared" si="54"/>
        <v>0</v>
      </c>
      <c r="AX534" s="217">
        <f t="shared" si="54"/>
        <v>0</v>
      </c>
      <c r="AY534" s="218">
        <f t="shared" si="54"/>
        <v>0</v>
      </c>
      <c r="BA534" s="34" t="str">
        <f t="shared" ca="1" si="48"/>
        <v>VariantAllowances</v>
      </c>
      <c r="BB534" s="34" t="str">
        <f t="shared" si="45"/>
        <v>Variant allowances detailed calculation</v>
      </c>
      <c r="BC534" s="34" t="str">
        <f t="shared" si="46"/>
        <v>Variant allowances allocation to totex categories</v>
      </c>
    </row>
    <row r="535" spans="4:55" x14ac:dyDescent="0.35">
      <c r="D535" s="1">
        <f t="shared" si="49"/>
        <v>2.5</v>
      </c>
      <c r="E535" s="187" t="str">
        <f t="shared" si="50"/>
        <v>Re-opener_London Subways and Tunnels</v>
      </c>
      <c r="F535" s="201"/>
      <c r="G535" s="188" t="str">
        <f t="shared" si="44"/>
        <v>£m 23/24 prices</v>
      </c>
      <c r="H535" s="188" t="s">
        <v>168</v>
      </c>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202"/>
      <c r="AU535" s="212">
        <f t="shared" ref="AU535:AY544" si="55">INDEX(AU$8:AU$57,MATCH($E535,$E$8:$E$57,0))*AU282</f>
        <v>0</v>
      </c>
      <c r="AV535" s="213">
        <f t="shared" si="55"/>
        <v>0</v>
      </c>
      <c r="AW535" s="213">
        <f t="shared" si="55"/>
        <v>0</v>
      </c>
      <c r="AX535" s="213">
        <f t="shared" si="55"/>
        <v>0</v>
      </c>
      <c r="AY535" s="214">
        <f t="shared" si="55"/>
        <v>0</v>
      </c>
      <c r="BA535" s="34" t="str">
        <f t="shared" ca="1" si="48"/>
        <v>VariantAllowances</v>
      </c>
      <c r="BB535" s="34" t="str">
        <f t="shared" si="45"/>
        <v>Variant allowances detailed calculation</v>
      </c>
      <c r="BC535" s="34" t="str">
        <f t="shared" si="46"/>
        <v>Variant allowances allocation to totex categories</v>
      </c>
    </row>
    <row r="536" spans="4:55" x14ac:dyDescent="0.35">
      <c r="D536" s="1">
        <f t="shared" si="49"/>
        <v>2.5</v>
      </c>
      <c r="E536" s="193" t="str">
        <f t="shared" si="50"/>
        <v>Re-opener_London Subways and Tunnels</v>
      </c>
      <c r="G536" s="33" t="str">
        <f t="shared" si="44"/>
        <v>£m 23/24 prices</v>
      </c>
      <c r="H536" s="33" t="s">
        <v>169</v>
      </c>
      <c r="AU536" s="166">
        <f t="shared" si="55"/>
        <v>0</v>
      </c>
      <c r="AV536" s="38">
        <f t="shared" si="55"/>
        <v>0</v>
      </c>
      <c r="AW536" s="38">
        <f t="shared" si="55"/>
        <v>0</v>
      </c>
      <c r="AX536" s="38">
        <f t="shared" si="55"/>
        <v>0</v>
      </c>
      <c r="AY536" s="215">
        <f t="shared" si="55"/>
        <v>0</v>
      </c>
      <c r="BA536" s="34" t="str">
        <f t="shared" ca="1" si="48"/>
        <v>VariantAllowances</v>
      </c>
      <c r="BB536" s="34" t="str">
        <f t="shared" si="45"/>
        <v>Variant allowances detailed calculation</v>
      </c>
      <c r="BC536" s="34" t="str">
        <f t="shared" si="46"/>
        <v>Variant allowances allocation to totex categories</v>
      </c>
    </row>
    <row r="537" spans="4:55" x14ac:dyDescent="0.35">
      <c r="D537" s="1">
        <f t="shared" si="49"/>
        <v>2.5</v>
      </c>
      <c r="E537" s="193" t="str">
        <f t="shared" si="50"/>
        <v>Re-opener_London Subways and Tunnels</v>
      </c>
      <c r="G537" s="33" t="str">
        <f t="shared" si="44"/>
        <v>£m 23/24 prices</v>
      </c>
      <c r="H537" s="33" t="s">
        <v>170</v>
      </c>
      <c r="AU537" s="166">
        <f t="shared" si="55"/>
        <v>0</v>
      </c>
      <c r="AV537" s="38">
        <f t="shared" si="55"/>
        <v>0</v>
      </c>
      <c r="AW537" s="38">
        <f t="shared" si="55"/>
        <v>0</v>
      </c>
      <c r="AX537" s="38">
        <f t="shared" si="55"/>
        <v>0</v>
      </c>
      <c r="AY537" s="215">
        <f t="shared" si="55"/>
        <v>0</v>
      </c>
      <c r="BA537" s="34" t="str">
        <f t="shared" ca="1" si="48"/>
        <v>VariantAllowances</v>
      </c>
      <c r="BB537" s="34" t="str">
        <f t="shared" si="45"/>
        <v>Variant allowances detailed calculation</v>
      </c>
      <c r="BC537" s="34" t="str">
        <f t="shared" si="46"/>
        <v>Variant allowances allocation to totex categories</v>
      </c>
    </row>
    <row r="538" spans="4:55" x14ac:dyDescent="0.35">
      <c r="D538" s="1">
        <f t="shared" si="49"/>
        <v>2.5</v>
      </c>
      <c r="E538" s="193" t="str">
        <f t="shared" si="50"/>
        <v>Re-opener_London Subways and Tunnels</v>
      </c>
      <c r="G538" s="33" t="str">
        <f t="shared" si="44"/>
        <v>£m 23/24 prices</v>
      </c>
      <c r="H538" s="33" t="s">
        <v>171</v>
      </c>
      <c r="AU538" s="166">
        <f t="shared" si="55"/>
        <v>0</v>
      </c>
      <c r="AV538" s="38">
        <f t="shared" si="55"/>
        <v>0</v>
      </c>
      <c r="AW538" s="38">
        <f t="shared" si="55"/>
        <v>0</v>
      </c>
      <c r="AX538" s="38">
        <f t="shared" si="55"/>
        <v>0</v>
      </c>
      <c r="AY538" s="215">
        <f t="shared" si="55"/>
        <v>0</v>
      </c>
      <c r="BA538" s="34" t="str">
        <f t="shared" ca="1" si="48"/>
        <v>VariantAllowances</v>
      </c>
      <c r="BB538" s="34" t="str">
        <f t="shared" si="45"/>
        <v>Variant allowances detailed calculation</v>
      </c>
      <c r="BC538" s="34" t="str">
        <f t="shared" si="46"/>
        <v>Variant allowances allocation to totex categories</v>
      </c>
    </row>
    <row r="539" spans="4:55" x14ac:dyDescent="0.35">
      <c r="D539" s="1">
        <f t="shared" si="49"/>
        <v>2.5</v>
      </c>
      <c r="E539" s="195" t="str">
        <f t="shared" si="50"/>
        <v>Re-opener_London Subways and Tunnels</v>
      </c>
      <c r="F539" s="207"/>
      <c r="G539" s="196" t="str">
        <f t="shared" si="44"/>
        <v>£m 23/24 prices</v>
      </c>
      <c r="H539" s="196" t="s">
        <v>172</v>
      </c>
      <c r="I539" s="196"/>
      <c r="J539" s="196"/>
      <c r="K539" s="196"/>
      <c r="L539" s="196"/>
      <c r="M539" s="196"/>
      <c r="N539" s="196"/>
      <c r="O539" s="196"/>
      <c r="P539" s="196"/>
      <c r="Q539" s="196"/>
      <c r="R539" s="196"/>
      <c r="S539" s="196"/>
      <c r="T539" s="196"/>
      <c r="U539" s="196"/>
      <c r="V539" s="196"/>
      <c r="W539" s="196"/>
      <c r="X539" s="196"/>
      <c r="Y539" s="196"/>
      <c r="Z539" s="196"/>
      <c r="AA539" s="196"/>
      <c r="AB539" s="196"/>
      <c r="AC539" s="196"/>
      <c r="AD539" s="196"/>
      <c r="AE539" s="196"/>
      <c r="AF539" s="196"/>
      <c r="AG539" s="196"/>
      <c r="AH539" s="196"/>
      <c r="AI539" s="196"/>
      <c r="AJ539" s="196"/>
      <c r="AK539" s="196"/>
      <c r="AL539" s="196"/>
      <c r="AM539" s="196"/>
      <c r="AN539" s="196"/>
      <c r="AO539" s="196"/>
      <c r="AP539" s="196"/>
      <c r="AQ539" s="196"/>
      <c r="AR539" s="196"/>
      <c r="AS539" s="196"/>
      <c r="AT539" s="208"/>
      <c r="AU539" s="216">
        <f t="shared" si="55"/>
        <v>0</v>
      </c>
      <c r="AV539" s="217">
        <f t="shared" si="55"/>
        <v>0</v>
      </c>
      <c r="AW539" s="217">
        <f t="shared" si="55"/>
        <v>0</v>
      </c>
      <c r="AX539" s="217">
        <f t="shared" si="55"/>
        <v>0</v>
      </c>
      <c r="AY539" s="218">
        <f t="shared" si="55"/>
        <v>0</v>
      </c>
      <c r="BA539" s="34" t="str">
        <f t="shared" ca="1" si="48"/>
        <v>VariantAllowances</v>
      </c>
      <c r="BB539" s="34" t="str">
        <f t="shared" si="45"/>
        <v>Variant allowances detailed calculation</v>
      </c>
      <c r="BC539" s="34" t="str">
        <f t="shared" si="46"/>
        <v>Variant allowances allocation to totex categories</v>
      </c>
    </row>
    <row r="540" spans="4:55" x14ac:dyDescent="0.35">
      <c r="D540" s="1">
        <f t="shared" si="49"/>
        <v>2.5</v>
      </c>
      <c r="E540" s="187" t="str">
        <f t="shared" si="50"/>
        <v>Re-opener_Net Zero Pre-construction Works and Small Net Zero Projects Re-opener / Small Decarbonisation Projects Re-opener</v>
      </c>
      <c r="F540" s="201"/>
      <c r="G540" s="188" t="str">
        <f t="shared" si="44"/>
        <v>£m 23/24 prices</v>
      </c>
      <c r="H540" s="188" t="s">
        <v>168</v>
      </c>
      <c r="I540" s="188"/>
      <c r="J540" s="188"/>
      <c r="K540" s="188"/>
      <c r="L540" s="188"/>
      <c r="M540" s="188"/>
      <c r="N540" s="188"/>
      <c r="O540" s="188"/>
      <c r="P540" s="188"/>
      <c r="Q540" s="188"/>
      <c r="R540" s="188"/>
      <c r="S540" s="188"/>
      <c r="T540" s="188"/>
      <c r="U540" s="188"/>
      <c r="V540" s="188"/>
      <c r="W540" s="188"/>
      <c r="X540" s="188"/>
      <c r="Y540" s="188"/>
      <c r="Z540" s="188"/>
      <c r="AA540" s="188"/>
      <c r="AB540" s="188"/>
      <c r="AC540" s="188"/>
      <c r="AD540" s="188"/>
      <c r="AE540" s="188"/>
      <c r="AF540" s="188"/>
      <c r="AG540" s="188"/>
      <c r="AH540" s="188"/>
      <c r="AI540" s="188"/>
      <c r="AJ540" s="188"/>
      <c r="AK540" s="188"/>
      <c r="AL540" s="188"/>
      <c r="AM540" s="188"/>
      <c r="AN540" s="188"/>
      <c r="AO540" s="188"/>
      <c r="AP540" s="188"/>
      <c r="AQ540" s="188"/>
      <c r="AR540" s="188"/>
      <c r="AS540" s="188"/>
      <c r="AT540" s="202"/>
      <c r="AU540" s="212">
        <f t="shared" si="55"/>
        <v>0</v>
      </c>
      <c r="AV540" s="213">
        <f t="shared" si="55"/>
        <v>0</v>
      </c>
      <c r="AW540" s="213">
        <f t="shared" si="55"/>
        <v>0</v>
      </c>
      <c r="AX540" s="213">
        <f t="shared" si="55"/>
        <v>0</v>
      </c>
      <c r="AY540" s="214">
        <f t="shared" si="55"/>
        <v>0</v>
      </c>
      <c r="BA540" s="34" t="str">
        <f t="shared" ca="1" si="48"/>
        <v>VariantAllowances</v>
      </c>
      <c r="BB540" s="34" t="str">
        <f t="shared" si="45"/>
        <v>Variant allowances detailed calculation</v>
      </c>
      <c r="BC540" s="34" t="str">
        <f t="shared" si="46"/>
        <v>Variant allowances allocation to totex categories</v>
      </c>
    </row>
    <row r="541" spans="4:55" x14ac:dyDescent="0.35">
      <c r="D541" s="1">
        <f t="shared" si="49"/>
        <v>2.5</v>
      </c>
      <c r="E541" s="193" t="str">
        <f t="shared" si="50"/>
        <v>Re-opener_Net Zero Pre-construction Works and Small Net Zero Projects Re-opener / Small Decarbonisation Projects Re-opener</v>
      </c>
      <c r="G541" s="33" t="str">
        <f t="shared" si="44"/>
        <v>£m 23/24 prices</v>
      </c>
      <c r="H541" s="33" t="s">
        <v>169</v>
      </c>
      <c r="AU541" s="166">
        <f t="shared" si="55"/>
        <v>0</v>
      </c>
      <c r="AV541" s="38">
        <f t="shared" si="55"/>
        <v>0</v>
      </c>
      <c r="AW541" s="38">
        <f t="shared" si="55"/>
        <v>0</v>
      </c>
      <c r="AX541" s="38">
        <f t="shared" si="55"/>
        <v>0</v>
      </c>
      <c r="AY541" s="215">
        <f t="shared" si="55"/>
        <v>0</v>
      </c>
      <c r="BA541" s="34" t="str">
        <f t="shared" ca="1" si="48"/>
        <v>VariantAllowances</v>
      </c>
      <c r="BB541" s="34" t="str">
        <f t="shared" si="45"/>
        <v>Variant allowances detailed calculation</v>
      </c>
      <c r="BC541" s="34" t="str">
        <f t="shared" si="46"/>
        <v>Variant allowances allocation to totex categories</v>
      </c>
    </row>
    <row r="542" spans="4:55" x14ac:dyDescent="0.35">
      <c r="D542" s="1">
        <f t="shared" si="49"/>
        <v>2.5</v>
      </c>
      <c r="E542" s="193" t="str">
        <f t="shared" si="50"/>
        <v>Re-opener_Net Zero Pre-construction Works and Small Net Zero Projects Re-opener / Small Decarbonisation Projects Re-opener</v>
      </c>
      <c r="G542" s="33" t="str">
        <f t="shared" si="44"/>
        <v>£m 23/24 prices</v>
      </c>
      <c r="H542" s="33" t="s">
        <v>170</v>
      </c>
      <c r="AU542" s="166">
        <f t="shared" si="55"/>
        <v>0</v>
      </c>
      <c r="AV542" s="38">
        <f t="shared" si="55"/>
        <v>0</v>
      </c>
      <c r="AW542" s="38">
        <f t="shared" si="55"/>
        <v>0</v>
      </c>
      <c r="AX542" s="38">
        <f t="shared" si="55"/>
        <v>0</v>
      </c>
      <c r="AY542" s="215">
        <f t="shared" si="55"/>
        <v>0</v>
      </c>
      <c r="BA542" s="34" t="str">
        <f t="shared" ca="1" si="48"/>
        <v>VariantAllowances</v>
      </c>
      <c r="BB542" s="34" t="str">
        <f t="shared" si="45"/>
        <v>Variant allowances detailed calculation</v>
      </c>
      <c r="BC542" s="34" t="str">
        <f t="shared" si="46"/>
        <v>Variant allowances allocation to totex categories</v>
      </c>
    </row>
    <row r="543" spans="4:55" x14ac:dyDescent="0.35">
      <c r="D543" s="1">
        <f t="shared" si="49"/>
        <v>2.5</v>
      </c>
      <c r="E543" s="193" t="str">
        <f t="shared" si="50"/>
        <v>Re-opener_Net Zero Pre-construction Works and Small Net Zero Projects Re-opener / Small Decarbonisation Projects Re-opener</v>
      </c>
      <c r="G543" s="33" t="str">
        <f t="shared" si="44"/>
        <v>£m 23/24 prices</v>
      </c>
      <c r="H543" s="33" t="s">
        <v>171</v>
      </c>
      <c r="AU543" s="166">
        <f t="shared" si="55"/>
        <v>0</v>
      </c>
      <c r="AV543" s="38">
        <f t="shared" si="55"/>
        <v>0</v>
      </c>
      <c r="AW543" s="38">
        <f t="shared" si="55"/>
        <v>0</v>
      </c>
      <c r="AX543" s="38">
        <f t="shared" si="55"/>
        <v>0</v>
      </c>
      <c r="AY543" s="215">
        <f t="shared" si="55"/>
        <v>0</v>
      </c>
      <c r="BA543" s="34" t="str">
        <f t="shared" ca="1" si="48"/>
        <v>VariantAllowances</v>
      </c>
      <c r="BB543" s="34" t="str">
        <f t="shared" si="45"/>
        <v>Variant allowances detailed calculation</v>
      </c>
      <c r="BC543" s="34" t="str">
        <f t="shared" si="46"/>
        <v>Variant allowances allocation to totex categories</v>
      </c>
    </row>
    <row r="544" spans="4:55" x14ac:dyDescent="0.35">
      <c r="D544" s="1">
        <f t="shared" si="49"/>
        <v>2.5</v>
      </c>
      <c r="E544" s="195" t="str">
        <f t="shared" si="50"/>
        <v>Re-opener_Net Zero Pre-construction Works and Small Net Zero Projects Re-opener / Small Decarbonisation Projects Re-opener</v>
      </c>
      <c r="F544" s="207"/>
      <c r="G544" s="196" t="str">
        <f t="shared" si="44"/>
        <v>£m 23/24 prices</v>
      </c>
      <c r="H544" s="196" t="s">
        <v>172</v>
      </c>
      <c r="I544" s="196"/>
      <c r="J544" s="196"/>
      <c r="K544" s="196"/>
      <c r="L544" s="196"/>
      <c r="M544" s="196"/>
      <c r="N544" s="196"/>
      <c r="O544" s="196"/>
      <c r="P544" s="196"/>
      <c r="Q544" s="196"/>
      <c r="R544" s="196"/>
      <c r="S544" s="196"/>
      <c r="T544" s="196"/>
      <c r="U544" s="196"/>
      <c r="V544" s="196"/>
      <c r="W544" s="196"/>
      <c r="X544" s="196"/>
      <c r="Y544" s="196"/>
      <c r="Z544" s="196"/>
      <c r="AA544" s="196"/>
      <c r="AB544" s="196"/>
      <c r="AC544" s="196"/>
      <c r="AD544" s="196"/>
      <c r="AE544" s="196"/>
      <c r="AF544" s="196"/>
      <c r="AG544" s="196"/>
      <c r="AH544" s="196"/>
      <c r="AI544" s="196"/>
      <c r="AJ544" s="196"/>
      <c r="AK544" s="196"/>
      <c r="AL544" s="196"/>
      <c r="AM544" s="196"/>
      <c r="AN544" s="196"/>
      <c r="AO544" s="196"/>
      <c r="AP544" s="196"/>
      <c r="AQ544" s="196"/>
      <c r="AR544" s="196"/>
      <c r="AS544" s="196"/>
      <c r="AT544" s="208"/>
      <c r="AU544" s="216">
        <f t="shared" si="55"/>
        <v>0</v>
      </c>
      <c r="AV544" s="217">
        <f t="shared" si="55"/>
        <v>0</v>
      </c>
      <c r="AW544" s="217">
        <f t="shared" si="55"/>
        <v>0</v>
      </c>
      <c r="AX544" s="217">
        <f t="shared" si="55"/>
        <v>0</v>
      </c>
      <c r="AY544" s="218">
        <f t="shared" si="55"/>
        <v>0</v>
      </c>
      <c r="BA544" s="34" t="str">
        <f t="shared" ca="1" si="48"/>
        <v>VariantAllowances</v>
      </c>
      <c r="BB544" s="34" t="str">
        <f t="shared" si="45"/>
        <v>Variant allowances detailed calculation</v>
      </c>
      <c r="BC544" s="34" t="str">
        <f t="shared" si="46"/>
        <v>Variant allowances allocation to totex categories</v>
      </c>
    </row>
    <row r="545" spans="4:55" x14ac:dyDescent="0.35">
      <c r="D545" s="1">
        <f t="shared" si="49"/>
        <v>2.5</v>
      </c>
      <c r="E545" s="187" t="str">
        <f t="shared" si="50"/>
        <v>Re-opener_Net zero re-opener / Decarbonisation and Environmental Policy Re-opener</v>
      </c>
      <c r="F545" s="201"/>
      <c r="G545" s="188" t="str">
        <f t="shared" si="44"/>
        <v>£m 23/24 prices</v>
      </c>
      <c r="H545" s="188" t="s">
        <v>168</v>
      </c>
      <c r="I545" s="188"/>
      <c r="J545" s="188"/>
      <c r="K545" s="188"/>
      <c r="L545" s="188"/>
      <c r="M545" s="188"/>
      <c r="N545" s="188"/>
      <c r="O545" s="188"/>
      <c r="P545" s="188"/>
      <c r="Q545" s="188"/>
      <c r="R545" s="188"/>
      <c r="S545" s="188"/>
      <c r="T545" s="188"/>
      <c r="U545" s="188"/>
      <c r="V545" s="188"/>
      <c r="W545" s="188"/>
      <c r="X545" s="188"/>
      <c r="Y545" s="188"/>
      <c r="Z545" s="188"/>
      <c r="AA545" s="188"/>
      <c r="AB545" s="188"/>
      <c r="AC545" s="188"/>
      <c r="AD545" s="188"/>
      <c r="AE545" s="188"/>
      <c r="AF545" s="188"/>
      <c r="AG545" s="188"/>
      <c r="AH545" s="188"/>
      <c r="AI545" s="188"/>
      <c r="AJ545" s="188"/>
      <c r="AK545" s="188"/>
      <c r="AL545" s="188"/>
      <c r="AM545" s="188"/>
      <c r="AN545" s="188"/>
      <c r="AO545" s="188"/>
      <c r="AP545" s="188"/>
      <c r="AQ545" s="188"/>
      <c r="AR545" s="188"/>
      <c r="AS545" s="188"/>
      <c r="AT545" s="202"/>
      <c r="AU545" s="212">
        <f t="shared" ref="AU545:AY554" si="56">INDEX(AU$8:AU$57,MATCH($E545,$E$8:$E$57,0))*AU292</f>
        <v>0</v>
      </c>
      <c r="AV545" s="213">
        <f t="shared" si="56"/>
        <v>0</v>
      </c>
      <c r="AW545" s="213">
        <f t="shared" si="56"/>
        <v>0</v>
      </c>
      <c r="AX545" s="213">
        <f t="shared" si="56"/>
        <v>0</v>
      </c>
      <c r="AY545" s="214">
        <f t="shared" si="56"/>
        <v>0</v>
      </c>
      <c r="BA545" s="34" t="str">
        <f t="shared" ca="1" si="48"/>
        <v>VariantAllowances</v>
      </c>
      <c r="BB545" s="34" t="str">
        <f t="shared" si="45"/>
        <v>Variant allowances detailed calculation</v>
      </c>
      <c r="BC545" s="34" t="str">
        <f t="shared" si="46"/>
        <v>Variant allowances allocation to totex categories</v>
      </c>
    </row>
    <row r="546" spans="4:55" x14ac:dyDescent="0.35">
      <c r="D546" s="1">
        <f t="shared" si="49"/>
        <v>2.5</v>
      </c>
      <c r="E546" s="193" t="str">
        <f t="shared" si="50"/>
        <v>Re-opener_Net zero re-opener / Decarbonisation and Environmental Policy Re-opener</v>
      </c>
      <c r="G546" s="33" t="str">
        <f t="shared" si="44"/>
        <v>£m 23/24 prices</v>
      </c>
      <c r="H546" s="33" t="s">
        <v>169</v>
      </c>
      <c r="AU546" s="166">
        <f t="shared" si="56"/>
        <v>0</v>
      </c>
      <c r="AV546" s="38">
        <f t="shared" si="56"/>
        <v>0</v>
      </c>
      <c r="AW546" s="38">
        <f t="shared" si="56"/>
        <v>0</v>
      </c>
      <c r="AX546" s="38">
        <f t="shared" si="56"/>
        <v>0</v>
      </c>
      <c r="AY546" s="215">
        <f t="shared" si="56"/>
        <v>0</v>
      </c>
      <c r="BA546" s="34" t="str">
        <f t="shared" ca="1" si="48"/>
        <v>VariantAllowances</v>
      </c>
      <c r="BB546" s="34" t="str">
        <f t="shared" si="45"/>
        <v>Variant allowances detailed calculation</v>
      </c>
      <c r="BC546" s="34" t="str">
        <f t="shared" si="46"/>
        <v>Variant allowances allocation to totex categories</v>
      </c>
    </row>
    <row r="547" spans="4:55" x14ac:dyDescent="0.35">
      <c r="D547" s="1">
        <f t="shared" si="49"/>
        <v>2.5</v>
      </c>
      <c r="E547" s="193" t="str">
        <f t="shared" si="50"/>
        <v>Re-opener_Net zero re-opener / Decarbonisation and Environmental Policy Re-opener</v>
      </c>
      <c r="G547" s="33" t="str">
        <f t="shared" si="44"/>
        <v>£m 23/24 prices</v>
      </c>
      <c r="H547" s="33" t="s">
        <v>170</v>
      </c>
      <c r="AU547" s="166">
        <f t="shared" si="56"/>
        <v>0</v>
      </c>
      <c r="AV547" s="38">
        <f t="shared" si="56"/>
        <v>0</v>
      </c>
      <c r="AW547" s="38">
        <f t="shared" si="56"/>
        <v>0</v>
      </c>
      <c r="AX547" s="38">
        <f t="shared" si="56"/>
        <v>0</v>
      </c>
      <c r="AY547" s="215">
        <f t="shared" si="56"/>
        <v>0</v>
      </c>
      <c r="BA547" s="34" t="str">
        <f t="shared" ca="1" si="48"/>
        <v>VariantAllowances</v>
      </c>
      <c r="BB547" s="34" t="str">
        <f t="shared" si="45"/>
        <v>Variant allowances detailed calculation</v>
      </c>
      <c r="BC547" s="34" t="str">
        <f t="shared" si="46"/>
        <v>Variant allowances allocation to totex categories</v>
      </c>
    </row>
    <row r="548" spans="4:55" x14ac:dyDescent="0.35">
      <c r="D548" s="1">
        <f t="shared" si="49"/>
        <v>2.5</v>
      </c>
      <c r="E548" s="193" t="str">
        <f t="shared" si="50"/>
        <v>Re-opener_Net zero re-opener / Decarbonisation and Environmental Policy Re-opener</v>
      </c>
      <c r="G548" s="33" t="str">
        <f t="shared" ref="G548:G611" si="57">price_label</f>
        <v>£m 23/24 prices</v>
      </c>
      <c r="H548" s="33" t="s">
        <v>171</v>
      </c>
      <c r="AU548" s="166">
        <f t="shared" si="56"/>
        <v>0</v>
      </c>
      <c r="AV548" s="38">
        <f t="shared" si="56"/>
        <v>0</v>
      </c>
      <c r="AW548" s="38">
        <f t="shared" si="56"/>
        <v>0</v>
      </c>
      <c r="AX548" s="38">
        <f t="shared" si="56"/>
        <v>0</v>
      </c>
      <c r="AY548" s="215">
        <f t="shared" si="56"/>
        <v>0</v>
      </c>
      <c r="BA548" s="34" t="str">
        <f t="shared" ca="1" si="48"/>
        <v>VariantAllowances</v>
      </c>
      <c r="BB548" s="34" t="str">
        <f t="shared" ref="BB548:BB611" si="58">$A$363</f>
        <v>Variant allowances detailed calculation</v>
      </c>
      <c r="BC548" s="34" t="str">
        <f t="shared" ref="BC548:BC611" si="59">$B$364</f>
        <v>Variant allowances allocation to totex categories</v>
      </c>
    </row>
    <row r="549" spans="4:55" x14ac:dyDescent="0.35">
      <c r="D549" s="1">
        <f t="shared" si="49"/>
        <v>2.5</v>
      </c>
      <c r="E549" s="195" t="str">
        <f t="shared" si="50"/>
        <v>Re-opener_Net zero re-opener / Decarbonisation and Environmental Policy Re-opener</v>
      </c>
      <c r="F549" s="207"/>
      <c r="G549" s="196" t="str">
        <f t="shared" si="57"/>
        <v>£m 23/24 prices</v>
      </c>
      <c r="H549" s="196" t="s">
        <v>172</v>
      </c>
      <c r="I549" s="196"/>
      <c r="J549" s="196"/>
      <c r="K549" s="196"/>
      <c r="L549" s="196"/>
      <c r="M549" s="196"/>
      <c r="N549" s="196"/>
      <c r="O549" s="196"/>
      <c r="P549" s="196"/>
      <c r="Q549" s="196"/>
      <c r="R549" s="196"/>
      <c r="S549" s="196"/>
      <c r="T549" s="196"/>
      <c r="U549" s="196"/>
      <c r="V549" s="196"/>
      <c r="W549" s="196"/>
      <c r="X549" s="196"/>
      <c r="Y549" s="196"/>
      <c r="Z549" s="196"/>
      <c r="AA549" s="196"/>
      <c r="AB549" s="196"/>
      <c r="AC549" s="196"/>
      <c r="AD549" s="196"/>
      <c r="AE549" s="196"/>
      <c r="AF549" s="196"/>
      <c r="AG549" s="196"/>
      <c r="AH549" s="196"/>
      <c r="AI549" s="196"/>
      <c r="AJ549" s="196"/>
      <c r="AK549" s="196"/>
      <c r="AL549" s="196"/>
      <c r="AM549" s="196"/>
      <c r="AN549" s="196"/>
      <c r="AO549" s="196"/>
      <c r="AP549" s="196"/>
      <c r="AQ549" s="196"/>
      <c r="AR549" s="196"/>
      <c r="AS549" s="196"/>
      <c r="AT549" s="208"/>
      <c r="AU549" s="216">
        <f t="shared" si="56"/>
        <v>0</v>
      </c>
      <c r="AV549" s="217">
        <f t="shared" si="56"/>
        <v>0</v>
      </c>
      <c r="AW549" s="217">
        <f t="shared" si="56"/>
        <v>0</v>
      </c>
      <c r="AX549" s="217">
        <f t="shared" si="56"/>
        <v>0</v>
      </c>
      <c r="AY549" s="218">
        <f t="shared" si="56"/>
        <v>0</v>
      </c>
      <c r="BA549" s="34" t="str">
        <f t="shared" ref="BA549:BA612" ca="1" si="60">$A$1</f>
        <v>VariantAllowances</v>
      </c>
      <c r="BB549" s="34" t="str">
        <f t="shared" si="58"/>
        <v>Variant allowances detailed calculation</v>
      </c>
      <c r="BC549" s="34" t="str">
        <f t="shared" si="59"/>
        <v>Variant allowances allocation to totex categories</v>
      </c>
    </row>
    <row r="550" spans="4:55" x14ac:dyDescent="0.35">
      <c r="D550" s="1">
        <f t="shared" si="49"/>
        <v>2.5</v>
      </c>
      <c r="E550" s="187" t="str">
        <f t="shared" si="50"/>
        <v>Re-opener_New Large Load Connections Re-opener</v>
      </c>
      <c r="F550" s="201"/>
      <c r="G550" s="188" t="str">
        <f t="shared" si="57"/>
        <v>£m 23/24 prices</v>
      </c>
      <c r="H550" s="188" t="s">
        <v>168</v>
      </c>
      <c r="I550" s="188"/>
      <c r="J550" s="188"/>
      <c r="K550" s="188"/>
      <c r="L550" s="188"/>
      <c r="M550" s="188"/>
      <c r="N550" s="188"/>
      <c r="O550" s="188"/>
      <c r="P550" s="188"/>
      <c r="Q550" s="188"/>
      <c r="R550" s="188"/>
      <c r="S550" s="188"/>
      <c r="T550" s="188"/>
      <c r="U550" s="188"/>
      <c r="V550" s="188"/>
      <c r="W550" s="188"/>
      <c r="X550" s="188"/>
      <c r="Y550" s="188"/>
      <c r="Z550" s="188"/>
      <c r="AA550" s="188"/>
      <c r="AB550" s="188"/>
      <c r="AC550" s="188"/>
      <c r="AD550" s="188"/>
      <c r="AE550" s="188"/>
      <c r="AF550" s="188"/>
      <c r="AG550" s="188"/>
      <c r="AH550" s="188"/>
      <c r="AI550" s="188"/>
      <c r="AJ550" s="188"/>
      <c r="AK550" s="188"/>
      <c r="AL550" s="188"/>
      <c r="AM550" s="188"/>
      <c r="AN550" s="188"/>
      <c r="AO550" s="188"/>
      <c r="AP550" s="188"/>
      <c r="AQ550" s="188"/>
      <c r="AR550" s="188"/>
      <c r="AS550" s="188"/>
      <c r="AT550" s="202"/>
      <c r="AU550" s="212">
        <f t="shared" si="56"/>
        <v>0</v>
      </c>
      <c r="AV550" s="213">
        <f t="shared" si="56"/>
        <v>0</v>
      </c>
      <c r="AW550" s="213">
        <f t="shared" si="56"/>
        <v>0</v>
      </c>
      <c r="AX550" s="213">
        <f t="shared" si="56"/>
        <v>0</v>
      </c>
      <c r="AY550" s="214">
        <f t="shared" si="56"/>
        <v>0</v>
      </c>
      <c r="BA550" s="34" t="str">
        <f t="shared" ca="1" si="60"/>
        <v>VariantAllowances</v>
      </c>
      <c r="BB550" s="34" t="str">
        <f t="shared" si="58"/>
        <v>Variant allowances detailed calculation</v>
      </c>
      <c r="BC550" s="34" t="str">
        <f t="shared" si="59"/>
        <v>Variant allowances allocation to totex categories</v>
      </c>
    </row>
    <row r="551" spans="4:55" x14ac:dyDescent="0.35">
      <c r="D551" s="1">
        <f t="shared" si="49"/>
        <v>2.5</v>
      </c>
      <c r="E551" s="193" t="str">
        <f t="shared" si="50"/>
        <v>Re-opener_New Large Load Connections Re-opener</v>
      </c>
      <c r="G551" s="33" t="str">
        <f t="shared" si="57"/>
        <v>£m 23/24 prices</v>
      </c>
      <c r="H551" s="33" t="s">
        <v>169</v>
      </c>
      <c r="AU551" s="166">
        <f t="shared" si="56"/>
        <v>0</v>
      </c>
      <c r="AV551" s="38">
        <f t="shared" si="56"/>
        <v>0</v>
      </c>
      <c r="AW551" s="38">
        <f t="shared" si="56"/>
        <v>0</v>
      </c>
      <c r="AX551" s="38">
        <f t="shared" si="56"/>
        <v>0</v>
      </c>
      <c r="AY551" s="215">
        <f t="shared" si="56"/>
        <v>0</v>
      </c>
      <c r="BA551" s="34" t="str">
        <f t="shared" ca="1" si="60"/>
        <v>VariantAllowances</v>
      </c>
      <c r="BB551" s="34" t="str">
        <f t="shared" si="58"/>
        <v>Variant allowances detailed calculation</v>
      </c>
      <c r="BC551" s="34" t="str">
        <f t="shared" si="59"/>
        <v>Variant allowances allocation to totex categories</v>
      </c>
    </row>
    <row r="552" spans="4:55" x14ac:dyDescent="0.35">
      <c r="D552" s="1">
        <f t="shared" si="49"/>
        <v>2.5</v>
      </c>
      <c r="E552" s="193" t="str">
        <f t="shared" si="50"/>
        <v>Re-opener_New Large Load Connections Re-opener</v>
      </c>
      <c r="G552" s="33" t="str">
        <f t="shared" si="57"/>
        <v>£m 23/24 prices</v>
      </c>
      <c r="H552" s="33" t="s">
        <v>170</v>
      </c>
      <c r="AU552" s="166">
        <f t="shared" si="56"/>
        <v>0</v>
      </c>
      <c r="AV552" s="38">
        <f t="shared" si="56"/>
        <v>0</v>
      </c>
      <c r="AW552" s="38">
        <f t="shared" si="56"/>
        <v>0</v>
      </c>
      <c r="AX552" s="38">
        <f t="shared" si="56"/>
        <v>0</v>
      </c>
      <c r="AY552" s="215">
        <f t="shared" si="56"/>
        <v>0</v>
      </c>
      <c r="BA552" s="34" t="str">
        <f t="shared" ca="1" si="60"/>
        <v>VariantAllowances</v>
      </c>
      <c r="BB552" s="34" t="str">
        <f t="shared" si="58"/>
        <v>Variant allowances detailed calculation</v>
      </c>
      <c r="BC552" s="34" t="str">
        <f t="shared" si="59"/>
        <v>Variant allowances allocation to totex categories</v>
      </c>
    </row>
    <row r="553" spans="4:55" x14ac:dyDescent="0.35">
      <c r="D553" s="1">
        <f t="shared" si="49"/>
        <v>2.5</v>
      </c>
      <c r="E553" s="193" t="str">
        <f t="shared" si="50"/>
        <v>Re-opener_New Large Load Connections Re-opener</v>
      </c>
      <c r="G553" s="33" t="str">
        <f t="shared" si="57"/>
        <v>£m 23/24 prices</v>
      </c>
      <c r="H553" s="33" t="s">
        <v>171</v>
      </c>
      <c r="AU553" s="166">
        <f t="shared" si="56"/>
        <v>0</v>
      </c>
      <c r="AV553" s="38">
        <f t="shared" si="56"/>
        <v>0</v>
      </c>
      <c r="AW553" s="38">
        <f t="shared" si="56"/>
        <v>0</v>
      </c>
      <c r="AX553" s="38">
        <f t="shared" si="56"/>
        <v>0</v>
      </c>
      <c r="AY553" s="215">
        <f t="shared" si="56"/>
        <v>0</v>
      </c>
      <c r="BA553" s="34" t="str">
        <f t="shared" ca="1" si="60"/>
        <v>VariantAllowances</v>
      </c>
      <c r="BB553" s="34" t="str">
        <f t="shared" si="58"/>
        <v>Variant allowances detailed calculation</v>
      </c>
      <c r="BC553" s="34" t="str">
        <f t="shared" si="59"/>
        <v>Variant allowances allocation to totex categories</v>
      </c>
    </row>
    <row r="554" spans="4:55" x14ac:dyDescent="0.35">
      <c r="D554" s="1">
        <f t="shared" si="49"/>
        <v>2.5</v>
      </c>
      <c r="E554" s="195" t="str">
        <f t="shared" si="50"/>
        <v>Re-opener_New Large Load Connections Re-opener</v>
      </c>
      <c r="F554" s="207"/>
      <c r="G554" s="196" t="str">
        <f t="shared" si="57"/>
        <v>£m 23/24 prices</v>
      </c>
      <c r="H554" s="196" t="s">
        <v>172</v>
      </c>
      <c r="I554" s="196"/>
      <c r="J554" s="196"/>
      <c r="K554" s="196"/>
      <c r="L554" s="196"/>
      <c r="M554" s="196"/>
      <c r="N554" s="196"/>
      <c r="O554" s="196"/>
      <c r="P554" s="196"/>
      <c r="Q554" s="196"/>
      <c r="R554" s="196"/>
      <c r="S554" s="196"/>
      <c r="T554" s="196"/>
      <c r="U554" s="196"/>
      <c r="V554" s="196"/>
      <c r="W554" s="196"/>
      <c r="X554" s="196"/>
      <c r="Y554" s="196"/>
      <c r="Z554" s="196"/>
      <c r="AA554" s="196"/>
      <c r="AB554" s="196"/>
      <c r="AC554" s="196"/>
      <c r="AD554" s="196"/>
      <c r="AE554" s="196"/>
      <c r="AF554" s="196"/>
      <c r="AG554" s="196"/>
      <c r="AH554" s="196"/>
      <c r="AI554" s="196"/>
      <c r="AJ554" s="196"/>
      <c r="AK554" s="196"/>
      <c r="AL554" s="196"/>
      <c r="AM554" s="196"/>
      <c r="AN554" s="196"/>
      <c r="AO554" s="196"/>
      <c r="AP554" s="196"/>
      <c r="AQ554" s="196"/>
      <c r="AR554" s="196"/>
      <c r="AS554" s="196"/>
      <c r="AT554" s="208"/>
      <c r="AU554" s="216">
        <f t="shared" si="56"/>
        <v>0</v>
      </c>
      <c r="AV554" s="217">
        <f t="shared" si="56"/>
        <v>0</v>
      </c>
      <c r="AW554" s="217">
        <f t="shared" si="56"/>
        <v>0</v>
      </c>
      <c r="AX554" s="217">
        <f t="shared" si="56"/>
        <v>0</v>
      </c>
      <c r="AY554" s="218">
        <f t="shared" si="56"/>
        <v>0</v>
      </c>
      <c r="BA554" s="34" t="str">
        <f t="shared" ca="1" si="60"/>
        <v>VariantAllowances</v>
      </c>
      <c r="BB554" s="34" t="str">
        <f t="shared" si="58"/>
        <v>Variant allowances detailed calculation</v>
      </c>
      <c r="BC554" s="34" t="str">
        <f t="shared" si="59"/>
        <v>Variant allowances allocation to totex categories</v>
      </c>
    </row>
    <row r="555" spans="4:55" x14ac:dyDescent="0.35">
      <c r="D555" s="1">
        <f t="shared" si="49"/>
        <v>2.5</v>
      </c>
      <c r="E555" s="187" t="str">
        <f t="shared" si="50"/>
        <v>Re-opener_Resilience re-opener / Resilience Activity Re-opener</v>
      </c>
      <c r="F555" s="201"/>
      <c r="G555" s="188" t="str">
        <f t="shared" si="57"/>
        <v>£m 23/24 prices</v>
      </c>
      <c r="H555" s="188" t="s">
        <v>168</v>
      </c>
      <c r="I555" s="188"/>
      <c r="J555" s="188"/>
      <c r="K555" s="188"/>
      <c r="L555" s="188"/>
      <c r="M555" s="188"/>
      <c r="N555" s="188"/>
      <c r="O555" s="188"/>
      <c r="P555" s="188"/>
      <c r="Q555" s="188"/>
      <c r="R555" s="188"/>
      <c r="S555" s="188"/>
      <c r="T555" s="188"/>
      <c r="U555" s="188"/>
      <c r="V555" s="188"/>
      <c r="W555" s="188"/>
      <c r="X555" s="188"/>
      <c r="Y555" s="188"/>
      <c r="Z555" s="188"/>
      <c r="AA555" s="188"/>
      <c r="AB555" s="188"/>
      <c r="AC555" s="188"/>
      <c r="AD555" s="188"/>
      <c r="AE555" s="188"/>
      <c r="AF555" s="188"/>
      <c r="AG555" s="188"/>
      <c r="AH555" s="188"/>
      <c r="AI555" s="188"/>
      <c r="AJ555" s="188"/>
      <c r="AK555" s="188"/>
      <c r="AL555" s="188"/>
      <c r="AM555" s="188"/>
      <c r="AN555" s="188"/>
      <c r="AO555" s="188"/>
      <c r="AP555" s="188"/>
      <c r="AQ555" s="188"/>
      <c r="AR555" s="188"/>
      <c r="AS555" s="188"/>
      <c r="AT555" s="202"/>
      <c r="AU555" s="212">
        <f t="shared" ref="AU555:AY564" si="61">INDEX(AU$8:AU$57,MATCH($E555,$E$8:$E$57,0))*AU302</f>
        <v>0</v>
      </c>
      <c r="AV555" s="213">
        <f t="shared" si="61"/>
        <v>0</v>
      </c>
      <c r="AW555" s="213">
        <f t="shared" si="61"/>
        <v>0</v>
      </c>
      <c r="AX555" s="213">
        <f t="shared" si="61"/>
        <v>0</v>
      </c>
      <c r="AY555" s="214">
        <f t="shared" si="61"/>
        <v>0</v>
      </c>
      <c r="BA555" s="34" t="str">
        <f t="shared" ca="1" si="60"/>
        <v>VariantAllowances</v>
      </c>
      <c r="BB555" s="34" t="str">
        <f t="shared" si="58"/>
        <v>Variant allowances detailed calculation</v>
      </c>
      <c r="BC555" s="34" t="str">
        <f t="shared" si="59"/>
        <v>Variant allowances allocation to totex categories</v>
      </c>
    </row>
    <row r="556" spans="4:55" x14ac:dyDescent="0.35">
      <c r="D556" s="1">
        <f t="shared" si="49"/>
        <v>2.5</v>
      </c>
      <c r="E556" s="193" t="str">
        <f t="shared" si="50"/>
        <v>Re-opener_Resilience re-opener / Resilience Activity Re-opener</v>
      </c>
      <c r="G556" s="33" t="str">
        <f t="shared" si="57"/>
        <v>£m 23/24 prices</v>
      </c>
      <c r="H556" s="33" t="s">
        <v>169</v>
      </c>
      <c r="AU556" s="166">
        <f t="shared" si="61"/>
        <v>0</v>
      </c>
      <c r="AV556" s="38">
        <f t="shared" si="61"/>
        <v>0</v>
      </c>
      <c r="AW556" s="38">
        <f t="shared" si="61"/>
        <v>0</v>
      </c>
      <c r="AX556" s="38">
        <f t="shared" si="61"/>
        <v>0</v>
      </c>
      <c r="AY556" s="215">
        <f t="shared" si="61"/>
        <v>0</v>
      </c>
      <c r="BA556" s="34" t="str">
        <f t="shared" ca="1" si="60"/>
        <v>VariantAllowances</v>
      </c>
      <c r="BB556" s="34" t="str">
        <f t="shared" si="58"/>
        <v>Variant allowances detailed calculation</v>
      </c>
      <c r="BC556" s="34" t="str">
        <f t="shared" si="59"/>
        <v>Variant allowances allocation to totex categories</v>
      </c>
    </row>
    <row r="557" spans="4:55" x14ac:dyDescent="0.35">
      <c r="D557" s="1">
        <f t="shared" ref="D557:D614" si="62">INDEX($AY$60:$AY$109,MATCH(E557,$E$60:$E$109,0))</f>
        <v>2.5</v>
      </c>
      <c r="E557" s="193" t="str">
        <f t="shared" ref="E557:E614" si="63">E304</f>
        <v>Re-opener_Resilience re-opener / Resilience Activity Re-opener</v>
      </c>
      <c r="G557" s="33" t="str">
        <f t="shared" si="57"/>
        <v>£m 23/24 prices</v>
      </c>
      <c r="H557" s="33" t="s">
        <v>170</v>
      </c>
      <c r="AU557" s="166">
        <f t="shared" si="61"/>
        <v>0</v>
      </c>
      <c r="AV557" s="38">
        <f t="shared" si="61"/>
        <v>0</v>
      </c>
      <c r="AW557" s="38">
        <f t="shared" si="61"/>
        <v>0</v>
      </c>
      <c r="AX557" s="38">
        <f t="shared" si="61"/>
        <v>0</v>
      </c>
      <c r="AY557" s="215">
        <f t="shared" si="61"/>
        <v>0</v>
      </c>
      <c r="BA557" s="34" t="str">
        <f t="shared" ca="1" si="60"/>
        <v>VariantAllowances</v>
      </c>
      <c r="BB557" s="34" t="str">
        <f t="shared" si="58"/>
        <v>Variant allowances detailed calculation</v>
      </c>
      <c r="BC557" s="34" t="str">
        <f t="shared" si="59"/>
        <v>Variant allowances allocation to totex categories</v>
      </c>
    </row>
    <row r="558" spans="4:55" x14ac:dyDescent="0.35">
      <c r="D558" s="1">
        <f t="shared" si="62"/>
        <v>2.5</v>
      </c>
      <c r="E558" s="193" t="str">
        <f t="shared" si="63"/>
        <v>Re-opener_Resilience re-opener / Resilience Activity Re-opener</v>
      </c>
      <c r="G558" s="33" t="str">
        <f t="shared" si="57"/>
        <v>£m 23/24 prices</v>
      </c>
      <c r="H558" s="33" t="s">
        <v>171</v>
      </c>
      <c r="AU558" s="166">
        <f t="shared" si="61"/>
        <v>0</v>
      </c>
      <c r="AV558" s="38">
        <f t="shared" si="61"/>
        <v>0</v>
      </c>
      <c r="AW558" s="38">
        <f t="shared" si="61"/>
        <v>0</v>
      </c>
      <c r="AX558" s="38">
        <f t="shared" si="61"/>
        <v>0</v>
      </c>
      <c r="AY558" s="215">
        <f t="shared" si="61"/>
        <v>0</v>
      </c>
      <c r="BA558" s="34" t="str">
        <f t="shared" ca="1" si="60"/>
        <v>VariantAllowances</v>
      </c>
      <c r="BB558" s="34" t="str">
        <f t="shared" si="58"/>
        <v>Variant allowances detailed calculation</v>
      </c>
      <c r="BC558" s="34" t="str">
        <f t="shared" si="59"/>
        <v>Variant allowances allocation to totex categories</v>
      </c>
    </row>
    <row r="559" spans="4:55" x14ac:dyDescent="0.35">
      <c r="D559" s="1">
        <f t="shared" si="62"/>
        <v>2.5</v>
      </c>
      <c r="E559" s="195" t="str">
        <f t="shared" si="63"/>
        <v>Re-opener_Resilience re-opener / Resilience Activity Re-opener</v>
      </c>
      <c r="F559" s="207"/>
      <c r="G559" s="196" t="str">
        <f t="shared" si="57"/>
        <v>£m 23/24 prices</v>
      </c>
      <c r="H559" s="196" t="s">
        <v>172</v>
      </c>
      <c r="I559" s="196"/>
      <c r="J559" s="196"/>
      <c r="K559" s="196"/>
      <c r="L559" s="196"/>
      <c r="M559" s="196"/>
      <c r="N559" s="196"/>
      <c r="O559" s="196"/>
      <c r="P559" s="196"/>
      <c r="Q559" s="196"/>
      <c r="R559" s="196"/>
      <c r="S559" s="196"/>
      <c r="T559" s="196"/>
      <c r="U559" s="196"/>
      <c r="V559" s="196"/>
      <c r="W559" s="196"/>
      <c r="X559" s="196"/>
      <c r="Y559" s="196"/>
      <c r="Z559" s="196"/>
      <c r="AA559" s="196"/>
      <c r="AB559" s="196"/>
      <c r="AC559" s="196"/>
      <c r="AD559" s="196"/>
      <c r="AE559" s="196"/>
      <c r="AF559" s="196"/>
      <c r="AG559" s="196"/>
      <c r="AH559" s="196"/>
      <c r="AI559" s="196"/>
      <c r="AJ559" s="196"/>
      <c r="AK559" s="196"/>
      <c r="AL559" s="196"/>
      <c r="AM559" s="196"/>
      <c r="AN559" s="196"/>
      <c r="AO559" s="196"/>
      <c r="AP559" s="196"/>
      <c r="AQ559" s="196"/>
      <c r="AR559" s="196"/>
      <c r="AS559" s="196"/>
      <c r="AT559" s="208"/>
      <c r="AU559" s="216">
        <f t="shared" si="61"/>
        <v>0</v>
      </c>
      <c r="AV559" s="217">
        <f t="shared" si="61"/>
        <v>0</v>
      </c>
      <c r="AW559" s="217">
        <f t="shared" si="61"/>
        <v>0</v>
      </c>
      <c r="AX559" s="217">
        <f t="shared" si="61"/>
        <v>0</v>
      </c>
      <c r="AY559" s="218">
        <f t="shared" si="61"/>
        <v>0</v>
      </c>
      <c r="BA559" s="34" t="str">
        <f t="shared" ca="1" si="60"/>
        <v>VariantAllowances</v>
      </c>
      <c r="BB559" s="34" t="str">
        <f t="shared" si="58"/>
        <v>Variant allowances detailed calculation</v>
      </c>
      <c r="BC559" s="34" t="str">
        <f t="shared" si="59"/>
        <v>Variant allowances allocation to totex categories</v>
      </c>
    </row>
    <row r="560" spans="4:55" x14ac:dyDescent="0.35">
      <c r="D560" s="1">
        <f t="shared" si="62"/>
        <v>2.5</v>
      </c>
      <c r="E560" s="187" t="str">
        <f t="shared" si="63"/>
        <v>Re-opener_Specified Streetworks Costs Re-opener</v>
      </c>
      <c r="F560" s="201"/>
      <c r="G560" s="188" t="str">
        <f t="shared" si="57"/>
        <v>£m 23/24 prices</v>
      </c>
      <c r="H560" s="188" t="s">
        <v>168</v>
      </c>
      <c r="I560" s="188"/>
      <c r="J560" s="188"/>
      <c r="K560" s="188"/>
      <c r="L560" s="188"/>
      <c r="M560" s="188"/>
      <c r="N560" s="188"/>
      <c r="O560" s="188"/>
      <c r="P560" s="188"/>
      <c r="Q560" s="188"/>
      <c r="R560" s="188"/>
      <c r="S560" s="188"/>
      <c r="T560" s="188"/>
      <c r="U560" s="188"/>
      <c r="V560" s="188"/>
      <c r="W560" s="188"/>
      <c r="X560" s="188"/>
      <c r="Y560" s="188"/>
      <c r="Z560" s="188"/>
      <c r="AA560" s="188"/>
      <c r="AB560" s="188"/>
      <c r="AC560" s="188"/>
      <c r="AD560" s="188"/>
      <c r="AE560" s="188"/>
      <c r="AF560" s="188"/>
      <c r="AG560" s="188"/>
      <c r="AH560" s="188"/>
      <c r="AI560" s="188"/>
      <c r="AJ560" s="188"/>
      <c r="AK560" s="188"/>
      <c r="AL560" s="188"/>
      <c r="AM560" s="188"/>
      <c r="AN560" s="188"/>
      <c r="AO560" s="188"/>
      <c r="AP560" s="188"/>
      <c r="AQ560" s="188"/>
      <c r="AR560" s="188"/>
      <c r="AS560" s="188"/>
      <c r="AT560" s="202"/>
      <c r="AU560" s="212">
        <f t="shared" si="61"/>
        <v>0</v>
      </c>
      <c r="AV560" s="213">
        <f t="shared" si="61"/>
        <v>0</v>
      </c>
      <c r="AW560" s="213">
        <f t="shared" si="61"/>
        <v>0</v>
      </c>
      <c r="AX560" s="213">
        <f t="shared" si="61"/>
        <v>0</v>
      </c>
      <c r="AY560" s="214">
        <f t="shared" si="61"/>
        <v>0</v>
      </c>
      <c r="BA560" s="34" t="str">
        <f t="shared" ca="1" si="60"/>
        <v>VariantAllowances</v>
      </c>
      <c r="BB560" s="34" t="str">
        <f t="shared" si="58"/>
        <v>Variant allowances detailed calculation</v>
      </c>
      <c r="BC560" s="34" t="str">
        <f t="shared" si="59"/>
        <v>Variant allowances allocation to totex categories</v>
      </c>
    </row>
    <row r="561" spans="4:55" x14ac:dyDescent="0.35">
      <c r="D561" s="1">
        <f t="shared" si="62"/>
        <v>2.5</v>
      </c>
      <c r="E561" s="193" t="str">
        <f t="shared" si="63"/>
        <v>Re-opener_Specified Streetworks Costs Re-opener</v>
      </c>
      <c r="G561" s="33" t="str">
        <f t="shared" si="57"/>
        <v>£m 23/24 prices</v>
      </c>
      <c r="H561" s="33" t="s">
        <v>169</v>
      </c>
      <c r="AU561" s="166">
        <f t="shared" si="61"/>
        <v>0</v>
      </c>
      <c r="AV561" s="38">
        <f t="shared" si="61"/>
        <v>0</v>
      </c>
      <c r="AW561" s="38">
        <f t="shared" si="61"/>
        <v>0</v>
      </c>
      <c r="AX561" s="38">
        <f t="shared" si="61"/>
        <v>0</v>
      </c>
      <c r="AY561" s="215">
        <f t="shared" si="61"/>
        <v>0</v>
      </c>
      <c r="BA561" s="34" t="str">
        <f t="shared" ca="1" si="60"/>
        <v>VariantAllowances</v>
      </c>
      <c r="BB561" s="34" t="str">
        <f t="shared" si="58"/>
        <v>Variant allowances detailed calculation</v>
      </c>
      <c r="BC561" s="34" t="str">
        <f t="shared" si="59"/>
        <v>Variant allowances allocation to totex categories</v>
      </c>
    </row>
    <row r="562" spans="4:55" x14ac:dyDescent="0.35">
      <c r="D562" s="1">
        <f t="shared" si="62"/>
        <v>2.5</v>
      </c>
      <c r="E562" s="193" t="str">
        <f t="shared" si="63"/>
        <v>Re-opener_Specified Streetworks Costs Re-opener</v>
      </c>
      <c r="G562" s="33" t="str">
        <f t="shared" si="57"/>
        <v>£m 23/24 prices</v>
      </c>
      <c r="H562" s="33" t="s">
        <v>170</v>
      </c>
      <c r="AU562" s="166">
        <f t="shared" si="61"/>
        <v>0</v>
      </c>
      <c r="AV562" s="38">
        <f t="shared" si="61"/>
        <v>0</v>
      </c>
      <c r="AW562" s="38">
        <f t="shared" si="61"/>
        <v>0</v>
      </c>
      <c r="AX562" s="38">
        <f t="shared" si="61"/>
        <v>0</v>
      </c>
      <c r="AY562" s="215">
        <f t="shared" si="61"/>
        <v>0</v>
      </c>
      <c r="BA562" s="34" t="str">
        <f t="shared" ca="1" si="60"/>
        <v>VariantAllowances</v>
      </c>
      <c r="BB562" s="34" t="str">
        <f t="shared" si="58"/>
        <v>Variant allowances detailed calculation</v>
      </c>
      <c r="BC562" s="34" t="str">
        <f t="shared" si="59"/>
        <v>Variant allowances allocation to totex categories</v>
      </c>
    </row>
    <row r="563" spans="4:55" x14ac:dyDescent="0.35">
      <c r="D563" s="1">
        <f t="shared" si="62"/>
        <v>2.5</v>
      </c>
      <c r="E563" s="193" t="str">
        <f t="shared" si="63"/>
        <v>Re-opener_Specified Streetworks Costs Re-opener</v>
      </c>
      <c r="G563" s="33" t="str">
        <f t="shared" si="57"/>
        <v>£m 23/24 prices</v>
      </c>
      <c r="H563" s="33" t="s">
        <v>171</v>
      </c>
      <c r="AU563" s="166">
        <f t="shared" si="61"/>
        <v>0</v>
      </c>
      <c r="AV563" s="38">
        <f t="shared" si="61"/>
        <v>0</v>
      </c>
      <c r="AW563" s="38">
        <f t="shared" si="61"/>
        <v>0</v>
      </c>
      <c r="AX563" s="38">
        <f t="shared" si="61"/>
        <v>0</v>
      </c>
      <c r="AY563" s="215">
        <f t="shared" si="61"/>
        <v>0</v>
      </c>
      <c r="BA563" s="34" t="str">
        <f t="shared" ca="1" si="60"/>
        <v>VariantAllowances</v>
      </c>
      <c r="BB563" s="34" t="str">
        <f t="shared" si="58"/>
        <v>Variant allowances detailed calculation</v>
      </c>
      <c r="BC563" s="34" t="str">
        <f t="shared" si="59"/>
        <v>Variant allowances allocation to totex categories</v>
      </c>
    </row>
    <row r="564" spans="4:55" x14ac:dyDescent="0.35">
      <c r="D564" s="1">
        <f t="shared" si="62"/>
        <v>2.5</v>
      </c>
      <c r="E564" s="195" t="str">
        <f t="shared" si="63"/>
        <v>Re-opener_Specified Streetworks Costs Re-opener</v>
      </c>
      <c r="F564" s="207"/>
      <c r="G564" s="196" t="str">
        <f t="shared" si="57"/>
        <v>£m 23/24 prices</v>
      </c>
      <c r="H564" s="196" t="s">
        <v>172</v>
      </c>
      <c r="I564" s="196"/>
      <c r="J564" s="196"/>
      <c r="K564" s="196"/>
      <c r="L564" s="196"/>
      <c r="M564" s="196"/>
      <c r="N564" s="196"/>
      <c r="O564" s="196"/>
      <c r="P564" s="196"/>
      <c r="Q564" s="196"/>
      <c r="R564" s="196"/>
      <c r="S564" s="196"/>
      <c r="T564" s="196"/>
      <c r="U564" s="196"/>
      <c r="V564" s="196"/>
      <c r="W564" s="196"/>
      <c r="X564" s="196"/>
      <c r="Y564" s="196"/>
      <c r="Z564" s="196"/>
      <c r="AA564" s="196"/>
      <c r="AB564" s="196"/>
      <c r="AC564" s="196"/>
      <c r="AD564" s="196"/>
      <c r="AE564" s="196"/>
      <c r="AF564" s="196"/>
      <c r="AG564" s="196"/>
      <c r="AH564" s="196"/>
      <c r="AI564" s="196"/>
      <c r="AJ564" s="196"/>
      <c r="AK564" s="196"/>
      <c r="AL564" s="196"/>
      <c r="AM564" s="196"/>
      <c r="AN564" s="196"/>
      <c r="AO564" s="196"/>
      <c r="AP564" s="196"/>
      <c r="AQ564" s="196"/>
      <c r="AR564" s="196"/>
      <c r="AS564" s="196"/>
      <c r="AT564" s="208"/>
      <c r="AU564" s="216">
        <f t="shared" si="61"/>
        <v>0</v>
      </c>
      <c r="AV564" s="217">
        <f t="shared" si="61"/>
        <v>0</v>
      </c>
      <c r="AW564" s="217">
        <f t="shared" si="61"/>
        <v>0</v>
      </c>
      <c r="AX564" s="217">
        <f t="shared" si="61"/>
        <v>0</v>
      </c>
      <c r="AY564" s="218">
        <f t="shared" si="61"/>
        <v>0</v>
      </c>
      <c r="BA564" s="34" t="str">
        <f t="shared" ca="1" si="60"/>
        <v>VariantAllowances</v>
      </c>
      <c r="BB564" s="34" t="str">
        <f t="shared" si="58"/>
        <v>Variant allowances detailed calculation</v>
      </c>
      <c r="BC564" s="34" t="str">
        <f t="shared" si="59"/>
        <v>Variant allowances allocation to totex categories</v>
      </c>
    </row>
    <row r="565" spans="4:55" x14ac:dyDescent="0.35">
      <c r="D565" s="1">
        <f t="shared" si="62"/>
        <v>2.5</v>
      </c>
      <c r="E565" s="187" t="str">
        <f t="shared" si="63"/>
        <v>Re-opener_Physical Security Re-opener</v>
      </c>
      <c r="F565" s="201"/>
      <c r="G565" s="188" t="str">
        <f t="shared" si="57"/>
        <v>£m 23/24 prices</v>
      </c>
      <c r="H565" s="188" t="s">
        <v>168</v>
      </c>
      <c r="I565" s="188"/>
      <c r="J565" s="188"/>
      <c r="K565" s="188"/>
      <c r="L565" s="188"/>
      <c r="M565" s="188"/>
      <c r="N565" s="188"/>
      <c r="O565" s="188"/>
      <c r="P565" s="188"/>
      <c r="Q565" s="188"/>
      <c r="R565" s="188"/>
      <c r="S565" s="188"/>
      <c r="T565" s="188"/>
      <c r="U565" s="188"/>
      <c r="V565" s="188"/>
      <c r="W565" s="188"/>
      <c r="X565" s="188"/>
      <c r="Y565" s="188"/>
      <c r="Z565" s="188"/>
      <c r="AA565" s="188"/>
      <c r="AB565" s="188"/>
      <c r="AC565" s="188"/>
      <c r="AD565" s="188"/>
      <c r="AE565" s="188"/>
      <c r="AF565" s="188"/>
      <c r="AG565" s="188"/>
      <c r="AH565" s="188"/>
      <c r="AI565" s="188"/>
      <c r="AJ565" s="188"/>
      <c r="AK565" s="188"/>
      <c r="AL565" s="188"/>
      <c r="AM565" s="188"/>
      <c r="AN565" s="188"/>
      <c r="AO565" s="188"/>
      <c r="AP565" s="188"/>
      <c r="AQ565" s="188"/>
      <c r="AR565" s="188"/>
      <c r="AS565" s="188"/>
      <c r="AT565" s="202"/>
      <c r="AU565" s="212">
        <f t="shared" ref="AU565:AY574" si="64">INDEX(AU$8:AU$57,MATCH($E565,$E$8:$E$57,0))*AU312</f>
        <v>0</v>
      </c>
      <c r="AV565" s="213">
        <f t="shared" si="64"/>
        <v>0</v>
      </c>
      <c r="AW565" s="213">
        <f t="shared" si="64"/>
        <v>0</v>
      </c>
      <c r="AX565" s="213">
        <f t="shared" si="64"/>
        <v>0</v>
      </c>
      <c r="AY565" s="214">
        <f t="shared" si="64"/>
        <v>0</v>
      </c>
      <c r="BA565" s="34" t="str">
        <f t="shared" ca="1" si="60"/>
        <v>VariantAllowances</v>
      </c>
      <c r="BB565" s="34" t="str">
        <f t="shared" si="58"/>
        <v>Variant allowances detailed calculation</v>
      </c>
      <c r="BC565" s="34" t="str">
        <f t="shared" si="59"/>
        <v>Variant allowances allocation to totex categories</v>
      </c>
    </row>
    <row r="566" spans="4:55" x14ac:dyDescent="0.35">
      <c r="D566" s="1">
        <f t="shared" si="62"/>
        <v>2.5</v>
      </c>
      <c r="E566" s="193" t="str">
        <f t="shared" si="63"/>
        <v>Re-opener_Physical Security Re-opener</v>
      </c>
      <c r="G566" s="33" t="str">
        <f t="shared" si="57"/>
        <v>£m 23/24 prices</v>
      </c>
      <c r="H566" s="33" t="s">
        <v>169</v>
      </c>
      <c r="AU566" s="166">
        <f t="shared" si="64"/>
        <v>0</v>
      </c>
      <c r="AV566" s="38">
        <f t="shared" si="64"/>
        <v>0</v>
      </c>
      <c r="AW566" s="38">
        <f t="shared" si="64"/>
        <v>0</v>
      </c>
      <c r="AX566" s="38">
        <f t="shared" si="64"/>
        <v>0</v>
      </c>
      <c r="AY566" s="215">
        <f t="shared" si="64"/>
        <v>0</v>
      </c>
      <c r="BA566" s="34" t="str">
        <f t="shared" ca="1" si="60"/>
        <v>VariantAllowances</v>
      </c>
      <c r="BB566" s="34" t="str">
        <f t="shared" si="58"/>
        <v>Variant allowances detailed calculation</v>
      </c>
      <c r="BC566" s="34" t="str">
        <f t="shared" si="59"/>
        <v>Variant allowances allocation to totex categories</v>
      </c>
    </row>
    <row r="567" spans="4:55" x14ac:dyDescent="0.35">
      <c r="D567" s="1">
        <f t="shared" si="62"/>
        <v>2.5</v>
      </c>
      <c r="E567" s="193" t="str">
        <f t="shared" si="63"/>
        <v>Re-opener_Physical Security Re-opener</v>
      </c>
      <c r="G567" s="33" t="str">
        <f t="shared" si="57"/>
        <v>£m 23/24 prices</v>
      </c>
      <c r="H567" s="33" t="s">
        <v>170</v>
      </c>
      <c r="AU567" s="166">
        <f t="shared" si="64"/>
        <v>0</v>
      </c>
      <c r="AV567" s="38">
        <f t="shared" si="64"/>
        <v>0</v>
      </c>
      <c r="AW567" s="38">
        <f t="shared" si="64"/>
        <v>0</v>
      </c>
      <c r="AX567" s="38">
        <f t="shared" si="64"/>
        <v>0</v>
      </c>
      <c r="AY567" s="215">
        <f t="shared" si="64"/>
        <v>0</v>
      </c>
      <c r="BA567" s="34" t="str">
        <f t="shared" ca="1" si="60"/>
        <v>VariantAllowances</v>
      </c>
      <c r="BB567" s="34" t="str">
        <f t="shared" si="58"/>
        <v>Variant allowances detailed calculation</v>
      </c>
      <c r="BC567" s="34" t="str">
        <f t="shared" si="59"/>
        <v>Variant allowances allocation to totex categories</v>
      </c>
    </row>
    <row r="568" spans="4:55" x14ac:dyDescent="0.35">
      <c r="D568" s="1">
        <f t="shared" si="62"/>
        <v>2.5</v>
      </c>
      <c r="E568" s="193" t="str">
        <f t="shared" si="63"/>
        <v>Re-opener_Physical Security Re-opener</v>
      </c>
      <c r="G568" s="33" t="str">
        <f t="shared" si="57"/>
        <v>£m 23/24 prices</v>
      </c>
      <c r="H568" s="33" t="s">
        <v>171</v>
      </c>
      <c r="AU568" s="166">
        <f t="shared" si="64"/>
        <v>0</v>
      </c>
      <c r="AV568" s="38">
        <f t="shared" si="64"/>
        <v>0</v>
      </c>
      <c r="AW568" s="38">
        <f t="shared" si="64"/>
        <v>0</v>
      </c>
      <c r="AX568" s="38">
        <f t="shared" si="64"/>
        <v>0</v>
      </c>
      <c r="AY568" s="215">
        <f t="shared" si="64"/>
        <v>0</v>
      </c>
      <c r="BA568" s="34" t="str">
        <f t="shared" ca="1" si="60"/>
        <v>VariantAllowances</v>
      </c>
      <c r="BB568" s="34" t="str">
        <f t="shared" si="58"/>
        <v>Variant allowances detailed calculation</v>
      </c>
      <c r="BC568" s="34" t="str">
        <f t="shared" si="59"/>
        <v>Variant allowances allocation to totex categories</v>
      </c>
    </row>
    <row r="569" spans="4:55" x14ac:dyDescent="0.35">
      <c r="D569" s="1">
        <f t="shared" si="62"/>
        <v>2.5</v>
      </c>
      <c r="E569" s="195" t="str">
        <f t="shared" si="63"/>
        <v>Re-opener_Physical Security Re-opener</v>
      </c>
      <c r="F569" s="207"/>
      <c r="G569" s="196" t="str">
        <f t="shared" si="57"/>
        <v>£m 23/24 prices</v>
      </c>
      <c r="H569" s="196" t="s">
        <v>172</v>
      </c>
      <c r="I569" s="196"/>
      <c r="J569" s="196"/>
      <c r="K569" s="196"/>
      <c r="L569" s="196"/>
      <c r="M569" s="196"/>
      <c r="N569" s="196"/>
      <c r="O569" s="196"/>
      <c r="P569" s="196"/>
      <c r="Q569" s="196"/>
      <c r="R569" s="196"/>
      <c r="S569" s="196"/>
      <c r="T569" s="196"/>
      <c r="U569" s="196"/>
      <c r="V569" s="196"/>
      <c r="W569" s="196"/>
      <c r="X569" s="196"/>
      <c r="Y569" s="196"/>
      <c r="Z569" s="196"/>
      <c r="AA569" s="196"/>
      <c r="AB569" s="196"/>
      <c r="AC569" s="196"/>
      <c r="AD569" s="196"/>
      <c r="AE569" s="196"/>
      <c r="AF569" s="196"/>
      <c r="AG569" s="196"/>
      <c r="AH569" s="196"/>
      <c r="AI569" s="196"/>
      <c r="AJ569" s="196"/>
      <c r="AK569" s="196"/>
      <c r="AL569" s="196"/>
      <c r="AM569" s="196"/>
      <c r="AN569" s="196"/>
      <c r="AO569" s="196"/>
      <c r="AP569" s="196"/>
      <c r="AQ569" s="196"/>
      <c r="AR569" s="196"/>
      <c r="AS569" s="196"/>
      <c r="AT569" s="208"/>
      <c r="AU569" s="216">
        <f t="shared" si="64"/>
        <v>0</v>
      </c>
      <c r="AV569" s="217">
        <f t="shared" si="64"/>
        <v>0</v>
      </c>
      <c r="AW569" s="217">
        <f t="shared" si="64"/>
        <v>0</v>
      </c>
      <c r="AX569" s="217">
        <f t="shared" si="64"/>
        <v>0</v>
      </c>
      <c r="AY569" s="218">
        <f t="shared" si="64"/>
        <v>0</v>
      </c>
      <c r="BA569" s="34" t="str">
        <f t="shared" ca="1" si="60"/>
        <v>VariantAllowances</v>
      </c>
      <c r="BB569" s="34" t="str">
        <f t="shared" si="58"/>
        <v>Variant allowances detailed calculation</v>
      </c>
      <c r="BC569" s="34" t="str">
        <f t="shared" si="59"/>
        <v>Variant allowances allocation to totex categories</v>
      </c>
    </row>
    <row r="570" spans="4:55" x14ac:dyDescent="0.35">
      <c r="D570" s="1">
        <f t="shared" si="62"/>
        <v>2.5</v>
      </c>
      <c r="E570" s="187" t="str">
        <f t="shared" si="63"/>
        <v>Re-opener_East Coast Hydrogen NZASP Re-Opener (EoE and NGN) / GD2/GD3 Crossover Adjustment</v>
      </c>
      <c r="F570" s="201"/>
      <c r="G570" s="188" t="str">
        <f t="shared" si="57"/>
        <v>£m 23/24 prices</v>
      </c>
      <c r="H570" s="188" t="s">
        <v>168</v>
      </c>
      <c r="I570" s="188"/>
      <c r="J570" s="188"/>
      <c r="K570" s="188"/>
      <c r="L570" s="188"/>
      <c r="M570" s="188"/>
      <c r="N570" s="188"/>
      <c r="O570" s="188"/>
      <c r="P570" s="188"/>
      <c r="Q570" s="188"/>
      <c r="R570" s="188"/>
      <c r="S570" s="188"/>
      <c r="T570" s="188"/>
      <c r="U570" s="188"/>
      <c r="V570" s="188"/>
      <c r="W570" s="188"/>
      <c r="X570" s="188"/>
      <c r="Y570" s="188"/>
      <c r="Z570" s="188"/>
      <c r="AA570" s="188"/>
      <c r="AB570" s="188"/>
      <c r="AC570" s="188"/>
      <c r="AD570" s="188"/>
      <c r="AE570" s="188"/>
      <c r="AF570" s="188"/>
      <c r="AG570" s="188"/>
      <c r="AH570" s="188"/>
      <c r="AI570" s="188"/>
      <c r="AJ570" s="188"/>
      <c r="AK570" s="188"/>
      <c r="AL570" s="188"/>
      <c r="AM570" s="188"/>
      <c r="AN570" s="188"/>
      <c r="AO570" s="188"/>
      <c r="AP570" s="188"/>
      <c r="AQ570" s="188"/>
      <c r="AR570" s="188"/>
      <c r="AS570" s="188"/>
      <c r="AT570" s="202"/>
      <c r="AU570" s="212">
        <f t="shared" si="64"/>
        <v>0</v>
      </c>
      <c r="AV570" s="213">
        <f t="shared" si="64"/>
        <v>0</v>
      </c>
      <c r="AW570" s="213">
        <f t="shared" si="64"/>
        <v>0</v>
      </c>
      <c r="AX570" s="213">
        <f t="shared" si="64"/>
        <v>0</v>
      </c>
      <c r="AY570" s="214">
        <f t="shared" si="64"/>
        <v>0</v>
      </c>
      <c r="BA570" s="34" t="str">
        <f t="shared" ca="1" si="60"/>
        <v>VariantAllowances</v>
      </c>
      <c r="BB570" s="34" t="str">
        <f t="shared" si="58"/>
        <v>Variant allowances detailed calculation</v>
      </c>
      <c r="BC570" s="34" t="str">
        <f t="shared" si="59"/>
        <v>Variant allowances allocation to totex categories</v>
      </c>
    </row>
    <row r="571" spans="4:55" x14ac:dyDescent="0.35">
      <c r="D571" s="1">
        <f t="shared" si="62"/>
        <v>2.5</v>
      </c>
      <c r="E571" s="193" t="str">
        <f t="shared" si="63"/>
        <v>Re-opener_East Coast Hydrogen NZASP Re-Opener (EoE and NGN) / GD2/GD3 Crossover Adjustment</v>
      </c>
      <c r="G571" s="33" t="str">
        <f t="shared" si="57"/>
        <v>£m 23/24 prices</v>
      </c>
      <c r="H571" s="33" t="s">
        <v>169</v>
      </c>
      <c r="AU571" s="166">
        <f t="shared" si="64"/>
        <v>0</v>
      </c>
      <c r="AV571" s="38">
        <f t="shared" si="64"/>
        <v>0</v>
      </c>
      <c r="AW571" s="38">
        <f t="shared" si="64"/>
        <v>0</v>
      </c>
      <c r="AX571" s="38">
        <f t="shared" si="64"/>
        <v>0</v>
      </c>
      <c r="AY571" s="215">
        <f t="shared" si="64"/>
        <v>0</v>
      </c>
      <c r="BA571" s="34" t="str">
        <f t="shared" ca="1" si="60"/>
        <v>VariantAllowances</v>
      </c>
      <c r="BB571" s="34" t="str">
        <f t="shared" si="58"/>
        <v>Variant allowances detailed calculation</v>
      </c>
      <c r="BC571" s="34" t="str">
        <f t="shared" si="59"/>
        <v>Variant allowances allocation to totex categories</v>
      </c>
    </row>
    <row r="572" spans="4:55" x14ac:dyDescent="0.35">
      <c r="D572" s="1">
        <f t="shared" si="62"/>
        <v>2.5</v>
      </c>
      <c r="E572" s="193" t="str">
        <f t="shared" si="63"/>
        <v>Re-opener_East Coast Hydrogen NZASP Re-Opener (EoE and NGN) / GD2/GD3 Crossover Adjustment</v>
      </c>
      <c r="G572" s="33" t="str">
        <f t="shared" si="57"/>
        <v>£m 23/24 prices</v>
      </c>
      <c r="H572" s="33" t="s">
        <v>170</v>
      </c>
      <c r="AU572" s="166">
        <f t="shared" si="64"/>
        <v>0</v>
      </c>
      <c r="AV572" s="38">
        <f t="shared" si="64"/>
        <v>0</v>
      </c>
      <c r="AW572" s="38">
        <f t="shared" si="64"/>
        <v>0</v>
      </c>
      <c r="AX572" s="38">
        <f t="shared" si="64"/>
        <v>0</v>
      </c>
      <c r="AY572" s="215">
        <f t="shared" si="64"/>
        <v>0</v>
      </c>
      <c r="BA572" s="34" t="str">
        <f t="shared" ca="1" si="60"/>
        <v>VariantAllowances</v>
      </c>
      <c r="BB572" s="34" t="str">
        <f t="shared" si="58"/>
        <v>Variant allowances detailed calculation</v>
      </c>
      <c r="BC572" s="34" t="str">
        <f t="shared" si="59"/>
        <v>Variant allowances allocation to totex categories</v>
      </c>
    </row>
    <row r="573" spans="4:55" x14ac:dyDescent="0.35">
      <c r="D573" s="1">
        <f t="shared" si="62"/>
        <v>2.5</v>
      </c>
      <c r="E573" s="193" t="str">
        <f t="shared" si="63"/>
        <v>Re-opener_East Coast Hydrogen NZASP Re-Opener (EoE and NGN) / GD2/GD3 Crossover Adjustment</v>
      </c>
      <c r="G573" s="33" t="str">
        <f t="shared" si="57"/>
        <v>£m 23/24 prices</v>
      </c>
      <c r="H573" s="33" t="s">
        <v>171</v>
      </c>
      <c r="AU573" s="166">
        <f t="shared" si="64"/>
        <v>0</v>
      </c>
      <c r="AV573" s="38">
        <f t="shared" si="64"/>
        <v>0</v>
      </c>
      <c r="AW573" s="38">
        <f t="shared" si="64"/>
        <v>0</v>
      </c>
      <c r="AX573" s="38">
        <f t="shared" si="64"/>
        <v>0</v>
      </c>
      <c r="AY573" s="215">
        <f t="shared" si="64"/>
        <v>0</v>
      </c>
      <c r="BA573" s="34" t="str">
        <f t="shared" ca="1" si="60"/>
        <v>VariantAllowances</v>
      </c>
      <c r="BB573" s="34" t="str">
        <f t="shared" si="58"/>
        <v>Variant allowances detailed calculation</v>
      </c>
      <c r="BC573" s="34" t="str">
        <f t="shared" si="59"/>
        <v>Variant allowances allocation to totex categories</v>
      </c>
    </row>
    <row r="574" spans="4:55" x14ac:dyDescent="0.35">
      <c r="D574" s="1">
        <f t="shared" si="62"/>
        <v>2.5</v>
      </c>
      <c r="E574" s="195" t="str">
        <f t="shared" si="63"/>
        <v>Re-opener_East Coast Hydrogen NZASP Re-Opener (EoE and NGN) / GD2/GD3 Crossover Adjustment</v>
      </c>
      <c r="F574" s="207"/>
      <c r="G574" s="196" t="str">
        <f t="shared" si="57"/>
        <v>£m 23/24 prices</v>
      </c>
      <c r="H574" s="196" t="s">
        <v>172</v>
      </c>
      <c r="I574" s="196"/>
      <c r="J574" s="196"/>
      <c r="K574" s="196"/>
      <c r="L574" s="196"/>
      <c r="M574" s="196"/>
      <c r="N574" s="196"/>
      <c r="O574" s="196"/>
      <c r="P574" s="196"/>
      <c r="Q574" s="196"/>
      <c r="R574" s="196"/>
      <c r="S574" s="196"/>
      <c r="T574" s="196"/>
      <c r="U574" s="196"/>
      <c r="V574" s="196"/>
      <c r="W574" s="196"/>
      <c r="X574" s="196"/>
      <c r="Y574" s="196"/>
      <c r="Z574" s="196"/>
      <c r="AA574" s="196"/>
      <c r="AB574" s="196"/>
      <c r="AC574" s="196"/>
      <c r="AD574" s="196"/>
      <c r="AE574" s="196"/>
      <c r="AF574" s="196"/>
      <c r="AG574" s="196"/>
      <c r="AH574" s="196"/>
      <c r="AI574" s="196"/>
      <c r="AJ574" s="196"/>
      <c r="AK574" s="196"/>
      <c r="AL574" s="196"/>
      <c r="AM574" s="196"/>
      <c r="AN574" s="196"/>
      <c r="AO574" s="196"/>
      <c r="AP574" s="196"/>
      <c r="AQ574" s="196"/>
      <c r="AR574" s="196"/>
      <c r="AS574" s="196"/>
      <c r="AT574" s="208"/>
      <c r="AU574" s="216">
        <f t="shared" si="64"/>
        <v>0</v>
      </c>
      <c r="AV574" s="217">
        <f t="shared" si="64"/>
        <v>0</v>
      </c>
      <c r="AW574" s="217">
        <f t="shared" si="64"/>
        <v>0</v>
      </c>
      <c r="AX574" s="217">
        <f t="shared" si="64"/>
        <v>0</v>
      </c>
      <c r="AY574" s="218">
        <f t="shared" si="64"/>
        <v>0</v>
      </c>
      <c r="BA574" s="34" t="str">
        <f t="shared" ca="1" si="60"/>
        <v>VariantAllowances</v>
      </c>
      <c r="BB574" s="34" t="str">
        <f t="shared" si="58"/>
        <v>Variant allowances detailed calculation</v>
      </c>
      <c r="BC574" s="34" t="str">
        <f t="shared" si="59"/>
        <v>Variant allowances allocation to totex categories</v>
      </c>
    </row>
    <row r="575" spans="4:55" x14ac:dyDescent="0.35">
      <c r="D575" s="1">
        <f t="shared" si="62"/>
        <v>2.5</v>
      </c>
      <c r="E575" s="187" t="str">
        <f t="shared" si="63"/>
        <v>Re-opener_Complex Distributions Systems Re-opener</v>
      </c>
      <c r="F575" s="201"/>
      <c r="G575" s="188" t="str">
        <f t="shared" si="57"/>
        <v>£m 23/24 prices</v>
      </c>
      <c r="H575" s="188" t="s">
        <v>168</v>
      </c>
      <c r="I575" s="188"/>
      <c r="J575" s="188"/>
      <c r="K575" s="188"/>
      <c r="L575" s="188"/>
      <c r="M575" s="188"/>
      <c r="N575" s="188"/>
      <c r="O575" s="188"/>
      <c r="P575" s="188"/>
      <c r="Q575" s="188"/>
      <c r="R575" s="188"/>
      <c r="S575" s="188"/>
      <c r="T575" s="188"/>
      <c r="U575" s="188"/>
      <c r="V575" s="188"/>
      <c r="W575" s="188"/>
      <c r="X575" s="188"/>
      <c r="Y575" s="188"/>
      <c r="Z575" s="188"/>
      <c r="AA575" s="188"/>
      <c r="AB575" s="188"/>
      <c r="AC575" s="188"/>
      <c r="AD575" s="188"/>
      <c r="AE575" s="188"/>
      <c r="AF575" s="188"/>
      <c r="AG575" s="188"/>
      <c r="AH575" s="188"/>
      <c r="AI575" s="188"/>
      <c r="AJ575" s="188"/>
      <c r="AK575" s="188"/>
      <c r="AL575" s="188"/>
      <c r="AM575" s="188"/>
      <c r="AN575" s="188"/>
      <c r="AO575" s="188"/>
      <c r="AP575" s="188"/>
      <c r="AQ575" s="188"/>
      <c r="AR575" s="188"/>
      <c r="AS575" s="188"/>
      <c r="AT575" s="202"/>
      <c r="AU575" s="212">
        <f t="shared" ref="AU575:AY584" si="65">INDEX(AU$8:AU$57,MATCH($E575,$E$8:$E$57,0))*AU322</f>
        <v>0</v>
      </c>
      <c r="AV575" s="213">
        <f t="shared" si="65"/>
        <v>0</v>
      </c>
      <c r="AW575" s="213">
        <f t="shared" si="65"/>
        <v>0</v>
      </c>
      <c r="AX575" s="213">
        <f t="shared" si="65"/>
        <v>0</v>
      </c>
      <c r="AY575" s="214">
        <f t="shared" si="65"/>
        <v>0</v>
      </c>
      <c r="BA575" s="34" t="str">
        <f t="shared" ca="1" si="60"/>
        <v>VariantAllowances</v>
      </c>
      <c r="BB575" s="34" t="str">
        <f t="shared" si="58"/>
        <v>Variant allowances detailed calculation</v>
      </c>
      <c r="BC575" s="34" t="str">
        <f t="shared" si="59"/>
        <v>Variant allowances allocation to totex categories</v>
      </c>
    </row>
    <row r="576" spans="4:55" x14ac:dyDescent="0.35">
      <c r="D576" s="1">
        <f t="shared" si="62"/>
        <v>2.5</v>
      </c>
      <c r="E576" s="193" t="str">
        <f t="shared" si="63"/>
        <v>Re-opener_Complex Distributions Systems Re-opener</v>
      </c>
      <c r="G576" s="33" t="str">
        <f t="shared" si="57"/>
        <v>£m 23/24 prices</v>
      </c>
      <c r="H576" s="33" t="s">
        <v>169</v>
      </c>
      <c r="AU576" s="166">
        <f t="shared" si="65"/>
        <v>0</v>
      </c>
      <c r="AV576" s="38">
        <f t="shared" si="65"/>
        <v>0</v>
      </c>
      <c r="AW576" s="38">
        <f t="shared" si="65"/>
        <v>0</v>
      </c>
      <c r="AX576" s="38">
        <f t="shared" si="65"/>
        <v>0</v>
      </c>
      <c r="AY576" s="215">
        <f t="shared" si="65"/>
        <v>0</v>
      </c>
      <c r="BA576" s="34" t="str">
        <f t="shared" ca="1" si="60"/>
        <v>VariantAllowances</v>
      </c>
      <c r="BB576" s="34" t="str">
        <f t="shared" si="58"/>
        <v>Variant allowances detailed calculation</v>
      </c>
      <c r="BC576" s="34" t="str">
        <f t="shared" si="59"/>
        <v>Variant allowances allocation to totex categories</v>
      </c>
    </row>
    <row r="577" spans="4:55" x14ac:dyDescent="0.35">
      <c r="D577" s="1">
        <f t="shared" si="62"/>
        <v>2.5</v>
      </c>
      <c r="E577" s="193" t="str">
        <f t="shared" si="63"/>
        <v>Re-opener_Complex Distributions Systems Re-opener</v>
      </c>
      <c r="G577" s="33" t="str">
        <f t="shared" si="57"/>
        <v>£m 23/24 prices</v>
      </c>
      <c r="H577" s="33" t="s">
        <v>170</v>
      </c>
      <c r="AU577" s="166">
        <f t="shared" si="65"/>
        <v>0</v>
      </c>
      <c r="AV577" s="38">
        <f t="shared" si="65"/>
        <v>0</v>
      </c>
      <c r="AW577" s="38">
        <f t="shared" si="65"/>
        <v>0</v>
      </c>
      <c r="AX577" s="38">
        <f t="shared" si="65"/>
        <v>0</v>
      </c>
      <c r="AY577" s="215">
        <f t="shared" si="65"/>
        <v>0</v>
      </c>
      <c r="BA577" s="34" t="str">
        <f t="shared" ca="1" si="60"/>
        <v>VariantAllowances</v>
      </c>
      <c r="BB577" s="34" t="str">
        <f t="shared" si="58"/>
        <v>Variant allowances detailed calculation</v>
      </c>
      <c r="BC577" s="34" t="str">
        <f t="shared" si="59"/>
        <v>Variant allowances allocation to totex categories</v>
      </c>
    </row>
    <row r="578" spans="4:55" x14ac:dyDescent="0.35">
      <c r="D578" s="1">
        <f t="shared" si="62"/>
        <v>2.5</v>
      </c>
      <c r="E578" s="193" t="str">
        <f t="shared" si="63"/>
        <v>Re-opener_Complex Distributions Systems Re-opener</v>
      </c>
      <c r="G578" s="33" t="str">
        <f t="shared" si="57"/>
        <v>£m 23/24 prices</v>
      </c>
      <c r="H578" s="33" t="s">
        <v>171</v>
      </c>
      <c r="AU578" s="166">
        <f t="shared" si="65"/>
        <v>0</v>
      </c>
      <c r="AV578" s="38">
        <f t="shared" si="65"/>
        <v>0</v>
      </c>
      <c r="AW578" s="38">
        <f t="shared" si="65"/>
        <v>0</v>
      </c>
      <c r="AX578" s="38">
        <f t="shared" si="65"/>
        <v>0</v>
      </c>
      <c r="AY578" s="215">
        <f t="shared" si="65"/>
        <v>0</v>
      </c>
      <c r="BA578" s="34" t="str">
        <f t="shared" ca="1" si="60"/>
        <v>VariantAllowances</v>
      </c>
      <c r="BB578" s="34" t="str">
        <f t="shared" si="58"/>
        <v>Variant allowances detailed calculation</v>
      </c>
      <c r="BC578" s="34" t="str">
        <f t="shared" si="59"/>
        <v>Variant allowances allocation to totex categories</v>
      </c>
    </row>
    <row r="579" spans="4:55" x14ac:dyDescent="0.35">
      <c r="D579" s="1">
        <f t="shared" si="62"/>
        <v>2.5</v>
      </c>
      <c r="E579" s="195" t="str">
        <f t="shared" si="63"/>
        <v>Re-opener_Complex Distributions Systems Re-opener</v>
      </c>
      <c r="F579" s="207"/>
      <c r="G579" s="196" t="str">
        <f t="shared" si="57"/>
        <v>£m 23/24 prices</v>
      </c>
      <c r="H579" s="196" t="s">
        <v>172</v>
      </c>
      <c r="I579" s="196"/>
      <c r="J579" s="196"/>
      <c r="K579" s="196"/>
      <c r="L579" s="196"/>
      <c r="M579" s="196"/>
      <c r="N579" s="196"/>
      <c r="O579" s="196"/>
      <c r="P579" s="196"/>
      <c r="Q579" s="196"/>
      <c r="R579" s="196"/>
      <c r="S579" s="196"/>
      <c r="T579" s="196"/>
      <c r="U579" s="196"/>
      <c r="V579" s="196"/>
      <c r="W579" s="196"/>
      <c r="X579" s="196"/>
      <c r="Y579" s="196"/>
      <c r="Z579" s="196"/>
      <c r="AA579" s="196"/>
      <c r="AB579" s="196"/>
      <c r="AC579" s="196"/>
      <c r="AD579" s="196"/>
      <c r="AE579" s="196"/>
      <c r="AF579" s="196"/>
      <c r="AG579" s="196"/>
      <c r="AH579" s="196"/>
      <c r="AI579" s="196"/>
      <c r="AJ579" s="196"/>
      <c r="AK579" s="196"/>
      <c r="AL579" s="196"/>
      <c r="AM579" s="196"/>
      <c r="AN579" s="196"/>
      <c r="AO579" s="196"/>
      <c r="AP579" s="196"/>
      <c r="AQ579" s="196"/>
      <c r="AR579" s="196"/>
      <c r="AS579" s="196"/>
      <c r="AT579" s="208"/>
      <c r="AU579" s="216">
        <f t="shared" si="65"/>
        <v>0</v>
      </c>
      <c r="AV579" s="217">
        <f t="shared" si="65"/>
        <v>3.1877999999999997</v>
      </c>
      <c r="AW579" s="217">
        <f t="shared" si="65"/>
        <v>3.1877999999999997</v>
      </c>
      <c r="AX579" s="217">
        <f t="shared" si="65"/>
        <v>3.1877999999999997</v>
      </c>
      <c r="AY579" s="218">
        <f t="shared" si="65"/>
        <v>3.1877999999999997</v>
      </c>
      <c r="BA579" s="34" t="str">
        <f t="shared" ca="1" si="60"/>
        <v>VariantAllowances</v>
      </c>
      <c r="BB579" s="34" t="str">
        <f t="shared" si="58"/>
        <v>Variant allowances detailed calculation</v>
      </c>
      <c r="BC579" s="34" t="str">
        <f t="shared" si="59"/>
        <v>Variant allowances allocation to totex categories</v>
      </c>
    </row>
    <row r="580" spans="4:55" x14ac:dyDescent="0.35">
      <c r="D580" s="1">
        <f t="shared" si="62"/>
        <v>2.5</v>
      </c>
      <c r="E580" s="187" t="str">
        <f t="shared" si="63"/>
        <v>Re-opener_Mandated Category 3 Security Re-opener</v>
      </c>
      <c r="F580" s="201"/>
      <c r="G580" s="188" t="str">
        <f t="shared" si="57"/>
        <v>£m 23/24 prices</v>
      </c>
      <c r="H580" s="188" t="s">
        <v>168</v>
      </c>
      <c r="I580" s="188"/>
      <c r="J580" s="188"/>
      <c r="K580" s="188"/>
      <c r="L580" s="188"/>
      <c r="M580" s="188"/>
      <c r="N580" s="188"/>
      <c r="O580" s="188"/>
      <c r="P580" s="188"/>
      <c r="Q580" s="188"/>
      <c r="R580" s="188"/>
      <c r="S580" s="188"/>
      <c r="T580" s="188"/>
      <c r="U580" s="188"/>
      <c r="V580" s="188"/>
      <c r="W580" s="188"/>
      <c r="X580" s="188"/>
      <c r="Y580" s="188"/>
      <c r="Z580" s="188"/>
      <c r="AA580" s="188"/>
      <c r="AB580" s="188"/>
      <c r="AC580" s="188"/>
      <c r="AD580" s="188"/>
      <c r="AE580" s="188"/>
      <c r="AF580" s="188"/>
      <c r="AG580" s="188"/>
      <c r="AH580" s="188"/>
      <c r="AI580" s="188"/>
      <c r="AJ580" s="188"/>
      <c r="AK580" s="188"/>
      <c r="AL580" s="188"/>
      <c r="AM580" s="188"/>
      <c r="AN580" s="188"/>
      <c r="AO580" s="188"/>
      <c r="AP580" s="188"/>
      <c r="AQ580" s="188"/>
      <c r="AR580" s="188"/>
      <c r="AS580" s="188"/>
      <c r="AT580" s="202"/>
      <c r="AU580" s="212">
        <f t="shared" si="65"/>
        <v>0</v>
      </c>
      <c r="AV580" s="213">
        <f t="shared" si="65"/>
        <v>0</v>
      </c>
      <c r="AW580" s="213">
        <f t="shared" si="65"/>
        <v>0</v>
      </c>
      <c r="AX580" s="213">
        <f t="shared" si="65"/>
        <v>0</v>
      </c>
      <c r="AY580" s="214">
        <f t="shared" si="65"/>
        <v>0</v>
      </c>
      <c r="BA580" s="34" t="str">
        <f t="shared" ca="1" si="60"/>
        <v>VariantAllowances</v>
      </c>
      <c r="BB580" s="34" t="str">
        <f t="shared" si="58"/>
        <v>Variant allowances detailed calculation</v>
      </c>
      <c r="BC580" s="34" t="str">
        <f t="shared" si="59"/>
        <v>Variant allowances allocation to totex categories</v>
      </c>
    </row>
    <row r="581" spans="4:55" x14ac:dyDescent="0.35">
      <c r="D581" s="1">
        <f t="shared" si="62"/>
        <v>2.5</v>
      </c>
      <c r="E581" s="193" t="str">
        <f t="shared" si="63"/>
        <v>Re-opener_Mandated Category 3 Security Re-opener</v>
      </c>
      <c r="G581" s="33" t="str">
        <f t="shared" si="57"/>
        <v>£m 23/24 prices</v>
      </c>
      <c r="H581" s="33" t="s">
        <v>169</v>
      </c>
      <c r="AU581" s="166">
        <f t="shared" si="65"/>
        <v>0</v>
      </c>
      <c r="AV581" s="38">
        <f t="shared" si="65"/>
        <v>0</v>
      </c>
      <c r="AW581" s="38">
        <f t="shared" si="65"/>
        <v>0</v>
      </c>
      <c r="AX581" s="38">
        <f t="shared" si="65"/>
        <v>0</v>
      </c>
      <c r="AY581" s="215">
        <f t="shared" si="65"/>
        <v>0</v>
      </c>
      <c r="BA581" s="34" t="str">
        <f t="shared" ca="1" si="60"/>
        <v>VariantAllowances</v>
      </c>
      <c r="BB581" s="34" t="str">
        <f t="shared" si="58"/>
        <v>Variant allowances detailed calculation</v>
      </c>
      <c r="BC581" s="34" t="str">
        <f t="shared" si="59"/>
        <v>Variant allowances allocation to totex categories</v>
      </c>
    </row>
    <row r="582" spans="4:55" x14ac:dyDescent="0.35">
      <c r="D582" s="1">
        <f t="shared" si="62"/>
        <v>2.5</v>
      </c>
      <c r="E582" s="193" t="str">
        <f t="shared" si="63"/>
        <v>Re-opener_Mandated Category 3 Security Re-opener</v>
      </c>
      <c r="G582" s="33" t="str">
        <f t="shared" si="57"/>
        <v>£m 23/24 prices</v>
      </c>
      <c r="H582" s="33" t="s">
        <v>170</v>
      </c>
      <c r="AU582" s="166">
        <f t="shared" si="65"/>
        <v>0</v>
      </c>
      <c r="AV582" s="38">
        <f t="shared" si="65"/>
        <v>0</v>
      </c>
      <c r="AW582" s="38">
        <f t="shared" si="65"/>
        <v>0</v>
      </c>
      <c r="AX582" s="38">
        <f t="shared" si="65"/>
        <v>0</v>
      </c>
      <c r="AY582" s="215">
        <f t="shared" si="65"/>
        <v>0</v>
      </c>
      <c r="BA582" s="34" t="str">
        <f t="shared" ca="1" si="60"/>
        <v>VariantAllowances</v>
      </c>
      <c r="BB582" s="34" t="str">
        <f t="shared" si="58"/>
        <v>Variant allowances detailed calculation</v>
      </c>
      <c r="BC582" s="34" t="str">
        <f t="shared" si="59"/>
        <v>Variant allowances allocation to totex categories</v>
      </c>
    </row>
    <row r="583" spans="4:55" x14ac:dyDescent="0.35">
      <c r="D583" s="1">
        <f t="shared" si="62"/>
        <v>2.5</v>
      </c>
      <c r="E583" s="193" t="str">
        <f t="shared" si="63"/>
        <v>Re-opener_Mandated Category 3 Security Re-opener</v>
      </c>
      <c r="G583" s="33" t="str">
        <f t="shared" si="57"/>
        <v>£m 23/24 prices</v>
      </c>
      <c r="H583" s="33" t="s">
        <v>171</v>
      </c>
      <c r="AU583" s="166">
        <f t="shared" si="65"/>
        <v>0</v>
      </c>
      <c r="AV583" s="38">
        <f t="shared" si="65"/>
        <v>0</v>
      </c>
      <c r="AW583" s="38">
        <f t="shared" si="65"/>
        <v>0</v>
      </c>
      <c r="AX583" s="38">
        <f t="shared" si="65"/>
        <v>0</v>
      </c>
      <c r="AY583" s="215">
        <f t="shared" si="65"/>
        <v>0</v>
      </c>
      <c r="BA583" s="34" t="str">
        <f t="shared" ca="1" si="60"/>
        <v>VariantAllowances</v>
      </c>
      <c r="BB583" s="34" t="str">
        <f t="shared" si="58"/>
        <v>Variant allowances detailed calculation</v>
      </c>
      <c r="BC583" s="34" t="str">
        <f t="shared" si="59"/>
        <v>Variant allowances allocation to totex categories</v>
      </c>
    </row>
    <row r="584" spans="4:55" x14ac:dyDescent="0.35">
      <c r="D584" s="1">
        <f t="shared" si="62"/>
        <v>2.5</v>
      </c>
      <c r="E584" s="195" t="str">
        <f t="shared" si="63"/>
        <v>Re-opener_Mandated Category 3 Security Re-opener</v>
      </c>
      <c r="F584" s="207"/>
      <c r="G584" s="196" t="str">
        <f t="shared" si="57"/>
        <v>£m 23/24 prices</v>
      </c>
      <c r="H584" s="196" t="s">
        <v>172</v>
      </c>
      <c r="I584" s="196"/>
      <c r="J584" s="196"/>
      <c r="K584" s="196"/>
      <c r="L584" s="196"/>
      <c r="M584" s="196"/>
      <c r="N584" s="196"/>
      <c r="O584" s="196"/>
      <c r="P584" s="196"/>
      <c r="Q584" s="196"/>
      <c r="R584" s="196"/>
      <c r="S584" s="196"/>
      <c r="T584" s="196"/>
      <c r="U584" s="196"/>
      <c r="V584" s="196"/>
      <c r="W584" s="196"/>
      <c r="X584" s="196"/>
      <c r="Y584" s="196"/>
      <c r="Z584" s="196"/>
      <c r="AA584" s="196"/>
      <c r="AB584" s="196"/>
      <c r="AC584" s="196"/>
      <c r="AD584" s="196"/>
      <c r="AE584" s="196"/>
      <c r="AF584" s="196"/>
      <c r="AG584" s="196"/>
      <c r="AH584" s="196"/>
      <c r="AI584" s="196"/>
      <c r="AJ584" s="196"/>
      <c r="AK584" s="196"/>
      <c r="AL584" s="196"/>
      <c r="AM584" s="196"/>
      <c r="AN584" s="196"/>
      <c r="AO584" s="196"/>
      <c r="AP584" s="196"/>
      <c r="AQ584" s="196"/>
      <c r="AR584" s="196"/>
      <c r="AS584" s="196"/>
      <c r="AT584" s="208"/>
      <c r="AU584" s="216">
        <f t="shared" si="65"/>
        <v>0</v>
      </c>
      <c r="AV584" s="217">
        <f t="shared" si="65"/>
        <v>0</v>
      </c>
      <c r="AW584" s="217">
        <f t="shared" si="65"/>
        <v>0</v>
      </c>
      <c r="AX584" s="217">
        <f t="shared" si="65"/>
        <v>0</v>
      </c>
      <c r="AY584" s="218">
        <f t="shared" si="65"/>
        <v>0</v>
      </c>
      <c r="BA584" s="34" t="str">
        <f t="shared" ca="1" si="60"/>
        <v>VariantAllowances</v>
      </c>
      <c r="BB584" s="34" t="str">
        <f t="shared" si="58"/>
        <v>Variant allowances detailed calculation</v>
      </c>
      <c r="BC584" s="34" t="str">
        <f t="shared" si="59"/>
        <v>Variant allowances allocation to totex categories</v>
      </c>
    </row>
    <row r="585" spans="4:55" x14ac:dyDescent="0.35">
      <c r="D585" s="1">
        <f t="shared" si="62"/>
        <v>2.5</v>
      </c>
      <c r="E585" s="187" t="str">
        <f t="shared" si="63"/>
        <v>Re-opener_General Reinforcement</v>
      </c>
      <c r="F585" s="201"/>
      <c r="G585" s="188" t="str">
        <f t="shared" si="57"/>
        <v>£m 23/24 prices</v>
      </c>
      <c r="H585" s="188" t="s">
        <v>168</v>
      </c>
      <c r="I585" s="188"/>
      <c r="J585" s="188"/>
      <c r="K585" s="188"/>
      <c r="L585" s="188"/>
      <c r="M585" s="188"/>
      <c r="N585" s="188"/>
      <c r="O585" s="188"/>
      <c r="P585" s="188"/>
      <c r="Q585" s="188"/>
      <c r="R585" s="188"/>
      <c r="S585" s="188"/>
      <c r="T585" s="188"/>
      <c r="U585" s="188"/>
      <c r="V585" s="188"/>
      <c r="W585" s="188"/>
      <c r="X585" s="188"/>
      <c r="Y585" s="188"/>
      <c r="Z585" s="188"/>
      <c r="AA585" s="188"/>
      <c r="AB585" s="188"/>
      <c r="AC585" s="188"/>
      <c r="AD585" s="188"/>
      <c r="AE585" s="188"/>
      <c r="AF585" s="188"/>
      <c r="AG585" s="188"/>
      <c r="AH585" s="188"/>
      <c r="AI585" s="188"/>
      <c r="AJ585" s="188"/>
      <c r="AK585" s="188"/>
      <c r="AL585" s="188"/>
      <c r="AM585" s="188"/>
      <c r="AN585" s="188"/>
      <c r="AO585" s="188"/>
      <c r="AP585" s="188"/>
      <c r="AQ585" s="188"/>
      <c r="AR585" s="188"/>
      <c r="AS585" s="188"/>
      <c r="AT585" s="202"/>
      <c r="AU585" s="212">
        <f t="shared" ref="AU585:AY594" si="66">INDEX(AU$8:AU$57,MATCH($E585,$E$8:$E$57,0))*AU332</f>
        <v>0</v>
      </c>
      <c r="AV585" s="213">
        <f t="shared" si="66"/>
        <v>0</v>
      </c>
      <c r="AW585" s="213">
        <f t="shared" si="66"/>
        <v>0</v>
      </c>
      <c r="AX585" s="213">
        <f t="shared" si="66"/>
        <v>0</v>
      </c>
      <c r="AY585" s="214">
        <f t="shared" si="66"/>
        <v>0</v>
      </c>
      <c r="BA585" s="34" t="str">
        <f t="shared" ca="1" si="60"/>
        <v>VariantAllowances</v>
      </c>
      <c r="BB585" s="34" t="str">
        <f t="shared" si="58"/>
        <v>Variant allowances detailed calculation</v>
      </c>
      <c r="BC585" s="34" t="str">
        <f t="shared" si="59"/>
        <v>Variant allowances allocation to totex categories</v>
      </c>
    </row>
    <row r="586" spans="4:55" x14ac:dyDescent="0.35">
      <c r="D586" s="1">
        <f t="shared" si="62"/>
        <v>2.5</v>
      </c>
      <c r="E586" s="193" t="str">
        <f t="shared" si="63"/>
        <v>Re-opener_General Reinforcement</v>
      </c>
      <c r="G586" s="33" t="str">
        <f t="shared" si="57"/>
        <v>£m 23/24 prices</v>
      </c>
      <c r="H586" s="33" t="s">
        <v>169</v>
      </c>
      <c r="AU586" s="166">
        <f t="shared" si="66"/>
        <v>0</v>
      </c>
      <c r="AV586" s="38">
        <f t="shared" si="66"/>
        <v>0</v>
      </c>
      <c r="AW586" s="38">
        <f t="shared" si="66"/>
        <v>0</v>
      </c>
      <c r="AX586" s="38">
        <f t="shared" si="66"/>
        <v>0</v>
      </c>
      <c r="AY586" s="215">
        <f t="shared" si="66"/>
        <v>0</v>
      </c>
      <c r="BA586" s="34" t="str">
        <f t="shared" ca="1" si="60"/>
        <v>VariantAllowances</v>
      </c>
      <c r="BB586" s="34" t="str">
        <f t="shared" si="58"/>
        <v>Variant allowances detailed calculation</v>
      </c>
      <c r="BC586" s="34" t="str">
        <f t="shared" si="59"/>
        <v>Variant allowances allocation to totex categories</v>
      </c>
    </row>
    <row r="587" spans="4:55" x14ac:dyDescent="0.35">
      <c r="D587" s="1">
        <f t="shared" si="62"/>
        <v>2.5</v>
      </c>
      <c r="E587" s="193" t="str">
        <f t="shared" si="63"/>
        <v>Re-opener_General Reinforcement</v>
      </c>
      <c r="G587" s="33" t="str">
        <f t="shared" si="57"/>
        <v>£m 23/24 prices</v>
      </c>
      <c r="H587" s="33" t="s">
        <v>170</v>
      </c>
      <c r="AU587" s="166">
        <f t="shared" si="66"/>
        <v>0</v>
      </c>
      <c r="AV587" s="38">
        <f t="shared" si="66"/>
        <v>0</v>
      </c>
      <c r="AW587" s="38">
        <f t="shared" si="66"/>
        <v>0</v>
      </c>
      <c r="AX587" s="38">
        <f t="shared" si="66"/>
        <v>0</v>
      </c>
      <c r="AY587" s="215">
        <f t="shared" si="66"/>
        <v>0</v>
      </c>
      <c r="BA587" s="34" t="str">
        <f t="shared" ca="1" si="60"/>
        <v>VariantAllowances</v>
      </c>
      <c r="BB587" s="34" t="str">
        <f t="shared" si="58"/>
        <v>Variant allowances detailed calculation</v>
      </c>
      <c r="BC587" s="34" t="str">
        <f t="shared" si="59"/>
        <v>Variant allowances allocation to totex categories</v>
      </c>
    </row>
    <row r="588" spans="4:55" x14ac:dyDescent="0.35">
      <c r="D588" s="1">
        <f t="shared" si="62"/>
        <v>2.5</v>
      </c>
      <c r="E588" s="193" t="str">
        <f t="shared" si="63"/>
        <v>Re-opener_General Reinforcement</v>
      </c>
      <c r="G588" s="33" t="str">
        <f t="shared" si="57"/>
        <v>£m 23/24 prices</v>
      </c>
      <c r="H588" s="33" t="s">
        <v>171</v>
      </c>
      <c r="AU588" s="166">
        <f t="shared" si="66"/>
        <v>0</v>
      </c>
      <c r="AV588" s="38">
        <f t="shared" si="66"/>
        <v>0</v>
      </c>
      <c r="AW588" s="38">
        <f t="shared" si="66"/>
        <v>0</v>
      </c>
      <c r="AX588" s="38">
        <f t="shared" si="66"/>
        <v>0</v>
      </c>
      <c r="AY588" s="215">
        <f t="shared" si="66"/>
        <v>0</v>
      </c>
      <c r="BA588" s="34" t="str">
        <f t="shared" ca="1" si="60"/>
        <v>VariantAllowances</v>
      </c>
      <c r="BB588" s="34" t="str">
        <f t="shared" si="58"/>
        <v>Variant allowances detailed calculation</v>
      </c>
      <c r="BC588" s="34" t="str">
        <f t="shared" si="59"/>
        <v>Variant allowances allocation to totex categories</v>
      </c>
    </row>
    <row r="589" spans="4:55" x14ac:dyDescent="0.35">
      <c r="D589" s="1">
        <f t="shared" si="62"/>
        <v>2.5</v>
      </c>
      <c r="E589" s="195" t="str">
        <f t="shared" si="63"/>
        <v>Re-opener_General Reinforcement</v>
      </c>
      <c r="F589" s="207"/>
      <c r="G589" s="196" t="str">
        <f t="shared" si="57"/>
        <v>£m 23/24 prices</v>
      </c>
      <c r="H589" s="196" t="s">
        <v>172</v>
      </c>
      <c r="I589" s="196"/>
      <c r="J589" s="196"/>
      <c r="K589" s="196"/>
      <c r="L589" s="196"/>
      <c r="M589" s="196"/>
      <c r="N589" s="196"/>
      <c r="O589" s="196"/>
      <c r="P589" s="196"/>
      <c r="Q589" s="196"/>
      <c r="R589" s="196"/>
      <c r="S589" s="196"/>
      <c r="T589" s="196"/>
      <c r="U589" s="196"/>
      <c r="V589" s="196"/>
      <c r="W589" s="196"/>
      <c r="X589" s="196"/>
      <c r="Y589" s="196"/>
      <c r="Z589" s="196"/>
      <c r="AA589" s="196"/>
      <c r="AB589" s="196"/>
      <c r="AC589" s="196"/>
      <c r="AD589" s="196"/>
      <c r="AE589" s="196"/>
      <c r="AF589" s="196"/>
      <c r="AG589" s="196"/>
      <c r="AH589" s="196"/>
      <c r="AI589" s="196"/>
      <c r="AJ589" s="196"/>
      <c r="AK589" s="196"/>
      <c r="AL589" s="196"/>
      <c r="AM589" s="196"/>
      <c r="AN589" s="196"/>
      <c r="AO589" s="196"/>
      <c r="AP589" s="196"/>
      <c r="AQ589" s="196"/>
      <c r="AR589" s="196"/>
      <c r="AS589" s="196"/>
      <c r="AT589" s="208"/>
      <c r="AU589" s="216">
        <f t="shared" si="66"/>
        <v>0</v>
      </c>
      <c r="AV589" s="217">
        <f t="shared" si="66"/>
        <v>0</v>
      </c>
      <c r="AW589" s="217">
        <f t="shared" si="66"/>
        <v>0</v>
      </c>
      <c r="AX589" s="217">
        <f t="shared" si="66"/>
        <v>0</v>
      </c>
      <c r="AY589" s="218">
        <f t="shared" si="66"/>
        <v>0</v>
      </c>
      <c r="BA589" s="34" t="str">
        <f t="shared" ca="1" si="60"/>
        <v>VariantAllowances</v>
      </c>
      <c r="BB589" s="34" t="str">
        <f t="shared" si="58"/>
        <v>Variant allowances detailed calculation</v>
      </c>
      <c r="BC589" s="34" t="str">
        <f t="shared" si="59"/>
        <v>Variant allowances allocation to totex categories</v>
      </c>
    </row>
    <row r="590" spans="4:55" x14ac:dyDescent="0.35">
      <c r="D590" s="1">
        <f t="shared" si="62"/>
        <v>2.5</v>
      </c>
      <c r="E590" s="187" t="str">
        <f t="shared" si="63"/>
        <v>Spare 2</v>
      </c>
      <c r="F590" s="201"/>
      <c r="G590" s="188" t="str">
        <f t="shared" si="57"/>
        <v>£m 23/24 prices</v>
      </c>
      <c r="H590" s="188" t="s">
        <v>168</v>
      </c>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202"/>
      <c r="AU590" s="212">
        <f t="shared" si="66"/>
        <v>0</v>
      </c>
      <c r="AV590" s="213">
        <f t="shared" si="66"/>
        <v>0</v>
      </c>
      <c r="AW590" s="213">
        <f t="shared" si="66"/>
        <v>0</v>
      </c>
      <c r="AX590" s="213">
        <f t="shared" si="66"/>
        <v>0</v>
      </c>
      <c r="AY590" s="214">
        <f t="shared" si="66"/>
        <v>0</v>
      </c>
      <c r="BA590" s="34" t="str">
        <f t="shared" ca="1" si="60"/>
        <v>VariantAllowances</v>
      </c>
      <c r="BB590" s="34" t="str">
        <f t="shared" si="58"/>
        <v>Variant allowances detailed calculation</v>
      </c>
      <c r="BC590" s="34" t="str">
        <f t="shared" si="59"/>
        <v>Variant allowances allocation to totex categories</v>
      </c>
    </row>
    <row r="591" spans="4:55" x14ac:dyDescent="0.35">
      <c r="D591" s="1">
        <f t="shared" si="62"/>
        <v>2.5</v>
      </c>
      <c r="E591" s="193" t="str">
        <f t="shared" si="63"/>
        <v>Spare 2</v>
      </c>
      <c r="G591" s="33" t="str">
        <f t="shared" si="57"/>
        <v>£m 23/24 prices</v>
      </c>
      <c r="H591" s="33" t="s">
        <v>169</v>
      </c>
      <c r="AU591" s="166">
        <f t="shared" si="66"/>
        <v>0</v>
      </c>
      <c r="AV591" s="38">
        <f t="shared" si="66"/>
        <v>0</v>
      </c>
      <c r="AW591" s="38">
        <f t="shared" si="66"/>
        <v>0</v>
      </c>
      <c r="AX591" s="38">
        <f t="shared" si="66"/>
        <v>0</v>
      </c>
      <c r="AY591" s="215">
        <f t="shared" si="66"/>
        <v>0</v>
      </c>
      <c r="BA591" s="34" t="str">
        <f t="shared" ca="1" si="60"/>
        <v>VariantAllowances</v>
      </c>
      <c r="BB591" s="34" t="str">
        <f t="shared" si="58"/>
        <v>Variant allowances detailed calculation</v>
      </c>
      <c r="BC591" s="34" t="str">
        <f t="shared" si="59"/>
        <v>Variant allowances allocation to totex categories</v>
      </c>
    </row>
    <row r="592" spans="4:55" x14ac:dyDescent="0.35">
      <c r="D592" s="1">
        <f t="shared" si="62"/>
        <v>2.5</v>
      </c>
      <c r="E592" s="193" t="str">
        <f t="shared" si="63"/>
        <v>Spare 2</v>
      </c>
      <c r="G592" s="33" t="str">
        <f t="shared" si="57"/>
        <v>£m 23/24 prices</v>
      </c>
      <c r="H592" s="33" t="s">
        <v>170</v>
      </c>
      <c r="AU592" s="166">
        <f t="shared" si="66"/>
        <v>0</v>
      </c>
      <c r="AV592" s="38">
        <f t="shared" si="66"/>
        <v>0</v>
      </c>
      <c r="AW592" s="38">
        <f t="shared" si="66"/>
        <v>0</v>
      </c>
      <c r="AX592" s="38">
        <f t="shared" si="66"/>
        <v>0</v>
      </c>
      <c r="AY592" s="215">
        <f t="shared" si="66"/>
        <v>0</v>
      </c>
      <c r="BA592" s="34" t="str">
        <f t="shared" ca="1" si="60"/>
        <v>VariantAllowances</v>
      </c>
      <c r="BB592" s="34" t="str">
        <f t="shared" si="58"/>
        <v>Variant allowances detailed calculation</v>
      </c>
      <c r="BC592" s="34" t="str">
        <f t="shared" si="59"/>
        <v>Variant allowances allocation to totex categories</v>
      </c>
    </row>
    <row r="593" spans="4:55" x14ac:dyDescent="0.35">
      <c r="D593" s="1">
        <f t="shared" si="62"/>
        <v>2.5</v>
      </c>
      <c r="E593" s="193" t="str">
        <f t="shared" si="63"/>
        <v>Spare 2</v>
      </c>
      <c r="G593" s="33" t="str">
        <f t="shared" si="57"/>
        <v>£m 23/24 prices</v>
      </c>
      <c r="H593" s="33" t="s">
        <v>171</v>
      </c>
      <c r="AU593" s="166">
        <f t="shared" si="66"/>
        <v>0</v>
      </c>
      <c r="AV593" s="38">
        <f t="shared" si="66"/>
        <v>0</v>
      </c>
      <c r="AW593" s="38">
        <f t="shared" si="66"/>
        <v>0</v>
      </c>
      <c r="AX593" s="38">
        <f t="shared" si="66"/>
        <v>0</v>
      </c>
      <c r="AY593" s="215">
        <f t="shared" si="66"/>
        <v>0</v>
      </c>
      <c r="BA593" s="34" t="str">
        <f t="shared" ca="1" si="60"/>
        <v>VariantAllowances</v>
      </c>
      <c r="BB593" s="34" t="str">
        <f t="shared" si="58"/>
        <v>Variant allowances detailed calculation</v>
      </c>
      <c r="BC593" s="34" t="str">
        <f t="shared" si="59"/>
        <v>Variant allowances allocation to totex categories</v>
      </c>
    </row>
    <row r="594" spans="4:55" x14ac:dyDescent="0.35">
      <c r="D594" s="1">
        <f t="shared" si="62"/>
        <v>2.5</v>
      </c>
      <c r="E594" s="195" t="str">
        <f t="shared" si="63"/>
        <v>Spare 2</v>
      </c>
      <c r="F594" s="207"/>
      <c r="G594" s="196" t="str">
        <f t="shared" si="57"/>
        <v>£m 23/24 prices</v>
      </c>
      <c r="H594" s="196" t="s">
        <v>172</v>
      </c>
      <c r="I594" s="196"/>
      <c r="J594" s="196"/>
      <c r="K594" s="196"/>
      <c r="L594" s="196"/>
      <c r="M594" s="196"/>
      <c r="N594" s="196"/>
      <c r="O594" s="196"/>
      <c r="P594" s="196"/>
      <c r="Q594" s="196"/>
      <c r="R594" s="196"/>
      <c r="S594" s="196"/>
      <c r="T594" s="196"/>
      <c r="U594" s="196"/>
      <c r="V594" s="196"/>
      <c r="W594" s="196"/>
      <c r="X594" s="196"/>
      <c r="Y594" s="196"/>
      <c r="Z594" s="196"/>
      <c r="AA594" s="196"/>
      <c r="AB594" s="196"/>
      <c r="AC594" s="196"/>
      <c r="AD594" s="196"/>
      <c r="AE594" s="196"/>
      <c r="AF594" s="196"/>
      <c r="AG594" s="196"/>
      <c r="AH594" s="196"/>
      <c r="AI594" s="196"/>
      <c r="AJ594" s="196"/>
      <c r="AK594" s="196"/>
      <c r="AL594" s="196"/>
      <c r="AM594" s="196"/>
      <c r="AN594" s="196"/>
      <c r="AO594" s="196"/>
      <c r="AP594" s="196"/>
      <c r="AQ594" s="196"/>
      <c r="AR594" s="196"/>
      <c r="AS594" s="196"/>
      <c r="AT594" s="208"/>
      <c r="AU594" s="216">
        <f t="shared" si="66"/>
        <v>0</v>
      </c>
      <c r="AV594" s="217">
        <f t="shared" si="66"/>
        <v>0</v>
      </c>
      <c r="AW594" s="217">
        <f t="shared" si="66"/>
        <v>0</v>
      </c>
      <c r="AX594" s="217">
        <f t="shared" si="66"/>
        <v>0</v>
      </c>
      <c r="AY594" s="218">
        <f t="shared" si="66"/>
        <v>0</v>
      </c>
      <c r="BA594" s="34" t="str">
        <f t="shared" ca="1" si="60"/>
        <v>VariantAllowances</v>
      </c>
      <c r="BB594" s="34" t="str">
        <f t="shared" si="58"/>
        <v>Variant allowances detailed calculation</v>
      </c>
      <c r="BC594" s="34" t="str">
        <f t="shared" si="59"/>
        <v>Variant allowances allocation to totex categories</v>
      </c>
    </row>
    <row r="595" spans="4:55" x14ac:dyDescent="0.35">
      <c r="D595" s="1">
        <f t="shared" si="62"/>
        <v>2.5</v>
      </c>
      <c r="E595" s="187" t="str">
        <f t="shared" si="63"/>
        <v>Spare 3</v>
      </c>
      <c r="F595" s="201"/>
      <c r="G595" s="188" t="str">
        <f t="shared" si="57"/>
        <v>£m 23/24 prices</v>
      </c>
      <c r="H595" s="188" t="s">
        <v>168</v>
      </c>
      <c r="I595" s="188"/>
      <c r="J595" s="188"/>
      <c r="K595" s="188"/>
      <c r="L595" s="188"/>
      <c r="M595" s="188"/>
      <c r="N595" s="188"/>
      <c r="O595" s="188"/>
      <c r="P595" s="188"/>
      <c r="Q595" s="188"/>
      <c r="R595" s="188"/>
      <c r="S595" s="188"/>
      <c r="T595" s="188"/>
      <c r="U595" s="188"/>
      <c r="V595" s="188"/>
      <c r="W595" s="188"/>
      <c r="X595" s="188"/>
      <c r="Y595" s="188"/>
      <c r="Z595" s="188"/>
      <c r="AA595" s="188"/>
      <c r="AB595" s="188"/>
      <c r="AC595" s="188"/>
      <c r="AD595" s="188"/>
      <c r="AE595" s="188"/>
      <c r="AF595" s="188"/>
      <c r="AG595" s="188"/>
      <c r="AH595" s="188"/>
      <c r="AI595" s="188"/>
      <c r="AJ595" s="188"/>
      <c r="AK595" s="188"/>
      <c r="AL595" s="188"/>
      <c r="AM595" s="188"/>
      <c r="AN595" s="188"/>
      <c r="AO595" s="188"/>
      <c r="AP595" s="188"/>
      <c r="AQ595" s="188"/>
      <c r="AR595" s="188"/>
      <c r="AS595" s="188"/>
      <c r="AT595" s="202"/>
      <c r="AU595" s="212">
        <f t="shared" ref="AU595:AY604" si="67">INDEX(AU$8:AU$57,MATCH($E595,$E$8:$E$57,0))*AU342</f>
        <v>0</v>
      </c>
      <c r="AV595" s="213">
        <f t="shared" si="67"/>
        <v>0</v>
      </c>
      <c r="AW595" s="213">
        <f t="shared" si="67"/>
        <v>0</v>
      </c>
      <c r="AX595" s="213">
        <f t="shared" si="67"/>
        <v>0</v>
      </c>
      <c r="AY595" s="214">
        <f t="shared" si="67"/>
        <v>0</v>
      </c>
      <c r="BA595" s="34" t="str">
        <f t="shared" ca="1" si="60"/>
        <v>VariantAllowances</v>
      </c>
      <c r="BB595" s="34" t="str">
        <f t="shared" si="58"/>
        <v>Variant allowances detailed calculation</v>
      </c>
      <c r="BC595" s="34" t="str">
        <f t="shared" si="59"/>
        <v>Variant allowances allocation to totex categories</v>
      </c>
    </row>
    <row r="596" spans="4:55" x14ac:dyDescent="0.35">
      <c r="D596" s="1">
        <f t="shared" si="62"/>
        <v>2.5</v>
      </c>
      <c r="E596" s="193" t="str">
        <f t="shared" si="63"/>
        <v>Spare 3</v>
      </c>
      <c r="G596" s="33" t="str">
        <f t="shared" si="57"/>
        <v>£m 23/24 prices</v>
      </c>
      <c r="H596" s="33" t="s">
        <v>169</v>
      </c>
      <c r="AU596" s="166">
        <f t="shared" si="67"/>
        <v>0</v>
      </c>
      <c r="AV596" s="38">
        <f t="shared" si="67"/>
        <v>0</v>
      </c>
      <c r="AW596" s="38">
        <f t="shared" si="67"/>
        <v>0</v>
      </c>
      <c r="AX596" s="38">
        <f t="shared" si="67"/>
        <v>0</v>
      </c>
      <c r="AY596" s="215">
        <f t="shared" si="67"/>
        <v>0</v>
      </c>
      <c r="BA596" s="34" t="str">
        <f t="shared" ca="1" si="60"/>
        <v>VariantAllowances</v>
      </c>
      <c r="BB596" s="34" t="str">
        <f t="shared" si="58"/>
        <v>Variant allowances detailed calculation</v>
      </c>
      <c r="BC596" s="34" t="str">
        <f t="shared" si="59"/>
        <v>Variant allowances allocation to totex categories</v>
      </c>
    </row>
    <row r="597" spans="4:55" x14ac:dyDescent="0.35">
      <c r="D597" s="1">
        <f t="shared" si="62"/>
        <v>2.5</v>
      </c>
      <c r="E597" s="193" t="str">
        <f t="shared" si="63"/>
        <v>Spare 3</v>
      </c>
      <c r="G597" s="33" t="str">
        <f t="shared" si="57"/>
        <v>£m 23/24 prices</v>
      </c>
      <c r="H597" s="33" t="s">
        <v>170</v>
      </c>
      <c r="AU597" s="166">
        <f t="shared" si="67"/>
        <v>0</v>
      </c>
      <c r="AV597" s="38">
        <f t="shared" si="67"/>
        <v>0</v>
      </c>
      <c r="AW597" s="38">
        <f t="shared" si="67"/>
        <v>0</v>
      </c>
      <c r="AX597" s="38">
        <f t="shared" si="67"/>
        <v>0</v>
      </c>
      <c r="AY597" s="215">
        <f t="shared" si="67"/>
        <v>0</v>
      </c>
      <c r="BA597" s="34" t="str">
        <f t="shared" ca="1" si="60"/>
        <v>VariantAllowances</v>
      </c>
      <c r="BB597" s="34" t="str">
        <f t="shared" si="58"/>
        <v>Variant allowances detailed calculation</v>
      </c>
      <c r="BC597" s="34" t="str">
        <f t="shared" si="59"/>
        <v>Variant allowances allocation to totex categories</v>
      </c>
    </row>
    <row r="598" spans="4:55" x14ac:dyDescent="0.35">
      <c r="D598" s="1">
        <f t="shared" si="62"/>
        <v>2.5</v>
      </c>
      <c r="E598" s="193" t="str">
        <f t="shared" si="63"/>
        <v>Spare 3</v>
      </c>
      <c r="G598" s="33" t="str">
        <f t="shared" si="57"/>
        <v>£m 23/24 prices</v>
      </c>
      <c r="H598" s="33" t="s">
        <v>171</v>
      </c>
      <c r="AU598" s="166">
        <f t="shared" si="67"/>
        <v>0</v>
      </c>
      <c r="AV598" s="38">
        <f t="shared" si="67"/>
        <v>0</v>
      </c>
      <c r="AW598" s="38">
        <f t="shared" si="67"/>
        <v>0</v>
      </c>
      <c r="AX598" s="38">
        <f t="shared" si="67"/>
        <v>0</v>
      </c>
      <c r="AY598" s="215">
        <f t="shared" si="67"/>
        <v>0</v>
      </c>
      <c r="BA598" s="34" t="str">
        <f t="shared" ca="1" si="60"/>
        <v>VariantAllowances</v>
      </c>
      <c r="BB598" s="34" t="str">
        <f t="shared" si="58"/>
        <v>Variant allowances detailed calculation</v>
      </c>
      <c r="BC598" s="34" t="str">
        <f t="shared" si="59"/>
        <v>Variant allowances allocation to totex categories</v>
      </c>
    </row>
    <row r="599" spans="4:55" x14ac:dyDescent="0.35">
      <c r="D599" s="1">
        <f t="shared" si="62"/>
        <v>2.5</v>
      </c>
      <c r="E599" s="195" t="str">
        <f t="shared" si="63"/>
        <v>Spare 3</v>
      </c>
      <c r="F599" s="207"/>
      <c r="G599" s="196" t="str">
        <f t="shared" si="57"/>
        <v>£m 23/24 prices</v>
      </c>
      <c r="H599" s="196" t="s">
        <v>172</v>
      </c>
      <c r="I599" s="196"/>
      <c r="J599" s="196"/>
      <c r="K599" s="196"/>
      <c r="L599" s="196"/>
      <c r="M599" s="196"/>
      <c r="N599" s="196"/>
      <c r="O599" s="196"/>
      <c r="P599" s="196"/>
      <c r="Q599" s="196"/>
      <c r="R599" s="196"/>
      <c r="S599" s="196"/>
      <c r="T599" s="196"/>
      <c r="U599" s="196"/>
      <c r="V599" s="196"/>
      <c r="W599" s="196"/>
      <c r="X599" s="196"/>
      <c r="Y599" s="196"/>
      <c r="Z599" s="196"/>
      <c r="AA599" s="196"/>
      <c r="AB599" s="196"/>
      <c r="AC599" s="196"/>
      <c r="AD599" s="196"/>
      <c r="AE599" s="196"/>
      <c r="AF599" s="196"/>
      <c r="AG599" s="196"/>
      <c r="AH599" s="196"/>
      <c r="AI599" s="196"/>
      <c r="AJ599" s="196"/>
      <c r="AK599" s="196"/>
      <c r="AL599" s="196"/>
      <c r="AM599" s="196"/>
      <c r="AN599" s="196"/>
      <c r="AO599" s="196"/>
      <c r="AP599" s="196"/>
      <c r="AQ599" s="196"/>
      <c r="AR599" s="196"/>
      <c r="AS599" s="196"/>
      <c r="AT599" s="208"/>
      <c r="AU599" s="216">
        <f t="shared" si="67"/>
        <v>0</v>
      </c>
      <c r="AV599" s="217">
        <f t="shared" si="67"/>
        <v>0</v>
      </c>
      <c r="AW599" s="217">
        <f t="shared" si="67"/>
        <v>0</v>
      </c>
      <c r="AX599" s="217">
        <f t="shared" si="67"/>
        <v>0</v>
      </c>
      <c r="AY599" s="218">
        <f t="shared" si="67"/>
        <v>0</v>
      </c>
      <c r="BA599" s="34" t="str">
        <f t="shared" ca="1" si="60"/>
        <v>VariantAllowances</v>
      </c>
      <c r="BB599" s="34" t="str">
        <f t="shared" si="58"/>
        <v>Variant allowances detailed calculation</v>
      </c>
      <c r="BC599" s="34" t="str">
        <f t="shared" si="59"/>
        <v>Variant allowances allocation to totex categories</v>
      </c>
    </row>
    <row r="600" spans="4:55" x14ac:dyDescent="0.35">
      <c r="D600" s="1">
        <f t="shared" si="62"/>
        <v>2.5</v>
      </c>
      <c r="E600" s="187" t="str">
        <f t="shared" si="63"/>
        <v>Spare 4</v>
      </c>
      <c r="F600" s="201"/>
      <c r="G600" s="188" t="str">
        <f t="shared" si="57"/>
        <v>£m 23/24 prices</v>
      </c>
      <c r="H600" s="188" t="s">
        <v>168</v>
      </c>
      <c r="I600" s="188"/>
      <c r="J600" s="188"/>
      <c r="K600" s="188"/>
      <c r="L600" s="188"/>
      <c r="M600" s="188"/>
      <c r="N600" s="188"/>
      <c r="O600" s="188"/>
      <c r="P600" s="188"/>
      <c r="Q600" s="188"/>
      <c r="R600" s="188"/>
      <c r="S600" s="188"/>
      <c r="T600" s="188"/>
      <c r="U600" s="188"/>
      <c r="V600" s="188"/>
      <c r="W600" s="188"/>
      <c r="X600" s="188"/>
      <c r="Y600" s="188"/>
      <c r="Z600" s="188"/>
      <c r="AA600" s="188"/>
      <c r="AB600" s="188"/>
      <c r="AC600" s="188"/>
      <c r="AD600" s="188"/>
      <c r="AE600" s="188"/>
      <c r="AF600" s="188"/>
      <c r="AG600" s="188"/>
      <c r="AH600" s="188"/>
      <c r="AI600" s="188"/>
      <c r="AJ600" s="188"/>
      <c r="AK600" s="188"/>
      <c r="AL600" s="188"/>
      <c r="AM600" s="188"/>
      <c r="AN600" s="188"/>
      <c r="AO600" s="188"/>
      <c r="AP600" s="188"/>
      <c r="AQ600" s="188"/>
      <c r="AR600" s="188"/>
      <c r="AS600" s="188"/>
      <c r="AT600" s="202"/>
      <c r="AU600" s="212">
        <f t="shared" si="67"/>
        <v>0</v>
      </c>
      <c r="AV600" s="213">
        <f t="shared" si="67"/>
        <v>0</v>
      </c>
      <c r="AW600" s="213">
        <f t="shared" si="67"/>
        <v>0</v>
      </c>
      <c r="AX600" s="213">
        <f t="shared" si="67"/>
        <v>0</v>
      </c>
      <c r="AY600" s="214">
        <f t="shared" si="67"/>
        <v>0</v>
      </c>
      <c r="BA600" s="34" t="str">
        <f t="shared" ca="1" si="60"/>
        <v>VariantAllowances</v>
      </c>
      <c r="BB600" s="34" t="str">
        <f t="shared" si="58"/>
        <v>Variant allowances detailed calculation</v>
      </c>
      <c r="BC600" s="34" t="str">
        <f t="shared" si="59"/>
        <v>Variant allowances allocation to totex categories</v>
      </c>
    </row>
    <row r="601" spans="4:55" x14ac:dyDescent="0.35">
      <c r="D601" s="1">
        <f t="shared" si="62"/>
        <v>2.5</v>
      </c>
      <c r="E601" s="193" t="str">
        <f t="shared" si="63"/>
        <v>Spare 4</v>
      </c>
      <c r="G601" s="33" t="str">
        <f t="shared" si="57"/>
        <v>£m 23/24 prices</v>
      </c>
      <c r="H601" s="33" t="s">
        <v>169</v>
      </c>
      <c r="AU601" s="166">
        <f t="shared" si="67"/>
        <v>0</v>
      </c>
      <c r="AV601" s="38">
        <f t="shared" si="67"/>
        <v>0</v>
      </c>
      <c r="AW601" s="38">
        <f t="shared" si="67"/>
        <v>0</v>
      </c>
      <c r="AX601" s="38">
        <f t="shared" si="67"/>
        <v>0</v>
      </c>
      <c r="AY601" s="215">
        <f t="shared" si="67"/>
        <v>0</v>
      </c>
      <c r="BA601" s="34" t="str">
        <f t="shared" ca="1" si="60"/>
        <v>VariantAllowances</v>
      </c>
      <c r="BB601" s="34" t="str">
        <f t="shared" si="58"/>
        <v>Variant allowances detailed calculation</v>
      </c>
      <c r="BC601" s="34" t="str">
        <f t="shared" si="59"/>
        <v>Variant allowances allocation to totex categories</v>
      </c>
    </row>
    <row r="602" spans="4:55" x14ac:dyDescent="0.35">
      <c r="D602" s="1">
        <f t="shared" si="62"/>
        <v>2.5</v>
      </c>
      <c r="E602" s="193" t="str">
        <f t="shared" si="63"/>
        <v>Spare 4</v>
      </c>
      <c r="G602" s="33" t="str">
        <f t="shared" si="57"/>
        <v>£m 23/24 prices</v>
      </c>
      <c r="H602" s="33" t="s">
        <v>170</v>
      </c>
      <c r="AU602" s="166">
        <f t="shared" si="67"/>
        <v>0</v>
      </c>
      <c r="AV602" s="38">
        <f t="shared" si="67"/>
        <v>0</v>
      </c>
      <c r="AW602" s="38">
        <f t="shared" si="67"/>
        <v>0</v>
      </c>
      <c r="AX602" s="38">
        <f t="shared" si="67"/>
        <v>0</v>
      </c>
      <c r="AY602" s="215">
        <f t="shared" si="67"/>
        <v>0</v>
      </c>
      <c r="BA602" s="34" t="str">
        <f t="shared" ca="1" si="60"/>
        <v>VariantAllowances</v>
      </c>
      <c r="BB602" s="34" t="str">
        <f t="shared" si="58"/>
        <v>Variant allowances detailed calculation</v>
      </c>
      <c r="BC602" s="34" t="str">
        <f t="shared" si="59"/>
        <v>Variant allowances allocation to totex categories</v>
      </c>
    </row>
    <row r="603" spans="4:55" x14ac:dyDescent="0.35">
      <c r="D603" s="1">
        <f t="shared" si="62"/>
        <v>2.5</v>
      </c>
      <c r="E603" s="193" t="str">
        <f t="shared" si="63"/>
        <v>Spare 4</v>
      </c>
      <c r="G603" s="33" t="str">
        <f t="shared" si="57"/>
        <v>£m 23/24 prices</v>
      </c>
      <c r="H603" s="33" t="s">
        <v>171</v>
      </c>
      <c r="AU603" s="166">
        <f t="shared" si="67"/>
        <v>0</v>
      </c>
      <c r="AV603" s="38">
        <f t="shared" si="67"/>
        <v>0</v>
      </c>
      <c r="AW603" s="38">
        <f t="shared" si="67"/>
        <v>0</v>
      </c>
      <c r="AX603" s="38">
        <f t="shared" si="67"/>
        <v>0</v>
      </c>
      <c r="AY603" s="215">
        <f t="shared" si="67"/>
        <v>0</v>
      </c>
      <c r="BA603" s="34" t="str">
        <f t="shared" ca="1" si="60"/>
        <v>VariantAllowances</v>
      </c>
      <c r="BB603" s="34" t="str">
        <f t="shared" si="58"/>
        <v>Variant allowances detailed calculation</v>
      </c>
      <c r="BC603" s="34" t="str">
        <f t="shared" si="59"/>
        <v>Variant allowances allocation to totex categories</v>
      </c>
    </row>
    <row r="604" spans="4:55" x14ac:dyDescent="0.35">
      <c r="D604" s="1">
        <f t="shared" si="62"/>
        <v>2.5</v>
      </c>
      <c r="E604" s="195" t="str">
        <f t="shared" si="63"/>
        <v>Spare 4</v>
      </c>
      <c r="F604" s="207"/>
      <c r="G604" s="196" t="str">
        <f t="shared" si="57"/>
        <v>£m 23/24 prices</v>
      </c>
      <c r="H604" s="196" t="s">
        <v>172</v>
      </c>
      <c r="I604" s="196"/>
      <c r="J604" s="196"/>
      <c r="K604" s="196"/>
      <c r="L604" s="196"/>
      <c r="M604" s="196"/>
      <c r="N604" s="196"/>
      <c r="O604" s="196"/>
      <c r="P604" s="196"/>
      <c r="Q604" s="196"/>
      <c r="R604" s="196"/>
      <c r="S604" s="196"/>
      <c r="T604" s="196"/>
      <c r="U604" s="196"/>
      <c r="V604" s="196"/>
      <c r="W604" s="196"/>
      <c r="X604" s="196"/>
      <c r="Y604" s="196"/>
      <c r="Z604" s="196"/>
      <c r="AA604" s="196"/>
      <c r="AB604" s="196"/>
      <c r="AC604" s="196"/>
      <c r="AD604" s="196"/>
      <c r="AE604" s="196"/>
      <c r="AF604" s="196"/>
      <c r="AG604" s="196"/>
      <c r="AH604" s="196"/>
      <c r="AI604" s="196"/>
      <c r="AJ604" s="196"/>
      <c r="AK604" s="196"/>
      <c r="AL604" s="196"/>
      <c r="AM604" s="196"/>
      <c r="AN604" s="196"/>
      <c r="AO604" s="196"/>
      <c r="AP604" s="196"/>
      <c r="AQ604" s="196"/>
      <c r="AR604" s="196"/>
      <c r="AS604" s="196"/>
      <c r="AT604" s="208"/>
      <c r="AU604" s="216">
        <f t="shared" si="67"/>
        <v>0</v>
      </c>
      <c r="AV604" s="217">
        <f t="shared" si="67"/>
        <v>0</v>
      </c>
      <c r="AW604" s="217">
        <f t="shared" si="67"/>
        <v>0</v>
      </c>
      <c r="AX604" s="217">
        <f t="shared" si="67"/>
        <v>0</v>
      </c>
      <c r="AY604" s="218">
        <f t="shared" si="67"/>
        <v>0</v>
      </c>
      <c r="BA604" s="34" t="str">
        <f t="shared" ca="1" si="60"/>
        <v>VariantAllowances</v>
      </c>
      <c r="BB604" s="34" t="str">
        <f t="shared" si="58"/>
        <v>Variant allowances detailed calculation</v>
      </c>
      <c r="BC604" s="34" t="str">
        <f t="shared" si="59"/>
        <v>Variant allowances allocation to totex categories</v>
      </c>
    </row>
    <row r="605" spans="4:55" x14ac:dyDescent="0.35">
      <c r="D605" s="1">
        <f t="shared" si="62"/>
        <v>2.5</v>
      </c>
      <c r="E605" s="187" t="str">
        <f t="shared" si="63"/>
        <v>Spare 5</v>
      </c>
      <c r="F605" s="201"/>
      <c r="G605" s="188" t="str">
        <f t="shared" si="57"/>
        <v>£m 23/24 prices</v>
      </c>
      <c r="H605" s="188" t="s">
        <v>168</v>
      </c>
      <c r="I605" s="188"/>
      <c r="J605" s="188"/>
      <c r="K605" s="188"/>
      <c r="L605" s="188"/>
      <c r="M605" s="188"/>
      <c r="N605" s="188"/>
      <c r="O605" s="188"/>
      <c r="P605" s="188"/>
      <c r="Q605" s="188"/>
      <c r="R605" s="188"/>
      <c r="S605" s="188"/>
      <c r="T605" s="188"/>
      <c r="U605" s="188"/>
      <c r="V605" s="188"/>
      <c r="W605" s="188"/>
      <c r="X605" s="188"/>
      <c r="Y605" s="188"/>
      <c r="Z605" s="188"/>
      <c r="AA605" s="188"/>
      <c r="AB605" s="188"/>
      <c r="AC605" s="188"/>
      <c r="AD605" s="188"/>
      <c r="AE605" s="188"/>
      <c r="AF605" s="188"/>
      <c r="AG605" s="188"/>
      <c r="AH605" s="188"/>
      <c r="AI605" s="188"/>
      <c r="AJ605" s="188"/>
      <c r="AK605" s="188"/>
      <c r="AL605" s="188"/>
      <c r="AM605" s="188"/>
      <c r="AN605" s="188"/>
      <c r="AO605" s="188"/>
      <c r="AP605" s="188"/>
      <c r="AQ605" s="188"/>
      <c r="AR605" s="188"/>
      <c r="AS605" s="188"/>
      <c r="AT605" s="202"/>
      <c r="AU605" s="212">
        <f t="shared" ref="AU605:AY614" si="68">INDEX(AU$8:AU$57,MATCH($E605,$E$8:$E$57,0))*AU352</f>
        <v>0</v>
      </c>
      <c r="AV605" s="213">
        <f t="shared" si="68"/>
        <v>0</v>
      </c>
      <c r="AW605" s="213">
        <f t="shared" si="68"/>
        <v>0</v>
      </c>
      <c r="AX605" s="213">
        <f t="shared" si="68"/>
        <v>0</v>
      </c>
      <c r="AY605" s="214">
        <f t="shared" si="68"/>
        <v>0</v>
      </c>
      <c r="BA605" s="34" t="str">
        <f t="shared" ca="1" si="60"/>
        <v>VariantAllowances</v>
      </c>
      <c r="BB605" s="34" t="str">
        <f t="shared" si="58"/>
        <v>Variant allowances detailed calculation</v>
      </c>
      <c r="BC605" s="34" t="str">
        <f t="shared" si="59"/>
        <v>Variant allowances allocation to totex categories</v>
      </c>
    </row>
    <row r="606" spans="4:55" x14ac:dyDescent="0.35">
      <c r="D606" s="1">
        <f t="shared" si="62"/>
        <v>2.5</v>
      </c>
      <c r="E606" s="193" t="str">
        <f t="shared" si="63"/>
        <v>Spare 5</v>
      </c>
      <c r="G606" s="33" t="str">
        <f t="shared" si="57"/>
        <v>£m 23/24 prices</v>
      </c>
      <c r="H606" s="33" t="s">
        <v>169</v>
      </c>
      <c r="AU606" s="166">
        <f t="shared" si="68"/>
        <v>0</v>
      </c>
      <c r="AV606" s="38">
        <f t="shared" si="68"/>
        <v>0</v>
      </c>
      <c r="AW606" s="38">
        <f t="shared" si="68"/>
        <v>0</v>
      </c>
      <c r="AX606" s="38">
        <f t="shared" si="68"/>
        <v>0</v>
      </c>
      <c r="AY606" s="215">
        <f t="shared" si="68"/>
        <v>0</v>
      </c>
      <c r="BA606" s="34" t="str">
        <f t="shared" ca="1" si="60"/>
        <v>VariantAllowances</v>
      </c>
      <c r="BB606" s="34" t="str">
        <f t="shared" si="58"/>
        <v>Variant allowances detailed calculation</v>
      </c>
      <c r="BC606" s="34" t="str">
        <f t="shared" si="59"/>
        <v>Variant allowances allocation to totex categories</v>
      </c>
    </row>
    <row r="607" spans="4:55" x14ac:dyDescent="0.35">
      <c r="D607" s="1">
        <f t="shared" si="62"/>
        <v>2.5</v>
      </c>
      <c r="E607" s="193" t="str">
        <f t="shared" si="63"/>
        <v>Spare 5</v>
      </c>
      <c r="G607" s="33" t="str">
        <f t="shared" si="57"/>
        <v>£m 23/24 prices</v>
      </c>
      <c r="H607" s="33" t="s">
        <v>170</v>
      </c>
      <c r="AU607" s="166">
        <f t="shared" si="68"/>
        <v>0</v>
      </c>
      <c r="AV607" s="38">
        <f t="shared" si="68"/>
        <v>0</v>
      </c>
      <c r="AW607" s="38">
        <f t="shared" si="68"/>
        <v>0</v>
      </c>
      <c r="AX607" s="38">
        <f t="shared" si="68"/>
        <v>0</v>
      </c>
      <c r="AY607" s="215">
        <f t="shared" si="68"/>
        <v>0</v>
      </c>
      <c r="BA607" s="34" t="str">
        <f t="shared" ca="1" si="60"/>
        <v>VariantAllowances</v>
      </c>
      <c r="BB607" s="34" t="str">
        <f t="shared" si="58"/>
        <v>Variant allowances detailed calculation</v>
      </c>
      <c r="BC607" s="34" t="str">
        <f t="shared" si="59"/>
        <v>Variant allowances allocation to totex categories</v>
      </c>
    </row>
    <row r="608" spans="4:55" x14ac:dyDescent="0.35">
      <c r="D608" s="1">
        <f t="shared" si="62"/>
        <v>2.5</v>
      </c>
      <c r="E608" s="193" t="str">
        <f t="shared" si="63"/>
        <v>Spare 5</v>
      </c>
      <c r="G608" s="33" t="str">
        <f t="shared" si="57"/>
        <v>£m 23/24 prices</v>
      </c>
      <c r="H608" s="33" t="s">
        <v>171</v>
      </c>
      <c r="AU608" s="166">
        <f t="shared" si="68"/>
        <v>0</v>
      </c>
      <c r="AV608" s="38">
        <f t="shared" si="68"/>
        <v>0</v>
      </c>
      <c r="AW608" s="38">
        <f t="shared" si="68"/>
        <v>0</v>
      </c>
      <c r="AX608" s="38">
        <f t="shared" si="68"/>
        <v>0</v>
      </c>
      <c r="AY608" s="215">
        <f t="shared" si="68"/>
        <v>0</v>
      </c>
      <c r="BA608" s="34" t="str">
        <f t="shared" ca="1" si="60"/>
        <v>VariantAllowances</v>
      </c>
      <c r="BB608" s="34" t="str">
        <f t="shared" si="58"/>
        <v>Variant allowances detailed calculation</v>
      </c>
      <c r="BC608" s="34" t="str">
        <f t="shared" si="59"/>
        <v>Variant allowances allocation to totex categories</v>
      </c>
    </row>
    <row r="609" spans="2:56" x14ac:dyDescent="0.35">
      <c r="D609" s="1">
        <f t="shared" si="62"/>
        <v>2.5</v>
      </c>
      <c r="E609" s="195" t="str">
        <f t="shared" si="63"/>
        <v>Spare 5</v>
      </c>
      <c r="F609" s="207"/>
      <c r="G609" s="196" t="str">
        <f t="shared" si="57"/>
        <v>£m 23/24 prices</v>
      </c>
      <c r="H609" s="196" t="s">
        <v>172</v>
      </c>
      <c r="I609" s="196"/>
      <c r="J609" s="196"/>
      <c r="K609" s="196"/>
      <c r="L609" s="196"/>
      <c r="M609" s="196"/>
      <c r="N609" s="196"/>
      <c r="O609" s="196"/>
      <c r="P609" s="196"/>
      <c r="Q609" s="196"/>
      <c r="R609" s="196"/>
      <c r="S609" s="196"/>
      <c r="T609" s="196"/>
      <c r="U609" s="196"/>
      <c r="V609" s="196"/>
      <c r="W609" s="196"/>
      <c r="X609" s="196"/>
      <c r="Y609" s="196"/>
      <c r="Z609" s="196"/>
      <c r="AA609" s="196"/>
      <c r="AB609" s="196"/>
      <c r="AC609" s="196"/>
      <c r="AD609" s="196"/>
      <c r="AE609" s="196"/>
      <c r="AF609" s="196"/>
      <c r="AG609" s="196"/>
      <c r="AH609" s="196"/>
      <c r="AI609" s="196"/>
      <c r="AJ609" s="196"/>
      <c r="AK609" s="196"/>
      <c r="AL609" s="196"/>
      <c r="AM609" s="196"/>
      <c r="AN609" s="196"/>
      <c r="AO609" s="196"/>
      <c r="AP609" s="196"/>
      <c r="AQ609" s="196"/>
      <c r="AR609" s="196"/>
      <c r="AS609" s="196"/>
      <c r="AT609" s="208"/>
      <c r="AU609" s="216">
        <f t="shared" si="68"/>
        <v>0</v>
      </c>
      <c r="AV609" s="217">
        <f t="shared" si="68"/>
        <v>0</v>
      </c>
      <c r="AW609" s="217">
        <f t="shared" si="68"/>
        <v>0</v>
      </c>
      <c r="AX609" s="217">
        <f t="shared" si="68"/>
        <v>0</v>
      </c>
      <c r="AY609" s="218">
        <f t="shared" si="68"/>
        <v>0</v>
      </c>
      <c r="BA609" s="34" t="str">
        <f t="shared" ca="1" si="60"/>
        <v>VariantAllowances</v>
      </c>
      <c r="BB609" s="34" t="str">
        <f t="shared" si="58"/>
        <v>Variant allowances detailed calculation</v>
      </c>
      <c r="BC609" s="34" t="str">
        <f t="shared" si="59"/>
        <v>Variant allowances allocation to totex categories</v>
      </c>
    </row>
    <row r="610" spans="2:56" x14ac:dyDescent="0.35">
      <c r="D610" s="1">
        <f t="shared" si="62"/>
        <v>2.5</v>
      </c>
      <c r="E610" s="187" t="str">
        <f t="shared" si="63"/>
        <v>Spare 6</v>
      </c>
      <c r="F610" s="201"/>
      <c r="G610" s="188" t="str">
        <f t="shared" si="57"/>
        <v>£m 23/24 prices</v>
      </c>
      <c r="H610" s="188" t="s">
        <v>168</v>
      </c>
      <c r="I610" s="188"/>
      <c r="J610" s="188"/>
      <c r="K610" s="188"/>
      <c r="L610" s="188"/>
      <c r="M610" s="188"/>
      <c r="N610" s="188"/>
      <c r="O610" s="188"/>
      <c r="P610" s="188"/>
      <c r="Q610" s="188"/>
      <c r="R610" s="188"/>
      <c r="S610" s="188"/>
      <c r="T610" s="188"/>
      <c r="U610" s="188"/>
      <c r="V610" s="188"/>
      <c r="W610" s="188"/>
      <c r="X610" s="188"/>
      <c r="Y610" s="188"/>
      <c r="Z610" s="188"/>
      <c r="AA610" s="188"/>
      <c r="AB610" s="188"/>
      <c r="AC610" s="188"/>
      <c r="AD610" s="188"/>
      <c r="AE610" s="188"/>
      <c r="AF610" s="188"/>
      <c r="AG610" s="188"/>
      <c r="AH610" s="188"/>
      <c r="AI610" s="188"/>
      <c r="AJ610" s="188"/>
      <c r="AK610" s="188"/>
      <c r="AL610" s="188"/>
      <c r="AM610" s="188"/>
      <c r="AN610" s="188"/>
      <c r="AO610" s="188"/>
      <c r="AP610" s="188"/>
      <c r="AQ610" s="188"/>
      <c r="AR610" s="188"/>
      <c r="AS610" s="188"/>
      <c r="AT610" s="202"/>
      <c r="AU610" s="212">
        <f t="shared" si="68"/>
        <v>0</v>
      </c>
      <c r="AV610" s="213">
        <f t="shared" si="68"/>
        <v>0</v>
      </c>
      <c r="AW610" s="213">
        <f t="shared" si="68"/>
        <v>0</v>
      </c>
      <c r="AX610" s="213">
        <f t="shared" si="68"/>
        <v>0</v>
      </c>
      <c r="AY610" s="214">
        <f t="shared" si="68"/>
        <v>0</v>
      </c>
      <c r="BA610" s="34" t="str">
        <f t="shared" ca="1" si="60"/>
        <v>VariantAllowances</v>
      </c>
      <c r="BB610" s="34" t="str">
        <f t="shared" si="58"/>
        <v>Variant allowances detailed calculation</v>
      </c>
      <c r="BC610" s="34" t="str">
        <f t="shared" si="59"/>
        <v>Variant allowances allocation to totex categories</v>
      </c>
    </row>
    <row r="611" spans="2:56" x14ac:dyDescent="0.35">
      <c r="D611" s="1">
        <f t="shared" si="62"/>
        <v>2.5</v>
      </c>
      <c r="E611" s="193" t="str">
        <f t="shared" si="63"/>
        <v>Spare 6</v>
      </c>
      <c r="G611" s="33" t="str">
        <f t="shared" si="57"/>
        <v>£m 23/24 prices</v>
      </c>
      <c r="H611" s="33" t="s">
        <v>169</v>
      </c>
      <c r="AU611" s="166">
        <f t="shared" si="68"/>
        <v>0</v>
      </c>
      <c r="AV611" s="38">
        <f t="shared" si="68"/>
        <v>0</v>
      </c>
      <c r="AW611" s="38">
        <f t="shared" si="68"/>
        <v>0</v>
      </c>
      <c r="AX611" s="38">
        <f t="shared" si="68"/>
        <v>0</v>
      </c>
      <c r="AY611" s="215">
        <f t="shared" si="68"/>
        <v>0</v>
      </c>
      <c r="BA611" s="34" t="str">
        <f t="shared" ca="1" si="60"/>
        <v>VariantAllowances</v>
      </c>
      <c r="BB611" s="34" t="str">
        <f t="shared" si="58"/>
        <v>Variant allowances detailed calculation</v>
      </c>
      <c r="BC611" s="34" t="str">
        <f t="shared" si="59"/>
        <v>Variant allowances allocation to totex categories</v>
      </c>
    </row>
    <row r="612" spans="2:56" x14ac:dyDescent="0.35">
      <c r="D612" s="1">
        <f t="shared" si="62"/>
        <v>2.5</v>
      </c>
      <c r="E612" s="193" t="str">
        <f t="shared" si="63"/>
        <v>Spare 6</v>
      </c>
      <c r="G612" s="33" t="str">
        <f t="shared" ref="G612:G614" si="69">price_label</f>
        <v>£m 23/24 prices</v>
      </c>
      <c r="H612" s="33" t="s">
        <v>170</v>
      </c>
      <c r="AU612" s="166">
        <f t="shared" si="68"/>
        <v>0</v>
      </c>
      <c r="AV612" s="38">
        <f t="shared" si="68"/>
        <v>0</v>
      </c>
      <c r="AW612" s="38">
        <f t="shared" si="68"/>
        <v>0</v>
      </c>
      <c r="AX612" s="38">
        <f t="shared" si="68"/>
        <v>0</v>
      </c>
      <c r="AY612" s="215">
        <f t="shared" si="68"/>
        <v>0</v>
      </c>
      <c r="BA612" s="34" t="str">
        <f t="shared" ca="1" si="60"/>
        <v>VariantAllowances</v>
      </c>
      <c r="BB612" s="34" t="str">
        <f t="shared" ref="BB612:BB614" si="70">$A$363</f>
        <v>Variant allowances detailed calculation</v>
      </c>
      <c r="BC612" s="34" t="str">
        <f t="shared" ref="BC612:BC614" si="71">$B$364</f>
        <v>Variant allowances allocation to totex categories</v>
      </c>
    </row>
    <row r="613" spans="2:56" x14ac:dyDescent="0.35">
      <c r="D613" s="1">
        <f t="shared" si="62"/>
        <v>2.5</v>
      </c>
      <c r="E613" s="193" t="str">
        <f t="shared" si="63"/>
        <v>Spare 6</v>
      </c>
      <c r="G613" s="33" t="str">
        <f t="shared" si="69"/>
        <v>£m 23/24 prices</v>
      </c>
      <c r="H613" s="33" t="s">
        <v>171</v>
      </c>
      <c r="AU613" s="166">
        <f t="shared" si="68"/>
        <v>0</v>
      </c>
      <c r="AV613" s="38">
        <f t="shared" si="68"/>
        <v>0</v>
      </c>
      <c r="AW613" s="38">
        <f t="shared" si="68"/>
        <v>0</v>
      </c>
      <c r="AX613" s="38">
        <f t="shared" si="68"/>
        <v>0</v>
      </c>
      <c r="AY613" s="215">
        <f t="shared" si="68"/>
        <v>0</v>
      </c>
      <c r="BA613" s="34" t="str">
        <f t="shared" ref="BA613:BA614" ca="1" si="72">$A$1</f>
        <v>VariantAllowances</v>
      </c>
      <c r="BB613" s="34" t="str">
        <f t="shared" si="70"/>
        <v>Variant allowances detailed calculation</v>
      </c>
      <c r="BC613" s="34" t="str">
        <f t="shared" si="71"/>
        <v>Variant allowances allocation to totex categories</v>
      </c>
    </row>
    <row r="614" spans="2:56" x14ac:dyDescent="0.35">
      <c r="D614" s="1">
        <f t="shared" si="62"/>
        <v>2.5</v>
      </c>
      <c r="E614" s="195" t="str">
        <f t="shared" si="63"/>
        <v>Spare 6</v>
      </c>
      <c r="F614" s="207"/>
      <c r="G614" s="196" t="str">
        <f t="shared" si="69"/>
        <v>£m 23/24 prices</v>
      </c>
      <c r="H614" s="196" t="s">
        <v>172</v>
      </c>
      <c r="I614" s="196"/>
      <c r="J614" s="196"/>
      <c r="K614" s="196"/>
      <c r="L614" s="196"/>
      <c r="M614" s="196"/>
      <c r="N614" s="196"/>
      <c r="O614" s="196"/>
      <c r="P614" s="196"/>
      <c r="Q614" s="196"/>
      <c r="R614" s="196"/>
      <c r="S614" s="196"/>
      <c r="T614" s="196"/>
      <c r="U614" s="196"/>
      <c r="V614" s="196"/>
      <c r="W614" s="196"/>
      <c r="X614" s="196"/>
      <c r="Y614" s="196"/>
      <c r="Z614" s="196"/>
      <c r="AA614" s="196"/>
      <c r="AB614" s="196"/>
      <c r="AC614" s="196"/>
      <c r="AD614" s="196"/>
      <c r="AE614" s="196"/>
      <c r="AF614" s="196"/>
      <c r="AG614" s="196"/>
      <c r="AH614" s="196"/>
      <c r="AI614" s="196"/>
      <c r="AJ614" s="196"/>
      <c r="AK614" s="196"/>
      <c r="AL614" s="196"/>
      <c r="AM614" s="196"/>
      <c r="AN614" s="196"/>
      <c r="AO614" s="196"/>
      <c r="AP614" s="196"/>
      <c r="AQ614" s="196"/>
      <c r="AR614" s="196"/>
      <c r="AS614" s="196"/>
      <c r="AT614" s="208"/>
      <c r="AU614" s="216">
        <f t="shared" si="68"/>
        <v>0</v>
      </c>
      <c r="AV614" s="217">
        <f t="shared" si="68"/>
        <v>0</v>
      </c>
      <c r="AW614" s="217">
        <f t="shared" si="68"/>
        <v>0</v>
      </c>
      <c r="AX614" s="217">
        <f t="shared" si="68"/>
        <v>0</v>
      </c>
      <c r="AY614" s="218">
        <f t="shared" si="68"/>
        <v>0</v>
      </c>
      <c r="BA614" s="34" t="str">
        <f t="shared" ca="1" si="72"/>
        <v>VariantAllowances</v>
      </c>
      <c r="BB614" s="34" t="str">
        <f t="shared" si="70"/>
        <v>Variant allowances detailed calculation</v>
      </c>
      <c r="BC614" s="34" t="str">
        <f t="shared" si="71"/>
        <v>Variant allowances allocation to totex categories</v>
      </c>
    </row>
    <row r="615" spans="2:56" x14ac:dyDescent="0.35">
      <c r="AU615"/>
      <c r="AV615"/>
      <c r="AW615"/>
      <c r="AX615"/>
      <c r="AY615"/>
      <c r="BA615" s="34"/>
    </row>
    <row r="616" spans="2:56" ht="17.5" thickBot="1" x14ac:dyDescent="0.4">
      <c r="B616" s="8" t="s">
        <v>382</v>
      </c>
      <c r="BA616" s="34"/>
    </row>
    <row r="617" spans="2:56" ht="17" thickTop="1" thickBot="1" x14ac:dyDescent="0.4">
      <c r="C617" s="11" t="s">
        <v>383</v>
      </c>
      <c r="BA617" s="34"/>
    </row>
    <row r="618" spans="2:56" x14ac:dyDescent="0.35">
      <c r="E618" s="33" t="str">
        <f>LicenseeSelect!E502</f>
        <v>RPE annual growth</v>
      </c>
      <c r="F618" s="126">
        <f>LicenseeSelect!F502</f>
        <v>0</v>
      </c>
      <c r="G618" s="33" t="s">
        <v>109</v>
      </c>
      <c r="H618" s="33" t="str">
        <f>LicenseeSelect!H502</f>
        <v>RPEt</v>
      </c>
      <c r="J618" s="33" t="s">
        <v>13</v>
      </c>
      <c r="AS618" s="41">
        <f>LicenseeSelect!AS502</f>
        <v>1.1900000000000001E-2</v>
      </c>
      <c r="AT618" s="186">
        <f>LicenseeSelect!AT502</f>
        <v>2.2000000000000001E-3</v>
      </c>
      <c r="AU618" s="162">
        <f>LicenseeSelect!AU502</f>
        <v>6.7000000000000002E-3</v>
      </c>
      <c r="AV618" s="41">
        <f>LicenseeSelect!AV502</f>
        <v>4.4999999999999997E-3</v>
      </c>
      <c r="AW618" s="41">
        <f>LicenseeSelect!AW502</f>
        <v>5.5999999999999999E-3</v>
      </c>
      <c r="AX618" s="41">
        <f>LicenseeSelect!AX502</f>
        <v>7.1000000000000004E-3</v>
      </c>
      <c r="AY618" s="41">
        <f>LicenseeSelect!AY502</f>
        <v>0.01</v>
      </c>
      <c r="BA618" s="34" t="str">
        <f ca="1">$A$1</f>
        <v>VariantAllowances</v>
      </c>
      <c r="BB618" s="34" t="str">
        <f>$A$363</f>
        <v>Variant allowances detailed calculation</v>
      </c>
      <c r="BC618" s="34" t="str">
        <f>$B$616</f>
        <v>Real Price Effects</v>
      </c>
      <c r="BD618" s="34" t="str">
        <f>$C$617</f>
        <v>RPE indexation</v>
      </c>
    </row>
    <row r="619" spans="2:56" x14ac:dyDescent="0.35">
      <c r="E619" s="33" t="s">
        <v>261</v>
      </c>
      <c r="G619" s="33" t="s">
        <v>232</v>
      </c>
      <c r="J619" s="33" t="s">
        <v>13</v>
      </c>
      <c r="AT619" s="61"/>
      <c r="AU619" s="171" cm="1">
        <f t="array" ref="AU619">PRODUCT(1+$AS618:AU618)</f>
        <v>1.020920825406</v>
      </c>
      <c r="AV619" s="42" cm="1">
        <f t="array" ref="AV619">PRODUCT(1+$AS618:AV618)</f>
        <v>1.0255149691203269</v>
      </c>
      <c r="AW619" s="42" cm="1">
        <f t="array" ref="AW619">PRODUCT(1+$AS618:AW618)</f>
        <v>1.0312578529474008</v>
      </c>
      <c r="AX619" s="42" cm="1">
        <f t="array" ref="AX619">PRODUCT(1+$AS618:AX618)</f>
        <v>1.0385797837033275</v>
      </c>
      <c r="AY619" s="42" cm="1">
        <f t="array" ref="AY619">PRODUCT(1+$AS618:AY618)</f>
        <v>1.0489655815403607</v>
      </c>
      <c r="BA619" s="34" t="str">
        <f ca="1">$A$1</f>
        <v>VariantAllowances</v>
      </c>
      <c r="BB619" s="34" t="str">
        <f>$A$363</f>
        <v>Variant allowances detailed calculation</v>
      </c>
      <c r="BC619" s="34" t="str">
        <f>$B$616</f>
        <v>Real Price Effects</v>
      </c>
      <c r="BD619" s="34" t="str">
        <f>$C$617</f>
        <v>RPE indexation</v>
      </c>
    </row>
    <row r="620" spans="2:56" x14ac:dyDescent="0.35">
      <c r="AU620"/>
      <c r="AV620"/>
      <c r="AW620"/>
      <c r="AX620"/>
      <c r="AY620"/>
      <c r="BA620" s="34"/>
    </row>
    <row r="621" spans="2:56" ht="16.5" thickBot="1" x14ac:dyDescent="0.4">
      <c r="C621" s="11" t="s">
        <v>384</v>
      </c>
      <c r="AU621"/>
      <c r="AV621"/>
      <c r="AW621"/>
      <c r="AX621"/>
      <c r="AY621"/>
      <c r="BA621" s="34"/>
    </row>
    <row r="622" spans="2:56" x14ac:dyDescent="0.35">
      <c r="E622" s="33" t="s">
        <v>268</v>
      </c>
      <c r="G622" s="33" t="str">
        <f t="shared" ref="G622:G637" si="73">price_label</f>
        <v>£m 23/24 prices</v>
      </c>
      <c r="AU622" s="166">
        <f>LicenseeSelect!AU458*(AU$619-1)</f>
        <v>7.4064723445268724E-2</v>
      </c>
      <c r="AV622" s="38">
        <f>LicenseeSelect!AV458*(AV$619-1)</f>
        <v>7.7825583141130916E-2</v>
      </c>
      <c r="AW622" s="38">
        <f>LicenseeSelect!AW458*(AW$619-1)</f>
        <v>8.0944393462765121E-2</v>
      </c>
      <c r="AX622" s="38">
        <f>LicenseeSelect!AX458*(AX$619-1)</f>
        <v>9.9810014404022138E-2</v>
      </c>
      <c r="AY622" s="38">
        <f>LicenseeSelect!AY458*(AY$619-1)</f>
        <v>0.13142354494296965</v>
      </c>
      <c r="AZ622" s="33"/>
      <c r="BA622" s="34" t="str">
        <f t="shared" ref="BA622:BA637" ca="1" si="74">$A$1</f>
        <v>VariantAllowances</v>
      </c>
      <c r="BB622" s="34" t="str">
        <f t="shared" ref="BB622:BB637" si="75">$A$363</f>
        <v>Variant allowances detailed calculation</v>
      </c>
      <c r="BC622" s="34" t="str">
        <f t="shared" ref="BC622:BC637" si="76">$B$616</f>
        <v>Real Price Effects</v>
      </c>
      <c r="BD622" s="34" t="str">
        <f t="shared" ref="BD622:BD637" si="77">$C$621</f>
        <v>RPE allowances</v>
      </c>
    </row>
    <row r="623" spans="2:56" x14ac:dyDescent="0.35">
      <c r="E623" s="33" t="s">
        <v>268</v>
      </c>
      <c r="G623" s="33" t="str">
        <f t="shared" si="73"/>
        <v>£m 23/24 prices</v>
      </c>
      <c r="AU623" s="166">
        <f>LicenseeSelect!AU459*(AU$619-1)</f>
        <v>0.76825562158819927</v>
      </c>
      <c r="AV623" s="38">
        <f>LicenseeSelect!AV459*(AV$619-1)</f>
        <v>1.0173283238310422</v>
      </c>
      <c r="AW623" s="38">
        <f>LicenseeSelect!AW459*(AW$619-1)</f>
        <v>1.2274285901058615</v>
      </c>
      <c r="AX623" s="38">
        <f>LicenseeSelect!AX459*(AX$619-1)</f>
        <v>1.1588868749066636</v>
      </c>
      <c r="AY623" s="38">
        <f>LicenseeSelect!AY459*(AY$619-1)</f>
        <v>1.233360780462484</v>
      </c>
      <c r="BA623" s="34" t="str">
        <f t="shared" ca="1" si="74"/>
        <v>VariantAllowances</v>
      </c>
      <c r="BB623" s="34" t="str">
        <f t="shared" si="75"/>
        <v>Variant allowances detailed calculation</v>
      </c>
      <c r="BC623" s="34" t="str">
        <f t="shared" si="76"/>
        <v>Real Price Effects</v>
      </c>
      <c r="BD623" s="34" t="str">
        <f t="shared" si="77"/>
        <v>RPE allowances</v>
      </c>
    </row>
    <row r="624" spans="2:56" x14ac:dyDescent="0.35">
      <c r="E624" s="33" t="s">
        <v>268</v>
      </c>
      <c r="G624" s="33" t="str">
        <f t="shared" si="73"/>
        <v>£m 23/24 prices</v>
      </c>
      <c r="AU624" s="166">
        <f>LicenseeSelect!AU460*(AU$619-1)</f>
        <v>0.28823938970563906</v>
      </c>
      <c r="AV624" s="38">
        <f>LicenseeSelect!AV460*(AV$619-1)</f>
        <v>0.34729587677873547</v>
      </c>
      <c r="AW624" s="38">
        <f>LicenseeSelect!AW460*(AW$619-1)</f>
        <v>0.44205034942690108</v>
      </c>
      <c r="AX624" s="38">
        <f>LicenseeSelect!AX460*(AX$619-1)</f>
        <v>0.58667662556148614</v>
      </c>
      <c r="AY624" s="38">
        <f>LicenseeSelect!AY460*(AY$619-1)</f>
        <v>0.63713851362391016</v>
      </c>
      <c r="BA624" s="34" t="str">
        <f t="shared" ca="1" si="74"/>
        <v>VariantAllowances</v>
      </c>
      <c r="BB624" s="34" t="str">
        <f t="shared" si="75"/>
        <v>Variant allowances detailed calculation</v>
      </c>
      <c r="BC624" s="34" t="str">
        <f t="shared" si="76"/>
        <v>Real Price Effects</v>
      </c>
      <c r="BD624" s="34" t="str">
        <f t="shared" si="77"/>
        <v>RPE allowances</v>
      </c>
    </row>
    <row r="625" spans="2:56" x14ac:dyDescent="0.35">
      <c r="E625" s="33" t="s">
        <v>268</v>
      </c>
      <c r="G625" s="33" t="str">
        <f t="shared" si="73"/>
        <v>£m 23/24 prices</v>
      </c>
      <c r="AU625" s="166">
        <f>LicenseeSelect!AU461*(AU$619-1)</f>
        <v>1.8049865414474606</v>
      </c>
      <c r="AV625" s="38">
        <f>LicenseeSelect!AV461*(AV$619-1)</f>
        <v>2.2136324971825587</v>
      </c>
      <c r="AW625" s="38">
        <f>LicenseeSelect!AW461*(AW$619-1)</f>
        <v>2.7015514676056838</v>
      </c>
      <c r="AX625" s="38">
        <f>LicenseeSelect!AX461*(AX$619-1)</f>
        <v>3.2951127273622385</v>
      </c>
      <c r="AY625" s="38">
        <f>LicenseeSelect!AY461*(AY$619-1)</f>
        <v>4.1378710812087869</v>
      </c>
      <c r="BA625" s="34" t="str">
        <f t="shared" ca="1" si="74"/>
        <v>VariantAllowances</v>
      </c>
      <c r="BB625" s="34" t="str">
        <f t="shared" si="75"/>
        <v>Variant allowances detailed calculation</v>
      </c>
      <c r="BC625" s="34" t="str">
        <f t="shared" si="76"/>
        <v>Real Price Effects</v>
      </c>
      <c r="BD625" s="34" t="str">
        <f t="shared" si="77"/>
        <v>RPE allowances</v>
      </c>
    </row>
    <row r="626" spans="2:56" x14ac:dyDescent="0.35">
      <c r="E626" s="33" t="s">
        <v>268</v>
      </c>
      <c r="G626" s="33" t="str">
        <f t="shared" si="73"/>
        <v>£m 23/24 prices</v>
      </c>
      <c r="AU626" s="166">
        <f>LicenseeSelect!AU462*(AU$619-1)</f>
        <v>3.5367310968273412E-2</v>
      </c>
      <c r="AV626" s="38">
        <f>LicenseeSelect!AV462*(AV$619-1)</f>
        <v>5.4979198692059049E-2</v>
      </c>
      <c r="AW626" s="38">
        <f>LicenseeSelect!AW462*(AW$619-1)</f>
        <v>6.486903641179538E-2</v>
      </c>
      <c r="AX626" s="38">
        <f>LicenseeSelect!AX462*(AX$619-1)</f>
        <v>7.8498003113695078E-2</v>
      </c>
      <c r="AY626" s="38">
        <f>LicenseeSelect!AY462*(AY$619-1)</f>
        <v>9.8627187048810516E-2</v>
      </c>
      <c r="BA626" s="34" t="str">
        <f t="shared" ca="1" si="74"/>
        <v>VariantAllowances</v>
      </c>
      <c r="BB626" s="34" t="str">
        <f t="shared" si="75"/>
        <v>Variant allowances detailed calculation</v>
      </c>
      <c r="BC626" s="34" t="str">
        <f t="shared" si="76"/>
        <v>Real Price Effects</v>
      </c>
      <c r="BD626" s="34" t="str">
        <f t="shared" si="77"/>
        <v>RPE allowances</v>
      </c>
    </row>
    <row r="627" spans="2:56" customFormat="1" ht="14.5" x14ac:dyDescent="0.35">
      <c r="F627" s="127"/>
      <c r="AT627" s="61"/>
    </row>
    <row r="628" spans="2:56" x14ac:dyDescent="0.35">
      <c r="D628" s="1">
        <v>1</v>
      </c>
      <c r="E628" s="33" t="s">
        <v>269</v>
      </c>
      <c r="G628" s="33" t="str">
        <f t="shared" si="73"/>
        <v>£m 23/24 prices</v>
      </c>
      <c r="H628" s="33" t="s">
        <v>168</v>
      </c>
      <c r="AU628" s="166">
        <f t="shared" ref="AU628:AY637" si="78">SUMIFS(AU$365:AU$614,$H$365:$H$614,$H628,$D$365:$D$614,$D628)*(AU$619-1)</f>
        <v>0</v>
      </c>
      <c r="AV628" s="38">
        <f t="shared" si="78"/>
        <v>0</v>
      </c>
      <c r="AW628" s="38">
        <f t="shared" si="78"/>
        <v>0</v>
      </c>
      <c r="AX628" s="38">
        <f t="shared" si="78"/>
        <v>0</v>
      </c>
      <c r="AY628" s="38">
        <f t="shared" si="78"/>
        <v>0</v>
      </c>
      <c r="BA628" s="34" t="str">
        <f t="shared" ca="1" si="74"/>
        <v>VariantAllowances</v>
      </c>
      <c r="BB628" s="34" t="str">
        <f t="shared" si="75"/>
        <v>Variant allowances detailed calculation</v>
      </c>
      <c r="BC628" s="34" t="str">
        <f t="shared" si="76"/>
        <v>Real Price Effects</v>
      </c>
      <c r="BD628" s="34" t="str">
        <f t="shared" si="77"/>
        <v>RPE allowances</v>
      </c>
    </row>
    <row r="629" spans="2:56" x14ac:dyDescent="0.35">
      <c r="D629" s="1">
        <v>1</v>
      </c>
      <c r="E629" s="33" t="s">
        <v>269</v>
      </c>
      <c r="G629" s="33" t="str">
        <f t="shared" si="73"/>
        <v>£m 23/24 prices</v>
      </c>
      <c r="H629" s="33" t="s">
        <v>169</v>
      </c>
      <c r="AU629" s="166">
        <f t="shared" si="78"/>
        <v>0.33736310434749572</v>
      </c>
      <c r="AV629" s="38">
        <f t="shared" si="78"/>
        <v>0.52952665025187085</v>
      </c>
      <c r="AW629" s="38">
        <f t="shared" si="78"/>
        <v>0.74918653807190549</v>
      </c>
      <c r="AX629" s="38">
        <f t="shared" si="78"/>
        <v>0.66165551999302596</v>
      </c>
      <c r="AY629" s="38">
        <f t="shared" si="78"/>
        <v>0.66783824350937993</v>
      </c>
      <c r="BA629" s="34" t="str">
        <f t="shared" ca="1" si="74"/>
        <v>VariantAllowances</v>
      </c>
      <c r="BB629" s="34" t="str">
        <f t="shared" si="75"/>
        <v>Variant allowances detailed calculation</v>
      </c>
      <c r="BC629" s="34" t="str">
        <f t="shared" si="76"/>
        <v>Real Price Effects</v>
      </c>
      <c r="BD629" s="34" t="str">
        <f t="shared" si="77"/>
        <v>RPE allowances</v>
      </c>
    </row>
    <row r="630" spans="2:56" x14ac:dyDescent="0.35">
      <c r="D630" s="1">
        <v>1</v>
      </c>
      <c r="E630" s="33" t="s">
        <v>269</v>
      </c>
      <c r="G630" s="33" t="str">
        <f t="shared" si="73"/>
        <v>£m 23/24 prices</v>
      </c>
      <c r="H630" s="33" t="s">
        <v>170</v>
      </c>
      <c r="AU630" s="166">
        <f t="shared" si="78"/>
        <v>0.2029500733647481</v>
      </c>
      <c r="AV630" s="38">
        <f t="shared" si="78"/>
        <v>0.19399212346147235</v>
      </c>
      <c r="AW630" s="38">
        <f t="shared" si="78"/>
        <v>0.20780211150000991</v>
      </c>
      <c r="AX630" s="38">
        <f t="shared" si="78"/>
        <v>0.21484652381285169</v>
      </c>
      <c r="AY630" s="38">
        <f t="shared" si="78"/>
        <v>0.27281682770712273</v>
      </c>
      <c r="BA630" s="34" t="str">
        <f t="shared" ca="1" si="74"/>
        <v>VariantAllowances</v>
      </c>
      <c r="BB630" s="34" t="str">
        <f t="shared" si="75"/>
        <v>Variant allowances detailed calculation</v>
      </c>
      <c r="BC630" s="34" t="str">
        <f t="shared" si="76"/>
        <v>Real Price Effects</v>
      </c>
      <c r="BD630" s="34" t="str">
        <f t="shared" si="77"/>
        <v>RPE allowances</v>
      </c>
    </row>
    <row r="631" spans="2:56" x14ac:dyDescent="0.35">
      <c r="D631" s="1">
        <v>1</v>
      </c>
      <c r="E631" s="33" t="s">
        <v>269</v>
      </c>
      <c r="G631" s="33" t="str">
        <f t="shared" si="73"/>
        <v>£m 23/24 prices</v>
      </c>
      <c r="H631" s="33" t="s">
        <v>171</v>
      </c>
      <c r="AU631" s="166">
        <f t="shared" si="78"/>
        <v>1.1871933829855318E-2</v>
      </c>
      <c r="AV631" s="38">
        <f t="shared" si="78"/>
        <v>1.6294947526547237E-2</v>
      </c>
      <c r="AW631" s="38">
        <f t="shared" si="78"/>
        <v>2.2141044669849112E-2</v>
      </c>
      <c r="AX631" s="38">
        <f t="shared" si="78"/>
        <v>2.9959921396931322E-2</v>
      </c>
      <c r="AY631" s="38">
        <f t="shared" si="78"/>
        <v>4.1296102963978329E-2</v>
      </c>
      <c r="BA631" s="34" t="str">
        <f t="shared" ca="1" si="74"/>
        <v>VariantAllowances</v>
      </c>
      <c r="BB631" s="34" t="str">
        <f t="shared" si="75"/>
        <v>Variant allowances detailed calculation</v>
      </c>
      <c r="BC631" s="34" t="str">
        <f t="shared" si="76"/>
        <v>Real Price Effects</v>
      </c>
      <c r="BD631" s="34" t="str">
        <f t="shared" si="77"/>
        <v>RPE allowances</v>
      </c>
    </row>
    <row r="632" spans="2:56" x14ac:dyDescent="0.35">
      <c r="D632" s="1">
        <v>1</v>
      </c>
      <c r="E632" s="33" t="s">
        <v>269</v>
      </c>
      <c r="G632" s="33" t="str">
        <f t="shared" si="73"/>
        <v>£m 23/24 prices</v>
      </c>
      <c r="H632" s="33" t="s">
        <v>172</v>
      </c>
      <c r="AU632" s="166">
        <f t="shared" si="78"/>
        <v>1.6231847849683527</v>
      </c>
      <c r="AV632" s="38">
        <f t="shared" si="78"/>
        <v>2.016855849717643</v>
      </c>
      <c r="AW632" s="38">
        <f t="shared" si="78"/>
        <v>2.3652704778390392</v>
      </c>
      <c r="AX632" s="38">
        <f t="shared" si="78"/>
        <v>2.7650897453275349</v>
      </c>
      <c r="AY632" s="38">
        <f t="shared" si="78"/>
        <v>3.3660736015285626</v>
      </c>
      <c r="BA632" s="34" t="str">
        <f t="shared" ca="1" si="74"/>
        <v>VariantAllowances</v>
      </c>
      <c r="BB632" s="34" t="str">
        <f t="shared" si="75"/>
        <v>Variant allowances detailed calculation</v>
      </c>
      <c r="BC632" s="34" t="str">
        <f t="shared" si="76"/>
        <v>Real Price Effects</v>
      </c>
      <c r="BD632" s="34" t="str">
        <f t="shared" si="77"/>
        <v>RPE allowances</v>
      </c>
    </row>
    <row r="633" spans="2:56" x14ac:dyDescent="0.35">
      <c r="D633" s="1">
        <v>2</v>
      </c>
      <c r="E633" s="33" t="s">
        <v>270</v>
      </c>
      <c r="G633" s="33" t="str">
        <f t="shared" si="73"/>
        <v>£m 23/24 prices</v>
      </c>
      <c r="H633" s="33" t="s">
        <v>168</v>
      </c>
      <c r="AU633" s="166">
        <f t="shared" si="78"/>
        <v>0</v>
      </c>
      <c r="AV633" s="38">
        <f t="shared" si="78"/>
        <v>0</v>
      </c>
      <c r="AW633" s="38">
        <f t="shared" si="78"/>
        <v>0</v>
      </c>
      <c r="AX633" s="38">
        <f t="shared" si="78"/>
        <v>0</v>
      </c>
      <c r="AY633" s="38">
        <f t="shared" si="78"/>
        <v>0</v>
      </c>
      <c r="BA633" s="34" t="str">
        <f t="shared" ca="1" si="74"/>
        <v>VariantAllowances</v>
      </c>
      <c r="BB633" s="34" t="str">
        <f t="shared" si="75"/>
        <v>Variant allowances detailed calculation</v>
      </c>
      <c r="BC633" s="34" t="str">
        <f t="shared" si="76"/>
        <v>Real Price Effects</v>
      </c>
      <c r="BD633" s="34" t="str">
        <f t="shared" si="77"/>
        <v>RPE allowances</v>
      </c>
    </row>
    <row r="634" spans="2:56" x14ac:dyDescent="0.35">
      <c r="D634" s="1">
        <v>2</v>
      </c>
      <c r="E634" s="33" t="s">
        <v>270</v>
      </c>
      <c r="G634" s="33" t="str">
        <f t="shared" si="73"/>
        <v>£m 23/24 prices</v>
      </c>
      <c r="H634" s="33" t="s">
        <v>169</v>
      </c>
      <c r="AU634" s="166">
        <f t="shared" si="78"/>
        <v>0</v>
      </c>
      <c r="AV634" s="38">
        <f t="shared" si="78"/>
        <v>0</v>
      </c>
      <c r="AW634" s="38">
        <f t="shared" si="78"/>
        <v>0</v>
      </c>
      <c r="AX634" s="38">
        <f t="shared" si="78"/>
        <v>0</v>
      </c>
      <c r="AY634" s="38">
        <f t="shared" si="78"/>
        <v>0</v>
      </c>
      <c r="BA634" s="34" t="str">
        <f t="shared" ca="1" si="74"/>
        <v>VariantAllowances</v>
      </c>
      <c r="BB634" s="34" t="str">
        <f t="shared" si="75"/>
        <v>Variant allowances detailed calculation</v>
      </c>
      <c r="BC634" s="34" t="str">
        <f t="shared" si="76"/>
        <v>Real Price Effects</v>
      </c>
      <c r="BD634" s="34" t="str">
        <f t="shared" si="77"/>
        <v>RPE allowances</v>
      </c>
    </row>
    <row r="635" spans="2:56" x14ac:dyDescent="0.35">
      <c r="D635" s="1">
        <v>2</v>
      </c>
      <c r="E635" s="33" t="s">
        <v>270</v>
      </c>
      <c r="G635" s="33" t="str">
        <f t="shared" si="73"/>
        <v>£m 23/24 prices</v>
      </c>
      <c r="H635" s="33" t="s">
        <v>170</v>
      </c>
      <c r="AU635" s="166">
        <f t="shared" si="78"/>
        <v>0</v>
      </c>
      <c r="AV635" s="38">
        <f t="shared" si="78"/>
        <v>0</v>
      </c>
      <c r="AW635" s="38">
        <f t="shared" si="78"/>
        <v>0</v>
      </c>
      <c r="AX635" s="38">
        <f t="shared" si="78"/>
        <v>0</v>
      </c>
      <c r="AY635" s="38">
        <f t="shared" si="78"/>
        <v>0</v>
      </c>
      <c r="BA635" s="34" t="str">
        <f t="shared" ca="1" si="74"/>
        <v>VariantAllowances</v>
      </c>
      <c r="BB635" s="34" t="str">
        <f t="shared" si="75"/>
        <v>Variant allowances detailed calculation</v>
      </c>
      <c r="BC635" s="34" t="str">
        <f t="shared" si="76"/>
        <v>Real Price Effects</v>
      </c>
      <c r="BD635" s="34" t="str">
        <f t="shared" si="77"/>
        <v>RPE allowances</v>
      </c>
    </row>
    <row r="636" spans="2:56" x14ac:dyDescent="0.35">
      <c r="D636" s="1">
        <v>2</v>
      </c>
      <c r="E636" s="33" t="s">
        <v>270</v>
      </c>
      <c r="G636" s="33" t="str">
        <f t="shared" si="73"/>
        <v>£m 23/24 prices</v>
      </c>
      <c r="H636" s="33" t="s">
        <v>171</v>
      </c>
      <c r="AU636" s="166">
        <f t="shared" si="78"/>
        <v>0</v>
      </c>
      <c r="AV636" s="38">
        <f t="shared" si="78"/>
        <v>0</v>
      </c>
      <c r="AW636" s="38">
        <f t="shared" si="78"/>
        <v>0</v>
      </c>
      <c r="AX636" s="38">
        <f t="shared" si="78"/>
        <v>0</v>
      </c>
      <c r="AY636" s="38">
        <f t="shared" si="78"/>
        <v>0</v>
      </c>
      <c r="BA636" s="34" t="str">
        <f t="shared" ca="1" si="74"/>
        <v>VariantAllowances</v>
      </c>
      <c r="BB636" s="34" t="str">
        <f t="shared" si="75"/>
        <v>Variant allowances detailed calculation</v>
      </c>
      <c r="BC636" s="34" t="str">
        <f t="shared" si="76"/>
        <v>Real Price Effects</v>
      </c>
      <c r="BD636" s="34" t="str">
        <f t="shared" si="77"/>
        <v>RPE allowances</v>
      </c>
    </row>
    <row r="637" spans="2:56" x14ac:dyDescent="0.35">
      <c r="D637" s="1">
        <v>2</v>
      </c>
      <c r="E637" s="33" t="s">
        <v>270</v>
      </c>
      <c r="G637" s="33" t="str">
        <f t="shared" si="73"/>
        <v>£m 23/24 prices</v>
      </c>
      <c r="H637" s="33" t="s">
        <v>172</v>
      </c>
      <c r="AU637" s="166">
        <f t="shared" si="78"/>
        <v>0</v>
      </c>
      <c r="AV637" s="38">
        <f t="shared" si="78"/>
        <v>0</v>
      </c>
      <c r="AW637" s="38">
        <f t="shared" si="78"/>
        <v>0</v>
      </c>
      <c r="AX637" s="38">
        <f t="shared" si="78"/>
        <v>0</v>
      </c>
      <c r="AY637" s="38">
        <f t="shared" si="78"/>
        <v>0</v>
      </c>
      <c r="BA637" s="34" t="str">
        <f t="shared" ca="1" si="74"/>
        <v>VariantAllowances</v>
      </c>
      <c r="BB637" s="34" t="str">
        <f t="shared" si="75"/>
        <v>Variant allowances detailed calculation</v>
      </c>
      <c r="BC637" s="34" t="str">
        <f t="shared" si="76"/>
        <v>Real Price Effects</v>
      </c>
      <c r="BD637" s="34" t="str">
        <f t="shared" si="77"/>
        <v>RPE allowances</v>
      </c>
    </row>
    <row r="638" spans="2:56" x14ac:dyDescent="0.35">
      <c r="BA638" s="34"/>
    </row>
    <row r="639" spans="2:56" ht="17.5" thickBot="1" x14ac:dyDescent="0.4">
      <c r="B639" s="8" t="s">
        <v>566</v>
      </c>
      <c r="AU639"/>
      <c r="AV639"/>
      <c r="AW639"/>
      <c r="AX639"/>
      <c r="AY639"/>
      <c r="BA639" s="34"/>
    </row>
    <row r="640" spans="2:56" ht="17" thickTop="1" thickBot="1" x14ac:dyDescent="0.4">
      <c r="C640" s="11" t="s">
        <v>165</v>
      </c>
      <c r="AU640"/>
      <c r="AV640"/>
      <c r="AW640"/>
      <c r="AX640"/>
      <c r="AY640"/>
      <c r="BA640" s="34"/>
    </row>
    <row r="641" spans="1:56" x14ac:dyDescent="0.35">
      <c r="E641" s="33" t="s">
        <v>168</v>
      </c>
      <c r="G641" s="33" t="str">
        <f>price_label</f>
        <v>£m 23/24 prices</v>
      </c>
      <c r="AP641" s="49"/>
      <c r="AU641" s="152">
        <f t="shared" ref="AU641:AY645" si="79">SUMIFS(AU$365:AU$614,$D$365:$D$614,"&lt;2",$H$365:$H$614,$E641)+AU622+AU628</f>
        <v>7.4064723445268724E-2</v>
      </c>
      <c r="AV641" s="12">
        <f t="shared" si="79"/>
        <v>7.7825583141130916E-2</v>
      </c>
      <c r="AW641" s="12">
        <f t="shared" si="79"/>
        <v>8.0944393462765121E-2</v>
      </c>
      <c r="AX641" s="12">
        <f t="shared" si="79"/>
        <v>9.9810014404022138E-2</v>
      </c>
      <c r="AY641" s="12">
        <f t="shared" si="79"/>
        <v>0.13142354494296965</v>
      </c>
      <c r="BA641" s="34" t="str">
        <f ca="1">$A$1</f>
        <v>VariantAllowances</v>
      </c>
      <c r="BB641" s="34" t="str">
        <f>Transform!$A$27</f>
        <v>Totex allowance</v>
      </c>
      <c r="BC641" s="34" t="str">
        <f>$B$639</f>
        <v>Variant allowance summary</v>
      </c>
      <c r="BD641" s="34" t="str">
        <f>$C$640</f>
        <v>CapRate 1</v>
      </c>
    </row>
    <row r="642" spans="1:56" x14ac:dyDescent="0.35">
      <c r="E642" s="33" t="s">
        <v>169</v>
      </c>
      <c r="G642" s="33" t="str">
        <f>price_label</f>
        <v>£m 23/24 prices</v>
      </c>
      <c r="AP642" s="49"/>
      <c r="AU642" s="152">
        <f t="shared" si="79"/>
        <v>17.231325900507343</v>
      </c>
      <c r="AV642" s="12">
        <f t="shared" si="79"/>
        <v>22.300423114991023</v>
      </c>
      <c r="AW642" s="12">
        <f t="shared" si="79"/>
        <v>25.944561337810285</v>
      </c>
      <c r="AX642" s="12">
        <f t="shared" si="79"/>
        <v>18.970859386852098</v>
      </c>
      <c r="AY642" s="12">
        <f t="shared" si="79"/>
        <v>15.540131157533951</v>
      </c>
      <c r="BA642" s="34" t="str">
        <f ca="1">$A$1</f>
        <v>VariantAllowances</v>
      </c>
      <c r="BB642" s="34" t="str">
        <f>Transform!$A$27</f>
        <v>Totex allowance</v>
      </c>
      <c r="BC642" s="34" t="str">
        <f>$B$639</f>
        <v>Variant allowance summary</v>
      </c>
      <c r="BD642" s="34" t="str">
        <f>$C$640</f>
        <v>CapRate 1</v>
      </c>
    </row>
    <row r="643" spans="1:56" x14ac:dyDescent="0.35">
      <c r="E643" s="33" t="s">
        <v>170</v>
      </c>
      <c r="G643" s="33" t="str">
        <f>price_label</f>
        <v>£m 23/24 prices</v>
      </c>
      <c r="AP643" s="49"/>
      <c r="AU643" s="152">
        <f t="shared" si="79"/>
        <v>10.192053048813161</v>
      </c>
      <c r="AV643" s="12">
        <f t="shared" si="79"/>
        <v>8.1443590659592484</v>
      </c>
      <c r="AW643" s="12">
        <f t="shared" si="79"/>
        <v>7.2978494250718651</v>
      </c>
      <c r="AX643" s="12">
        <f t="shared" si="79"/>
        <v>6.3704119089637619</v>
      </c>
      <c r="AY643" s="12">
        <f t="shared" si="79"/>
        <v>6.4815592950643097</v>
      </c>
      <c r="BA643" s="34" t="str">
        <f ca="1">$A$1</f>
        <v>VariantAllowances</v>
      </c>
      <c r="BB643" s="34" t="str">
        <f>Transform!$A$27</f>
        <v>Totex allowance</v>
      </c>
      <c r="BC643" s="34" t="str">
        <f>$B$639</f>
        <v>Variant allowance summary</v>
      </c>
      <c r="BD643" s="34" t="str">
        <f>$C$640</f>
        <v>CapRate 1</v>
      </c>
    </row>
    <row r="644" spans="1:56" x14ac:dyDescent="0.35">
      <c r="E644" s="33" t="s">
        <v>171</v>
      </c>
      <c r="G644" s="33" t="str">
        <f>price_label</f>
        <v>£m 23/24 prices</v>
      </c>
      <c r="AU644" s="152">
        <f t="shared" si="79"/>
        <v>2.6207579764504887</v>
      </c>
      <c r="AV644" s="12">
        <f t="shared" si="79"/>
        <v>3.1026356316705472</v>
      </c>
      <c r="AW644" s="12">
        <f t="shared" si="79"/>
        <v>3.6637528213593593</v>
      </c>
      <c r="AX644" s="12">
        <f t="shared" si="79"/>
        <v>4.3310507667042382</v>
      </c>
      <c r="AY644" s="12">
        <f t="shared" si="79"/>
        <v>5.2496507487709421</v>
      </c>
      <c r="BA644" s="34" t="str">
        <f ca="1">$A$1</f>
        <v>VariantAllowances</v>
      </c>
      <c r="BB644" s="34" t="str">
        <f>Transform!$A$27</f>
        <v>Totex allowance</v>
      </c>
      <c r="BC644" s="34" t="str">
        <f>$B$639</f>
        <v>Variant allowance summary</v>
      </c>
      <c r="BD644" s="34" t="str">
        <f>$C$640</f>
        <v>CapRate 1</v>
      </c>
    </row>
    <row r="645" spans="1:56" x14ac:dyDescent="0.35">
      <c r="E645" s="33" t="s">
        <v>172</v>
      </c>
      <c r="G645" s="33" t="str">
        <f>price_label</f>
        <v>£m 23/24 prices</v>
      </c>
      <c r="AU645" s="152">
        <f t="shared" si="79"/>
        <v>80.87056499746096</v>
      </c>
      <c r="AV645" s="12">
        <f t="shared" si="79"/>
        <v>82.738976320299599</v>
      </c>
      <c r="AW645" s="12">
        <f t="shared" si="79"/>
        <v>79.624244364870805</v>
      </c>
      <c r="AX645" s="12">
        <f t="shared" si="79"/>
        <v>76.002852548901771</v>
      </c>
      <c r="AY645" s="12">
        <f t="shared" si="79"/>
        <v>73.678777457950133</v>
      </c>
      <c r="BA645" s="34" t="str">
        <f ca="1">$A$1</f>
        <v>VariantAllowances</v>
      </c>
      <c r="BB645" s="34" t="str">
        <f>Transform!$A$27</f>
        <v>Totex allowance</v>
      </c>
      <c r="BC645" s="34" t="str">
        <f>$B$639</f>
        <v>Variant allowance summary</v>
      </c>
      <c r="BD645" s="34" t="str">
        <f>$C$640</f>
        <v>CapRate 1</v>
      </c>
    </row>
    <row r="646" spans="1:56" x14ac:dyDescent="0.35">
      <c r="AU646"/>
      <c r="AV646"/>
      <c r="AW646"/>
      <c r="AX646"/>
      <c r="AY646"/>
      <c r="BA646" s="34"/>
    </row>
    <row r="647" spans="1:56" ht="16.5" thickBot="1" x14ac:dyDescent="0.4">
      <c r="C647" s="11" t="s">
        <v>166</v>
      </c>
      <c r="AU647"/>
      <c r="AV647"/>
      <c r="AW647"/>
      <c r="AX647"/>
      <c r="AY647"/>
      <c r="BA647" s="34"/>
    </row>
    <row r="648" spans="1:56" x14ac:dyDescent="0.35">
      <c r="E648" s="33" t="s">
        <v>168</v>
      </c>
      <c r="G648" s="33" t="str">
        <f>price_label</f>
        <v>£m 23/24 prices</v>
      </c>
      <c r="AU648" s="152">
        <f t="shared" ref="AU648:AY652" si="80">SUMIFS(AU$365:AU$614,$D$365:$D$614,"&gt;=2",$H$365:$H$614,$E648)+AU633</f>
        <v>4</v>
      </c>
      <c r="AV648" s="12">
        <f t="shared" si="80"/>
        <v>4</v>
      </c>
      <c r="AW648" s="12">
        <f t="shared" si="80"/>
        <v>4</v>
      </c>
      <c r="AX648" s="12">
        <f t="shared" si="80"/>
        <v>4</v>
      </c>
      <c r="AY648" s="12">
        <f t="shared" si="80"/>
        <v>4</v>
      </c>
      <c r="BA648" s="34" t="str">
        <f ca="1">$A$1</f>
        <v>VariantAllowances</v>
      </c>
      <c r="BB648" s="34" t="str">
        <f>Transform!$A$27</f>
        <v>Totex allowance</v>
      </c>
      <c r="BC648" s="34" t="str">
        <f>$B$639</f>
        <v>Variant allowance summary</v>
      </c>
      <c r="BD648" s="34" t="str">
        <f>$C$647</f>
        <v>CapRate 2</v>
      </c>
    </row>
    <row r="649" spans="1:56" x14ac:dyDescent="0.35">
      <c r="E649" s="33" t="s">
        <v>169</v>
      </c>
      <c r="G649" s="33" t="str">
        <f>price_label</f>
        <v>£m 23/24 prices</v>
      </c>
      <c r="AU649" s="152">
        <f t="shared" si="80"/>
        <v>2.2318499579877287</v>
      </c>
      <c r="AV649" s="12">
        <f t="shared" si="80"/>
        <v>2.239342930796151</v>
      </c>
      <c r="AW649" s="12">
        <f t="shared" si="80"/>
        <v>2.2372527984131145</v>
      </c>
      <c r="AX649" s="12">
        <f t="shared" si="80"/>
        <v>5.3156192486347376</v>
      </c>
      <c r="AY649" s="12">
        <f t="shared" si="80"/>
        <v>5.3013564078728628</v>
      </c>
      <c r="BA649" s="34" t="str">
        <f ca="1">$A$1</f>
        <v>VariantAllowances</v>
      </c>
      <c r="BB649" s="34" t="str">
        <f>Transform!$A$27</f>
        <v>Totex allowance</v>
      </c>
      <c r="BC649" s="34" t="str">
        <f>$B$639</f>
        <v>Variant allowance summary</v>
      </c>
      <c r="BD649" s="34" t="str">
        <f>$C$647</f>
        <v>CapRate 2</v>
      </c>
    </row>
    <row r="650" spans="1:56" x14ac:dyDescent="0.35">
      <c r="E650" s="33" t="s">
        <v>170</v>
      </c>
      <c r="G650" s="33" t="str">
        <f>price_label</f>
        <v>£m 23/24 prices</v>
      </c>
      <c r="AU650" s="152">
        <f t="shared" si="80"/>
        <v>0.10206121530286198</v>
      </c>
      <c r="AV650" s="12">
        <f t="shared" si="80"/>
        <v>0.12990934690692862</v>
      </c>
      <c r="AW650" s="12">
        <f t="shared" si="80"/>
        <v>0.14575828722957393</v>
      </c>
      <c r="AX650" s="12">
        <f t="shared" si="80"/>
        <v>3.2607343619369966</v>
      </c>
      <c r="AY650" s="12">
        <f t="shared" si="80"/>
        <v>3.2759283772781451</v>
      </c>
      <c r="BA650" s="34" t="str">
        <f ca="1">$A$1</f>
        <v>VariantAllowances</v>
      </c>
      <c r="BB650" s="34" t="str">
        <f>Transform!$A$27</f>
        <v>Totex allowance</v>
      </c>
      <c r="BC650" s="34" t="str">
        <f>$B$639</f>
        <v>Variant allowance summary</v>
      </c>
      <c r="BD650" s="34" t="str">
        <f>$C$647</f>
        <v>CapRate 2</v>
      </c>
    </row>
    <row r="651" spans="1:56" x14ac:dyDescent="0.35">
      <c r="E651" s="33" t="s">
        <v>171</v>
      </c>
      <c r="G651" s="33" t="str">
        <f>price_label</f>
        <v>£m 23/24 prices</v>
      </c>
      <c r="AU651" s="152">
        <f t="shared" si="80"/>
        <v>0.99139983195091386</v>
      </c>
      <c r="AV651" s="12">
        <f t="shared" si="80"/>
        <v>1.0213717231846045</v>
      </c>
      <c r="AW651" s="12">
        <f t="shared" si="80"/>
        <v>1.013011193652458</v>
      </c>
      <c r="AX651" s="12">
        <f t="shared" si="80"/>
        <v>0.92864857803526746</v>
      </c>
      <c r="AY651" s="12">
        <f t="shared" si="80"/>
        <v>0.87159721498776899</v>
      </c>
      <c r="BA651" s="34" t="str">
        <f ca="1">$A$1</f>
        <v>VariantAllowances</v>
      </c>
      <c r="BB651" s="34" t="str">
        <f>Transform!$A$27</f>
        <v>Totex allowance</v>
      </c>
      <c r="BC651" s="34" t="str">
        <f>$B$639</f>
        <v>Variant allowance summary</v>
      </c>
      <c r="BD651" s="34" t="str">
        <f>$C$647</f>
        <v>CapRate 2</v>
      </c>
    </row>
    <row r="652" spans="1:56" x14ac:dyDescent="0.35">
      <c r="E652" s="33" t="s">
        <v>172</v>
      </c>
      <c r="G652" s="33" t="str">
        <f>price_label</f>
        <v>£m 23/24 prices</v>
      </c>
      <c r="AU652" s="152">
        <f t="shared" si="80"/>
        <v>0</v>
      </c>
      <c r="AV652" s="12">
        <f t="shared" si="80"/>
        <v>3.1877999999999997</v>
      </c>
      <c r="AW652" s="12">
        <f t="shared" si="80"/>
        <v>3.1877999999999997</v>
      </c>
      <c r="AX652" s="12">
        <f t="shared" si="80"/>
        <v>3.1877999999999997</v>
      </c>
      <c r="AY652" s="12">
        <f t="shared" si="80"/>
        <v>3.1877999999999997</v>
      </c>
      <c r="BA652" s="34" t="str">
        <f ca="1">$A$1</f>
        <v>VariantAllowances</v>
      </c>
      <c r="BB652" s="34" t="str">
        <f>Transform!$A$27</f>
        <v>Totex allowance</v>
      </c>
      <c r="BC652" s="34" t="str">
        <f>$B$639</f>
        <v>Variant allowance summary</v>
      </c>
      <c r="BD652" s="34" t="str">
        <f>$C$647</f>
        <v>CapRate 2</v>
      </c>
    </row>
    <row r="653" spans="1:56" customFormat="1" ht="14.5" x14ac:dyDescent="0.35">
      <c r="F653" s="127"/>
      <c r="AT653" s="61"/>
    </row>
    <row r="654" spans="1:56" customFormat="1" ht="20" thickBot="1" x14ac:dyDescent="0.5">
      <c r="A654" s="13" t="s">
        <v>386</v>
      </c>
      <c r="F654" s="127"/>
      <c r="AT654" s="61"/>
    </row>
    <row r="655" spans="1:56" ht="16.5" thickTop="1" x14ac:dyDescent="0.35"/>
    <row r="656" spans="1: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row r="882" x14ac:dyDescent="0.35"/>
    <row r="883" x14ac:dyDescent="0.35"/>
    <row r="884" x14ac:dyDescent="0.35"/>
    <row r="885" x14ac:dyDescent="0.35"/>
    <row r="886" x14ac:dyDescent="0.35"/>
    <row r="887" x14ac:dyDescent="0.35"/>
    <row r="888" x14ac:dyDescent="0.35"/>
    <row r="889" x14ac:dyDescent="0.35"/>
    <row r="890" x14ac:dyDescent="0.35"/>
    <row r="891" x14ac:dyDescent="0.35"/>
    <row r="892" x14ac:dyDescent="0.35"/>
    <row r="893" x14ac:dyDescent="0.35"/>
    <row r="894" x14ac:dyDescent="0.35"/>
    <row r="895" x14ac:dyDescent="0.35"/>
    <row r="896" x14ac:dyDescent="0.35"/>
    <row r="897" x14ac:dyDescent="0.35"/>
    <row r="898" x14ac:dyDescent="0.35"/>
    <row r="899" x14ac:dyDescent="0.35"/>
    <row r="900" x14ac:dyDescent="0.35"/>
    <row r="901" x14ac:dyDescent="0.35"/>
    <row r="902" x14ac:dyDescent="0.35"/>
    <row r="903" x14ac:dyDescent="0.35"/>
    <row r="904" x14ac:dyDescent="0.35"/>
    <row r="905" x14ac:dyDescent="0.35"/>
    <row r="906" x14ac:dyDescent="0.35"/>
    <row r="907" x14ac:dyDescent="0.35"/>
    <row r="908" x14ac:dyDescent="0.35"/>
    <row r="909" x14ac:dyDescent="0.35"/>
    <row r="910" x14ac:dyDescent="0.35"/>
    <row r="911" x14ac:dyDescent="0.35"/>
    <row r="912" x14ac:dyDescent="0.35"/>
    <row r="913" x14ac:dyDescent="0.35"/>
    <row r="914" x14ac:dyDescent="0.35"/>
    <row r="915" x14ac:dyDescent="0.35"/>
    <row r="916" x14ac:dyDescent="0.35"/>
    <row r="917" x14ac:dyDescent="0.35"/>
    <row r="918" x14ac:dyDescent="0.35"/>
    <row r="919" x14ac:dyDescent="0.35"/>
    <row r="920" x14ac:dyDescent="0.35"/>
    <row r="921" x14ac:dyDescent="0.35"/>
    <row r="922" x14ac:dyDescent="0.35"/>
    <row r="923" x14ac:dyDescent="0.35"/>
    <row r="924" x14ac:dyDescent="0.35"/>
    <row r="925" x14ac:dyDescent="0.35"/>
    <row r="926" x14ac:dyDescent="0.35"/>
    <row r="927" x14ac:dyDescent="0.35"/>
    <row r="928" x14ac:dyDescent="0.35"/>
    <row r="929" x14ac:dyDescent="0.35"/>
    <row r="930" x14ac:dyDescent="0.35"/>
    <row r="931" x14ac:dyDescent="0.35"/>
    <row r="932" x14ac:dyDescent="0.35"/>
    <row r="933" x14ac:dyDescent="0.35"/>
    <row r="934" x14ac:dyDescent="0.35"/>
    <row r="935" x14ac:dyDescent="0.35"/>
    <row r="936" x14ac:dyDescent="0.35"/>
    <row r="937" x14ac:dyDescent="0.35"/>
    <row r="938" x14ac:dyDescent="0.35"/>
    <row r="939" x14ac:dyDescent="0.35"/>
    <row r="940" x14ac:dyDescent="0.35"/>
    <row r="941" x14ac:dyDescent="0.35"/>
    <row r="942" x14ac:dyDescent="0.35"/>
    <row r="943" x14ac:dyDescent="0.35"/>
    <row r="944" x14ac:dyDescent="0.35"/>
    <row r="945" x14ac:dyDescent="0.35"/>
    <row r="946" x14ac:dyDescent="0.35"/>
    <row r="947" x14ac:dyDescent="0.35"/>
    <row r="948" x14ac:dyDescent="0.35"/>
    <row r="949" x14ac:dyDescent="0.35"/>
    <row r="950" x14ac:dyDescent="0.35"/>
    <row r="951" x14ac:dyDescent="0.35"/>
    <row r="952" x14ac:dyDescent="0.35"/>
    <row r="953" x14ac:dyDescent="0.35"/>
    <row r="954" x14ac:dyDescent="0.35"/>
    <row r="955" x14ac:dyDescent="0.35"/>
    <row r="956" x14ac:dyDescent="0.35"/>
    <row r="957" x14ac:dyDescent="0.35"/>
    <row r="958" x14ac:dyDescent="0.35"/>
    <row r="959" x14ac:dyDescent="0.35"/>
    <row r="960" x14ac:dyDescent="0.35"/>
    <row r="961" x14ac:dyDescent="0.35"/>
    <row r="962" x14ac:dyDescent="0.35"/>
    <row r="963" x14ac:dyDescent="0.35"/>
    <row r="964" x14ac:dyDescent="0.35"/>
    <row r="965" x14ac:dyDescent="0.35"/>
    <row r="966" x14ac:dyDescent="0.35"/>
    <row r="967" x14ac:dyDescent="0.35"/>
    <row r="968" x14ac:dyDescent="0.35"/>
    <row r="969" x14ac:dyDescent="0.35"/>
    <row r="970" x14ac:dyDescent="0.35"/>
    <row r="971" x14ac:dyDescent="0.35"/>
    <row r="972" x14ac:dyDescent="0.35"/>
    <row r="973" x14ac:dyDescent="0.35"/>
    <row r="974" x14ac:dyDescent="0.35"/>
    <row r="975" x14ac:dyDescent="0.35"/>
    <row r="976" x14ac:dyDescent="0.35"/>
    <row r="977" x14ac:dyDescent="0.35"/>
    <row r="978" x14ac:dyDescent="0.35"/>
    <row r="979" x14ac:dyDescent="0.35"/>
    <row r="980" x14ac:dyDescent="0.35"/>
    <row r="981" x14ac:dyDescent="0.35"/>
    <row r="982" x14ac:dyDescent="0.35"/>
    <row r="983" x14ac:dyDescent="0.35"/>
    <row r="984" x14ac:dyDescent="0.35"/>
    <row r="985" x14ac:dyDescent="0.35"/>
    <row r="986" x14ac:dyDescent="0.35"/>
    <row r="987" x14ac:dyDescent="0.35"/>
    <row r="988" x14ac:dyDescent="0.35"/>
    <row r="989" x14ac:dyDescent="0.35"/>
    <row r="990" x14ac:dyDescent="0.35"/>
    <row r="991" x14ac:dyDescent="0.35"/>
    <row r="992" x14ac:dyDescent="0.35"/>
    <row r="993" x14ac:dyDescent="0.35"/>
    <row r="994" x14ac:dyDescent="0.35"/>
    <row r="995" x14ac:dyDescent="0.35"/>
    <row r="996" x14ac:dyDescent="0.35"/>
    <row r="997" x14ac:dyDescent="0.35"/>
    <row r="998" x14ac:dyDescent="0.35"/>
    <row r="999" x14ac:dyDescent="0.35"/>
    <row r="1000" x14ac:dyDescent="0.35"/>
    <row r="1001" x14ac:dyDescent="0.35"/>
    <row r="1002" x14ac:dyDescent="0.35"/>
    <row r="1003" x14ac:dyDescent="0.35"/>
    <row r="1004" x14ac:dyDescent="0.35"/>
    <row r="1005" x14ac:dyDescent="0.35"/>
    <row r="1006" x14ac:dyDescent="0.35"/>
    <row r="1007" x14ac:dyDescent="0.35"/>
    <row r="1008" x14ac:dyDescent="0.35"/>
    <row r="1009" x14ac:dyDescent="0.35"/>
    <row r="1010" x14ac:dyDescent="0.35"/>
    <row r="1011" x14ac:dyDescent="0.35"/>
    <row r="1012" x14ac:dyDescent="0.35"/>
    <row r="1013" x14ac:dyDescent="0.35"/>
    <row r="1014" x14ac:dyDescent="0.35"/>
    <row r="1015" x14ac:dyDescent="0.35"/>
    <row r="1016" x14ac:dyDescent="0.35"/>
    <row r="1017" x14ac:dyDescent="0.35"/>
    <row r="1018" x14ac:dyDescent="0.35"/>
    <row r="1019" x14ac:dyDescent="0.35"/>
    <row r="1020" x14ac:dyDescent="0.35"/>
    <row r="1021" x14ac:dyDescent="0.35"/>
    <row r="1022" x14ac:dyDescent="0.35"/>
    <row r="1023" x14ac:dyDescent="0.35"/>
    <row r="1024" x14ac:dyDescent="0.35"/>
    <row r="1025" x14ac:dyDescent="0.35"/>
    <row r="1026" x14ac:dyDescent="0.35"/>
    <row r="1027" x14ac:dyDescent="0.35"/>
    <row r="1028" x14ac:dyDescent="0.35"/>
    <row r="1029" x14ac:dyDescent="0.35"/>
    <row r="1030" x14ac:dyDescent="0.35"/>
    <row r="1031" x14ac:dyDescent="0.35"/>
    <row r="1032" x14ac:dyDescent="0.35"/>
    <row r="1033" x14ac:dyDescent="0.35"/>
    <row r="1034" x14ac:dyDescent="0.35"/>
    <row r="1035" x14ac:dyDescent="0.35"/>
    <row r="1036" x14ac:dyDescent="0.35"/>
    <row r="1037" x14ac:dyDescent="0.35"/>
    <row r="1038" x14ac:dyDescent="0.35"/>
    <row r="1039" x14ac:dyDescent="0.35"/>
    <row r="1040" x14ac:dyDescent="0.35"/>
    <row r="1041" x14ac:dyDescent="0.35"/>
    <row r="1042" x14ac:dyDescent="0.35"/>
    <row r="1043" x14ac:dyDescent="0.35"/>
    <row r="1044" x14ac:dyDescent="0.35"/>
    <row r="1045" x14ac:dyDescent="0.35"/>
    <row r="1046" x14ac:dyDescent="0.35"/>
    <row r="1047" x14ac:dyDescent="0.35"/>
    <row r="1048" x14ac:dyDescent="0.35"/>
    <row r="1049" x14ac:dyDescent="0.35"/>
    <row r="1050" x14ac:dyDescent="0.35"/>
    <row r="1051" x14ac:dyDescent="0.35"/>
    <row r="1052" x14ac:dyDescent="0.35"/>
    <row r="1053" x14ac:dyDescent="0.35"/>
    <row r="1054" x14ac:dyDescent="0.35"/>
    <row r="1055" x14ac:dyDescent="0.35"/>
    <row r="1056" x14ac:dyDescent="0.35"/>
    <row r="1057" x14ac:dyDescent="0.35"/>
    <row r="1058" x14ac:dyDescent="0.35"/>
    <row r="1059" x14ac:dyDescent="0.35"/>
    <row r="1060" x14ac:dyDescent="0.35"/>
    <row r="1061" x14ac:dyDescent="0.35"/>
    <row r="1062" x14ac:dyDescent="0.35"/>
    <row r="1063" x14ac:dyDescent="0.35"/>
    <row r="1064" x14ac:dyDescent="0.35"/>
    <row r="1065" x14ac:dyDescent="0.35"/>
    <row r="1066" x14ac:dyDescent="0.35"/>
    <row r="1067" x14ac:dyDescent="0.35"/>
    <row r="1068" x14ac:dyDescent="0.35"/>
    <row r="1069" x14ac:dyDescent="0.35"/>
    <row r="1070" x14ac:dyDescent="0.35"/>
    <row r="1071" x14ac:dyDescent="0.35"/>
    <row r="1072" x14ac:dyDescent="0.35"/>
    <row r="1073" x14ac:dyDescent="0.35"/>
    <row r="1074" x14ac:dyDescent="0.35"/>
    <row r="1075" x14ac:dyDescent="0.35"/>
    <row r="1076" x14ac:dyDescent="0.35"/>
    <row r="1077" x14ac:dyDescent="0.35"/>
    <row r="1078" x14ac:dyDescent="0.35"/>
    <row r="1079" x14ac:dyDescent="0.35"/>
    <row r="1080" x14ac:dyDescent="0.35"/>
    <row r="1081" x14ac:dyDescent="0.35"/>
    <row r="1082" x14ac:dyDescent="0.35"/>
    <row r="1083" x14ac:dyDescent="0.35"/>
    <row r="1084" x14ac:dyDescent="0.35"/>
    <row r="1085" x14ac:dyDescent="0.35"/>
    <row r="1086" x14ac:dyDescent="0.35"/>
    <row r="1087" x14ac:dyDescent="0.35"/>
    <row r="1088" x14ac:dyDescent="0.35"/>
    <row r="1089" x14ac:dyDescent="0.35"/>
    <row r="1090" x14ac:dyDescent="0.35"/>
    <row r="1091" x14ac:dyDescent="0.35"/>
    <row r="1092" x14ac:dyDescent="0.35"/>
    <row r="1093" x14ac:dyDescent="0.35"/>
    <row r="1094" x14ac:dyDescent="0.35"/>
    <row r="1095" x14ac:dyDescent="0.35"/>
    <row r="1096" x14ac:dyDescent="0.35"/>
    <row r="1097" x14ac:dyDescent="0.35"/>
    <row r="1098" x14ac:dyDescent="0.35"/>
    <row r="1099" x14ac:dyDescent="0.35"/>
    <row r="1100" x14ac:dyDescent="0.35"/>
    <row r="1101" x14ac:dyDescent="0.35"/>
    <row r="1102" x14ac:dyDescent="0.35"/>
    <row r="1103" x14ac:dyDescent="0.35"/>
    <row r="1104" x14ac:dyDescent="0.35"/>
    <row r="1105" x14ac:dyDescent="0.35"/>
    <row r="1106" x14ac:dyDescent="0.35"/>
    <row r="1107" x14ac:dyDescent="0.35"/>
    <row r="1108" x14ac:dyDescent="0.35"/>
    <row r="1109" x14ac:dyDescent="0.35"/>
    <row r="1110" x14ac:dyDescent="0.35"/>
    <row r="1111" x14ac:dyDescent="0.35"/>
    <row r="1112" x14ac:dyDescent="0.35"/>
    <row r="1113" x14ac:dyDescent="0.35"/>
    <row r="1114" x14ac:dyDescent="0.35"/>
    <row r="1115" x14ac:dyDescent="0.35"/>
    <row r="1116" x14ac:dyDescent="0.35"/>
    <row r="1117" x14ac:dyDescent="0.35"/>
    <row r="1118" x14ac:dyDescent="0.35"/>
    <row r="1119" x14ac:dyDescent="0.35"/>
    <row r="1120" x14ac:dyDescent="0.35"/>
    <row r="1121" x14ac:dyDescent="0.35"/>
    <row r="1122" x14ac:dyDescent="0.35"/>
    <row r="1123" x14ac:dyDescent="0.35"/>
    <row r="1124" x14ac:dyDescent="0.35"/>
    <row r="1125" x14ac:dyDescent="0.35"/>
    <row r="1126" x14ac:dyDescent="0.35"/>
    <row r="1127" x14ac:dyDescent="0.35"/>
    <row r="1128" x14ac:dyDescent="0.35"/>
    <row r="1129" x14ac:dyDescent="0.35"/>
    <row r="1130" x14ac:dyDescent="0.35"/>
    <row r="1131" x14ac:dyDescent="0.35"/>
    <row r="1132" x14ac:dyDescent="0.35"/>
    <row r="1133" x14ac:dyDescent="0.35"/>
    <row r="1134" x14ac:dyDescent="0.35"/>
    <row r="1135" x14ac:dyDescent="0.35"/>
    <row r="1136" x14ac:dyDescent="0.35"/>
  </sheetData>
  <dataConsolidate/>
  <conditionalFormatting sqref="H1">
    <cfRule type="cellIs" dxfId="14" priority="1" operator="equal">
      <formula>"ERROR"</formula>
    </cfRule>
  </conditionalFormatting>
  <pageMargins left="0.23622047244094491" right="0.23622047244094491" top="0.74803149606299213" bottom="0.74803149606299213" header="0.31496062992125984" footer="0.31496062992125984"/>
  <pageSetup paperSize="8" fitToHeight="0" orientation="portrait" r:id="rId1"/>
  <headerFooter>
    <oddHeader>&amp;L&amp;"Aptos"&amp;10&amp;K000000 Classified as Internal&amp;1#_x000D_</oddHeader>
    <oddFooter>&amp;LDraft at &amp;D&amp;R"&amp;A" sheet&amp;R"&amp;A" sheet&amp;R"&amp;A" sheet&amp;R"&amp;A" sheet&amp;R"&amp;A" sheet&amp;R"&amp;A" sheet&amp;R"&amp;A" sheet&amp;R"&amp;A" sheet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A451C-F706-4626-90B2-307FDD0C61B6}">
  <sheetPr codeName="Sheet9">
    <tabColor rgb="FF7FB5BA"/>
    <pageSetUpPr autoPageBreaks="0" fitToPage="1"/>
  </sheetPr>
  <dimension ref="A1:BL288"/>
  <sheetViews>
    <sheetView zoomScaleNormal="100" workbookViewId="0">
      <pane xSplit="45" ySplit="4" topLeftCell="AT230" activePane="bottomRight" state="frozen"/>
      <selection pane="topRight" activeCell="AT1" sqref="AT1"/>
      <selection pane="bottomLeft" activeCell="A5" sqref="A5"/>
      <selection pane="bottomRight" activeCell="AU234" sqref="AU234"/>
    </sheetView>
  </sheetViews>
  <sheetFormatPr defaultColWidth="0" defaultRowHeight="16" zeroHeight="1" outlineLevelCol="1" x14ac:dyDescent="0.35"/>
  <cols>
    <col min="1" max="2" width="1.90625" style="6" customWidth="1"/>
    <col min="3" max="3" width="1.90625" customWidth="1"/>
    <col min="4" max="4" width="15.6328125" customWidth="1"/>
    <col min="5" max="5" width="65.6328125" style="33" customWidth="1"/>
    <col min="6" max="6" width="8.6328125" style="126" customWidth="1"/>
    <col min="7" max="7" width="17.6328125" style="33" customWidth="1"/>
    <col min="8" max="8" width="9.6328125" style="126" customWidth="1"/>
    <col min="9" max="9" width="11.6328125" style="33" customWidth="1"/>
    <col min="10" max="10" width="2.08984375" style="33" customWidth="1"/>
    <col min="11" max="45" width="11.6328125" style="33" hidden="1" customWidth="1" outlineLevel="1"/>
    <col min="46" max="46" width="11.6328125" style="60" customWidth="1" collapsed="1"/>
    <col min="47" max="51" width="11.6328125" style="33" customWidth="1"/>
    <col min="52" max="52" width="18.6328125" style="34" customWidth="1"/>
    <col min="53" max="53" width="10.6328125" style="1" customWidth="1"/>
    <col min="54" max="56" width="10.6328125" style="34" customWidth="1"/>
    <col min="57" max="57" width="10.6328125" style="33" customWidth="1"/>
    <col min="58" max="58" width="1.6328125" style="6" customWidth="1"/>
    <col min="59" max="59" width="12.08984375" style="6" hidden="1" customWidth="1"/>
    <col min="60" max="60" width="16" style="6" hidden="1" customWidth="1"/>
    <col min="61" max="63" width="12.08984375" style="6" hidden="1" customWidth="1"/>
    <col min="64" max="64" width="1.90625" style="6" hidden="1" customWidth="1"/>
    <col min="65" max="16384" width="10.36328125" style="6" hidden="1"/>
  </cols>
  <sheetData>
    <row r="1" spans="1:56" s="90" customFormat="1" ht="14.5" x14ac:dyDescent="0.35">
      <c r="A1" s="89" t="str" cm="1">
        <f t="array" aca="1" ref="A1" ca="1">MID(CELL("filename",$A$1),FIND("]",CELL("filename",$A$1))+1,255)</f>
        <v>Transform</v>
      </c>
      <c r="E1" s="107"/>
      <c r="F1" s="125"/>
      <c r="G1" s="90" t="s">
        <v>572</v>
      </c>
      <c r="H1" s="124" t="e">
        <f>Checks!I7</f>
        <v>#REF!</v>
      </c>
      <c r="AT1" s="96"/>
      <c r="BA1" s="92"/>
      <c r="BB1" s="92"/>
      <c r="BC1" s="92"/>
    </row>
    <row r="2" spans="1:56" s="90" customFormat="1" ht="14.5" x14ac:dyDescent="0.35">
      <c r="F2" s="125"/>
      <c r="H2" s="125"/>
      <c r="AT2" s="96"/>
      <c r="BA2" s="92"/>
      <c r="BB2" s="92"/>
      <c r="BC2" s="92"/>
    </row>
    <row r="3" spans="1:56" s="90" customFormat="1" ht="14.5" x14ac:dyDescent="0.35">
      <c r="E3" s="90" t="s">
        <v>1</v>
      </c>
      <c r="F3" s="125" t="s">
        <v>2</v>
      </c>
      <c r="G3" s="90" t="s">
        <v>3</v>
      </c>
      <c r="H3" s="125" t="s">
        <v>4</v>
      </c>
      <c r="I3" s="90" t="s">
        <v>5</v>
      </c>
      <c r="AT3" s="96"/>
      <c r="AU3" s="90" t="s">
        <v>6</v>
      </c>
      <c r="BA3" s="92"/>
      <c r="BB3" s="92"/>
      <c r="BC3" s="92"/>
    </row>
    <row r="4" spans="1:56" s="90" customFormat="1" ht="14.5" x14ac:dyDescent="0.35">
      <c r="E4" s="90" t="s">
        <v>7</v>
      </c>
      <c r="F4" s="125"/>
      <c r="H4" s="125"/>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92" t="s">
        <v>591</v>
      </c>
      <c r="BB4" s="92" t="s">
        <v>592</v>
      </c>
      <c r="BC4" s="92" t="s">
        <v>593</v>
      </c>
      <c r="BD4" s="92" t="s">
        <v>594</v>
      </c>
    </row>
    <row r="5" spans="1:56" x14ac:dyDescent="0.35"/>
    <row r="6" spans="1:56" ht="20" thickBot="1" x14ac:dyDescent="0.4">
      <c r="A6" s="7" t="s">
        <v>234</v>
      </c>
    </row>
    <row r="7" spans="1:56" ht="16.5" thickTop="1" x14ac:dyDescent="0.35">
      <c r="A7"/>
      <c r="E7" s="33" t="s">
        <v>401</v>
      </c>
      <c r="G7" s="33" t="s">
        <v>236</v>
      </c>
      <c r="I7"/>
      <c r="AB7"/>
      <c r="AC7"/>
      <c r="AD7"/>
      <c r="AE7"/>
      <c r="AF7"/>
      <c r="AG7"/>
      <c r="AH7"/>
      <c r="AI7"/>
      <c r="AJ7"/>
      <c r="AK7"/>
      <c r="AL7"/>
      <c r="AM7"/>
      <c r="AN7"/>
      <c r="AO7"/>
      <c r="AP7"/>
      <c r="AQ7"/>
      <c r="AR7"/>
      <c r="AS7"/>
      <c r="AT7" s="61"/>
      <c r="AU7" s="161">
        <f>(SUM(LicenseeSelect!AU9:AU13,LicenseeSelect!AU16:AU20)&lt;&gt;0)*1</f>
        <v>0</v>
      </c>
      <c r="AV7" s="37">
        <f>(SUM(LicenseeSelect!AV9:AV13,LicenseeSelect!AV16:AV20)&lt;&gt;0)*1</f>
        <v>0</v>
      </c>
      <c r="AW7" s="37">
        <f>(SUM(LicenseeSelect!AW9:AW13,LicenseeSelect!AW16:AW20)&lt;&gt;0)*1</f>
        <v>0</v>
      </c>
      <c r="AX7" s="37">
        <f>(SUM(LicenseeSelect!AX9:AX13,LicenseeSelect!AX16:AX20)&lt;&gt;0)*1</f>
        <v>0</v>
      </c>
      <c r="AY7" s="37">
        <f>(SUM(LicenseeSelect!AY9:AY13,LicenseeSelect!AY16:AY20)&lt;&gt;0)*1</f>
        <v>0</v>
      </c>
      <c r="BA7" s="34" t="str">
        <f ca="1">$A$1</f>
        <v>Transform</v>
      </c>
      <c r="BB7" s="34" t="str">
        <f>$A$6</f>
        <v>Flags</v>
      </c>
    </row>
    <row r="8" spans="1:56" x14ac:dyDescent="0.35">
      <c r="A8"/>
      <c r="E8" s="33" t="s">
        <v>645</v>
      </c>
      <c r="G8" s="33" t="s">
        <v>236</v>
      </c>
      <c r="I8"/>
      <c r="AB8"/>
      <c r="AC8"/>
      <c r="AD8"/>
      <c r="AE8"/>
      <c r="AF8"/>
      <c r="AG8"/>
      <c r="AH8"/>
      <c r="AI8"/>
      <c r="AJ8"/>
      <c r="AK8"/>
      <c r="AL8"/>
      <c r="AM8"/>
      <c r="AN8"/>
      <c r="AO8"/>
      <c r="AP8"/>
      <c r="AQ8"/>
      <c r="AR8"/>
      <c r="AS8"/>
      <c r="AT8" s="61"/>
      <c r="AU8" s="161">
        <f>1-AU7</f>
        <v>1</v>
      </c>
      <c r="AV8" s="37">
        <f>1-AV7</f>
        <v>1</v>
      </c>
      <c r="AW8" s="37">
        <f>1-AW7</f>
        <v>1</v>
      </c>
      <c r="AX8" s="37">
        <f>1-AX7</f>
        <v>1</v>
      </c>
      <c r="AY8" s="37">
        <f>1-AY7</f>
        <v>1</v>
      </c>
      <c r="BA8" s="34" t="str">
        <f ca="1">$A$1</f>
        <v>Transform</v>
      </c>
      <c r="BB8" s="34" t="str">
        <f>$A$6</f>
        <v>Flags</v>
      </c>
    </row>
    <row r="9" spans="1:56" x14ac:dyDescent="0.35">
      <c r="A9"/>
      <c r="AB9"/>
      <c r="AC9"/>
      <c r="AD9"/>
      <c r="AE9"/>
      <c r="AF9"/>
      <c r="AG9"/>
      <c r="AH9"/>
      <c r="AI9"/>
      <c r="AJ9"/>
      <c r="AK9"/>
      <c r="AL9"/>
      <c r="AM9"/>
      <c r="AN9"/>
      <c r="AO9"/>
      <c r="AP9"/>
      <c r="AQ9"/>
      <c r="AR9"/>
      <c r="AS9"/>
      <c r="AT9" s="61"/>
      <c r="AU9"/>
      <c r="AV9"/>
      <c r="AW9"/>
      <c r="AX9"/>
      <c r="AY9"/>
    </row>
    <row r="10" spans="1:56" ht="20" thickBot="1" x14ac:dyDescent="0.4">
      <c r="A10" s="7" t="s">
        <v>9</v>
      </c>
      <c r="BA10" s="34"/>
    </row>
    <row r="11" spans="1:56" ht="18" thickTop="1" thickBot="1" x14ac:dyDescent="0.4">
      <c r="A11"/>
      <c r="B11" s="8" t="s">
        <v>10</v>
      </c>
      <c r="BA11" s="34"/>
    </row>
    <row r="12" spans="1:56" ht="16.5" thickTop="1" x14ac:dyDescent="0.35">
      <c r="E12" s="33" t="s">
        <v>11</v>
      </c>
      <c r="F12" s="126">
        <f>LicenseeSelect!F9</f>
        <v>0</v>
      </c>
      <c r="G12" s="33" t="str">
        <f t="shared" ref="G12:G16" si="0">price_label</f>
        <v>£m 23/24 prices</v>
      </c>
      <c r="H12" s="126" t="str">
        <f>LicenseeSelect!H9</f>
        <v>ALC</v>
      </c>
      <c r="AU12" s="87">
        <f>LicenseeSelect!AU9</f>
        <v>0</v>
      </c>
      <c r="AV12" s="36">
        <f>LicenseeSelect!AV9</f>
        <v>0</v>
      </c>
      <c r="AW12" s="36">
        <f>LicenseeSelect!AW9</f>
        <v>0</v>
      </c>
      <c r="AX12" s="36">
        <f>LicenseeSelect!AX9</f>
        <v>0</v>
      </c>
      <c r="AY12" s="36">
        <f>LicenseeSelect!AY9</f>
        <v>0</v>
      </c>
      <c r="BA12" s="34" t="str">
        <f ca="1">$A$1</f>
        <v>Transform</v>
      </c>
      <c r="BB12" s="34" t="str">
        <f>$A$10</f>
        <v>Actual totex</v>
      </c>
      <c r="BC12" s="34" t="str">
        <f>$B$11</f>
        <v>Capitalisation rate 1</v>
      </c>
    </row>
    <row r="13" spans="1:56" x14ac:dyDescent="0.35">
      <c r="E13" s="33" t="s">
        <v>14</v>
      </c>
      <c r="F13" s="126">
        <f>LicenseeSelect!F10</f>
        <v>0</v>
      </c>
      <c r="G13" s="33" t="str">
        <f t="shared" si="0"/>
        <v>£m 23/24 prices</v>
      </c>
      <c r="H13" s="126" t="str">
        <f>LicenseeSelect!H10</f>
        <v>AOC</v>
      </c>
      <c r="AU13" s="87">
        <f>LicenseeSelect!AU10</f>
        <v>0</v>
      </c>
      <c r="AV13" s="36">
        <f>LicenseeSelect!AV10</f>
        <v>0</v>
      </c>
      <c r="AW13" s="36">
        <f>LicenseeSelect!AW10</f>
        <v>0</v>
      </c>
      <c r="AX13" s="36">
        <f>LicenseeSelect!AX10</f>
        <v>0</v>
      </c>
      <c r="AY13" s="36">
        <f>LicenseeSelect!AY10</f>
        <v>0</v>
      </c>
      <c r="BA13" s="34" t="str">
        <f ca="1">$A$1</f>
        <v>Transform</v>
      </c>
      <c r="BB13" s="34" t="str">
        <f>$A$10</f>
        <v>Actual totex</v>
      </c>
      <c r="BC13" s="34" t="str">
        <f>$B$11</f>
        <v>Capitalisation rate 1</v>
      </c>
    </row>
    <row r="14" spans="1:56" x14ac:dyDescent="0.35">
      <c r="E14" s="33" t="s">
        <v>16</v>
      </c>
      <c r="F14" s="126">
        <f>LicenseeSelect!F11</f>
        <v>0</v>
      </c>
      <c r="G14" s="33" t="str">
        <f t="shared" si="0"/>
        <v>£m 23/24 prices</v>
      </c>
      <c r="H14" s="126" t="str">
        <f>LicenseeSelect!H11</f>
        <v>ACO</v>
      </c>
      <c r="AU14" s="87">
        <f>LicenseeSelect!AU11</f>
        <v>0</v>
      </c>
      <c r="AV14" s="36">
        <f>LicenseeSelect!AV11</f>
        <v>0</v>
      </c>
      <c r="AW14" s="36">
        <f>LicenseeSelect!AW11</f>
        <v>0</v>
      </c>
      <c r="AX14" s="36">
        <f>LicenseeSelect!AX11</f>
        <v>0</v>
      </c>
      <c r="AY14" s="36">
        <f>LicenseeSelect!AY11</f>
        <v>0</v>
      </c>
      <c r="BA14" s="34" t="str">
        <f ca="1">$A$1</f>
        <v>Transform</v>
      </c>
      <c r="BB14" s="34" t="str">
        <f>$A$10</f>
        <v>Actual totex</v>
      </c>
      <c r="BC14" s="34" t="str">
        <f>$B$11</f>
        <v>Capitalisation rate 1</v>
      </c>
    </row>
    <row r="15" spans="1:56" x14ac:dyDescent="0.35">
      <c r="E15" s="33" t="s">
        <v>18</v>
      </c>
      <c r="F15" s="126">
        <f>LicenseeSelect!F12</f>
        <v>0</v>
      </c>
      <c r="G15" s="33" t="str">
        <f t="shared" si="0"/>
        <v>£m 23/24 prices</v>
      </c>
      <c r="H15" s="126" t="str">
        <f>LicenseeSelect!H12</f>
        <v>ADO</v>
      </c>
      <c r="AU15" s="87">
        <f>LicenseeSelect!AU12</f>
        <v>0</v>
      </c>
      <c r="AV15" s="36">
        <f>LicenseeSelect!AV12</f>
        <v>0</v>
      </c>
      <c r="AW15" s="36">
        <f>LicenseeSelect!AW12</f>
        <v>0</v>
      </c>
      <c r="AX15" s="36">
        <f>LicenseeSelect!AX12</f>
        <v>0</v>
      </c>
      <c r="AY15" s="36">
        <f>LicenseeSelect!AY12</f>
        <v>0</v>
      </c>
      <c r="BA15" s="34" t="str">
        <f ca="1">$A$1</f>
        <v>Transform</v>
      </c>
      <c r="BB15" s="34" t="str">
        <f>$A$10</f>
        <v>Actual totex</v>
      </c>
      <c r="BC15" s="34" t="str">
        <f>$B$11</f>
        <v>Capitalisation rate 1</v>
      </c>
    </row>
    <row r="16" spans="1:56" x14ac:dyDescent="0.35">
      <c r="E16" s="33" t="s">
        <v>402</v>
      </c>
      <c r="F16" s="126">
        <f>LicenseeSelect!F13</f>
        <v>0</v>
      </c>
      <c r="G16" s="33" t="str">
        <f t="shared" si="0"/>
        <v>£m 23/24 prices</v>
      </c>
      <c r="H16" s="126" t="str">
        <f>LicenseeSelect!H13</f>
        <v>ARE</v>
      </c>
      <c r="AU16" s="87">
        <f>LicenseeSelect!AU13</f>
        <v>0</v>
      </c>
      <c r="AV16" s="36">
        <f>LicenseeSelect!AV13</f>
        <v>0</v>
      </c>
      <c r="AW16" s="36">
        <f>LicenseeSelect!AW13</f>
        <v>0</v>
      </c>
      <c r="AX16" s="36">
        <f>LicenseeSelect!AX13</f>
        <v>0</v>
      </c>
      <c r="AY16" s="36">
        <f>LicenseeSelect!AY13</f>
        <v>0</v>
      </c>
      <c r="BA16" s="34" t="str">
        <f ca="1">$A$1</f>
        <v>Transform</v>
      </c>
      <c r="BB16" s="34" t="str">
        <f>$A$10</f>
        <v>Actual totex</v>
      </c>
      <c r="BC16" s="34" t="str">
        <f>$B$11</f>
        <v>Capitalisation rate 1</v>
      </c>
    </row>
    <row r="17" spans="1:55" x14ac:dyDescent="0.35"/>
    <row r="18" spans="1:55" ht="17.5" thickBot="1" x14ac:dyDescent="0.4">
      <c r="B18" s="8" t="s">
        <v>21</v>
      </c>
      <c r="BA18" s="34"/>
    </row>
    <row r="19" spans="1:55" ht="16.5" thickTop="1" x14ac:dyDescent="0.35">
      <c r="A19"/>
      <c r="B19"/>
      <c r="E19" s="33" t="s">
        <v>11</v>
      </c>
      <c r="F19" s="126">
        <f>LicenseeSelect!F16</f>
        <v>0</v>
      </c>
      <c r="G19" s="33" t="str">
        <f t="shared" ref="G19:G23" si="1">price_label</f>
        <v>£m 23/24 prices</v>
      </c>
      <c r="H19" s="126" t="str">
        <f>LicenseeSelect!H16</f>
        <v>ALCU</v>
      </c>
      <c r="AU19" s="87">
        <f>LicenseeSelect!AU16</f>
        <v>0</v>
      </c>
      <c r="AV19" s="36">
        <f>LicenseeSelect!AV16</f>
        <v>0</v>
      </c>
      <c r="AW19" s="36">
        <f>LicenseeSelect!AW16</f>
        <v>0</v>
      </c>
      <c r="AX19" s="36">
        <f>LicenseeSelect!AX16</f>
        <v>0</v>
      </c>
      <c r="AY19" s="36">
        <f>LicenseeSelect!AY16</f>
        <v>0</v>
      </c>
      <c r="BA19" s="34" t="str">
        <f ca="1">$A$1</f>
        <v>Transform</v>
      </c>
      <c r="BB19" s="34" t="str">
        <f>$A$10</f>
        <v>Actual totex</v>
      </c>
      <c r="BC19" s="34" t="str">
        <f>$B$18</f>
        <v>Capitalisation rate 2</v>
      </c>
    </row>
    <row r="20" spans="1:55" x14ac:dyDescent="0.35">
      <c r="A20"/>
      <c r="B20"/>
      <c r="E20" s="33" t="s">
        <v>14</v>
      </c>
      <c r="F20" s="126">
        <f>LicenseeSelect!F17</f>
        <v>0</v>
      </c>
      <c r="G20" s="33" t="str">
        <f t="shared" si="1"/>
        <v>£m 23/24 prices</v>
      </c>
      <c r="H20" s="126" t="str">
        <f>LicenseeSelect!H17</f>
        <v>AOCU</v>
      </c>
      <c r="AU20" s="87">
        <f>LicenseeSelect!AU17</f>
        <v>0</v>
      </c>
      <c r="AV20" s="36">
        <f>LicenseeSelect!AV17</f>
        <v>0</v>
      </c>
      <c r="AW20" s="36">
        <f>LicenseeSelect!AW17</f>
        <v>0</v>
      </c>
      <c r="AX20" s="36">
        <f>LicenseeSelect!AX17</f>
        <v>0</v>
      </c>
      <c r="AY20" s="36">
        <f>LicenseeSelect!AY17</f>
        <v>0</v>
      </c>
      <c r="BA20" s="34" t="str">
        <f ca="1">$A$1</f>
        <v>Transform</v>
      </c>
      <c r="BB20" s="34" t="str">
        <f>$A$10</f>
        <v>Actual totex</v>
      </c>
      <c r="BC20" s="34" t="str">
        <f>$B$18</f>
        <v>Capitalisation rate 2</v>
      </c>
    </row>
    <row r="21" spans="1:55" x14ac:dyDescent="0.35">
      <c r="A21"/>
      <c r="B21"/>
      <c r="E21" s="33" t="s">
        <v>16</v>
      </c>
      <c r="F21" s="126">
        <f>LicenseeSelect!F18</f>
        <v>0</v>
      </c>
      <c r="G21" s="33" t="str">
        <f t="shared" si="1"/>
        <v>£m 23/24 prices</v>
      </c>
      <c r="H21" s="126" t="str">
        <f>LicenseeSelect!H18</f>
        <v>ACOU</v>
      </c>
      <c r="AU21" s="87">
        <f>LicenseeSelect!AU18</f>
        <v>0</v>
      </c>
      <c r="AV21" s="36">
        <f>LicenseeSelect!AV18</f>
        <v>0</v>
      </c>
      <c r="AW21" s="36">
        <f>LicenseeSelect!AW18</f>
        <v>0</v>
      </c>
      <c r="AX21" s="36">
        <f>LicenseeSelect!AX18</f>
        <v>0</v>
      </c>
      <c r="AY21" s="36">
        <f>LicenseeSelect!AY18</f>
        <v>0</v>
      </c>
      <c r="BA21" s="34" t="str">
        <f ca="1">$A$1</f>
        <v>Transform</v>
      </c>
      <c r="BB21" s="34" t="str">
        <f>$A$10</f>
        <v>Actual totex</v>
      </c>
      <c r="BC21" s="34" t="str">
        <f>$B$18</f>
        <v>Capitalisation rate 2</v>
      </c>
    </row>
    <row r="22" spans="1:55" x14ac:dyDescent="0.35">
      <c r="A22"/>
      <c r="B22"/>
      <c r="E22" s="33" t="s">
        <v>18</v>
      </c>
      <c r="F22" s="126">
        <f>LicenseeSelect!F19</f>
        <v>0</v>
      </c>
      <c r="G22" s="33" t="str">
        <f t="shared" si="1"/>
        <v>£m 23/24 prices</v>
      </c>
      <c r="H22" s="126" t="str">
        <f>LicenseeSelect!H19</f>
        <v>ADOU</v>
      </c>
      <c r="AU22" s="87">
        <f>LicenseeSelect!AU19</f>
        <v>0</v>
      </c>
      <c r="AV22" s="36">
        <f>LicenseeSelect!AV19</f>
        <v>0</v>
      </c>
      <c r="AW22" s="36">
        <f>LicenseeSelect!AW19</f>
        <v>0</v>
      </c>
      <c r="AX22" s="36">
        <f>LicenseeSelect!AX19</f>
        <v>0</v>
      </c>
      <c r="AY22" s="36">
        <f>LicenseeSelect!AY19</f>
        <v>0</v>
      </c>
      <c r="BA22" s="34" t="str">
        <f ca="1">$A$1</f>
        <v>Transform</v>
      </c>
      <c r="BB22" s="34" t="str">
        <f>$A$10</f>
        <v>Actual totex</v>
      </c>
      <c r="BC22" s="34" t="str">
        <f>$B$18</f>
        <v>Capitalisation rate 2</v>
      </c>
    </row>
    <row r="23" spans="1:55" x14ac:dyDescent="0.35">
      <c r="A23"/>
      <c r="B23"/>
      <c r="E23" s="33" t="s">
        <v>402</v>
      </c>
      <c r="F23" s="126">
        <f>LicenseeSelect!F20</f>
        <v>0</v>
      </c>
      <c r="G23" s="33" t="str">
        <f t="shared" si="1"/>
        <v>£m 23/24 prices</v>
      </c>
      <c r="H23" s="126" t="str">
        <f>LicenseeSelect!H20</f>
        <v>AREU</v>
      </c>
      <c r="AU23" s="87">
        <f>LicenseeSelect!AU20</f>
        <v>0</v>
      </c>
      <c r="AV23" s="36">
        <f>LicenseeSelect!AV20</f>
        <v>0</v>
      </c>
      <c r="AW23" s="36">
        <f>LicenseeSelect!AW20</f>
        <v>0</v>
      </c>
      <c r="AX23" s="36">
        <f>LicenseeSelect!AX20</f>
        <v>0</v>
      </c>
      <c r="AY23" s="36">
        <f>LicenseeSelect!AY20</f>
        <v>0</v>
      </c>
      <c r="BA23" s="34" t="str">
        <f ca="1">$A$1</f>
        <v>Transform</v>
      </c>
      <c r="BB23" s="34" t="str">
        <f>$A$10</f>
        <v>Actual totex</v>
      </c>
      <c r="BC23" s="34" t="str">
        <f>$B$18</f>
        <v>Capitalisation rate 2</v>
      </c>
    </row>
    <row r="24" spans="1:55" ht="17.5" thickBot="1" x14ac:dyDescent="0.4">
      <c r="B24" s="8" t="s">
        <v>495</v>
      </c>
      <c r="BA24" s="34"/>
    </row>
    <row r="25" spans="1:55" ht="16.5" thickTop="1" x14ac:dyDescent="0.35">
      <c r="E25" s="33" t="s">
        <v>195</v>
      </c>
      <c r="F25" s="126">
        <f>LicenseeSelect!F23</f>
        <v>0</v>
      </c>
      <c r="G25" s="33" t="str">
        <f>price_label</f>
        <v>£m 23/24 prices</v>
      </c>
      <c r="H25" s="126">
        <f>LicenseeSelect!H23</f>
        <v>0</v>
      </c>
      <c r="AG25"/>
      <c r="AH25"/>
      <c r="AI25"/>
      <c r="AJ25"/>
      <c r="AK25"/>
      <c r="AL25"/>
      <c r="AM25"/>
      <c r="AN25"/>
      <c r="AO25"/>
      <c r="AP25"/>
      <c r="AQ25"/>
      <c r="AR25"/>
      <c r="AS25"/>
      <c r="AT25" s="61"/>
      <c r="AU25" s="87">
        <f>LicenseeSelect!AU23</f>
        <v>0.59012268374037224</v>
      </c>
      <c r="AV25" s="36">
        <f>LicenseeSelect!AV23</f>
        <v>0.59012268374037224</v>
      </c>
      <c r="AW25" s="36">
        <f>LicenseeSelect!AW23</f>
        <v>0.59012268374037224</v>
      </c>
      <c r="AX25" s="36">
        <f>LicenseeSelect!AX23</f>
        <v>0.59012268374037224</v>
      </c>
      <c r="AY25" s="36">
        <f>LicenseeSelect!AY23</f>
        <v>0.59012268374037224</v>
      </c>
      <c r="BA25" s="34" t="str">
        <f ca="1">$A$1</f>
        <v>Transform</v>
      </c>
      <c r="BB25" s="34" t="str">
        <f>$A$10</f>
        <v>Actual totex</v>
      </c>
      <c r="BC25" s="34" t="str">
        <f>$B$24</f>
        <v>Disposals</v>
      </c>
    </row>
    <row r="26" spans="1:55" x14ac:dyDescent="0.35">
      <c r="AG26"/>
      <c r="AH26"/>
      <c r="AI26"/>
      <c r="AJ26"/>
      <c r="AK26"/>
      <c r="AL26"/>
      <c r="AM26"/>
      <c r="AN26"/>
      <c r="AO26"/>
      <c r="AP26"/>
      <c r="AQ26"/>
      <c r="AR26"/>
      <c r="AS26"/>
      <c r="AT26" s="61"/>
      <c r="AU26"/>
      <c r="AV26"/>
      <c r="AW26"/>
      <c r="AX26"/>
      <c r="AY26"/>
      <c r="BA26" s="34"/>
    </row>
    <row r="27" spans="1:55" ht="20" thickBot="1" x14ac:dyDescent="0.4">
      <c r="A27" s="7" t="s">
        <v>174</v>
      </c>
    </row>
    <row r="28" spans="1:55" ht="18" thickTop="1" thickBot="1" x14ac:dyDescent="0.4">
      <c r="B28" s="8" t="s">
        <v>175</v>
      </c>
    </row>
    <row r="29" spans="1:55" ht="16.5" thickTop="1" x14ac:dyDescent="0.35">
      <c r="E29" s="33" t="s">
        <v>176</v>
      </c>
      <c r="F29" s="126">
        <f>LicenseeSelect!F458</f>
        <v>0</v>
      </c>
      <c r="G29" s="33" t="str">
        <f t="shared" ref="G29:G33" si="2">price_label</f>
        <v>£m 23/24 prices</v>
      </c>
      <c r="H29" s="126">
        <f>LicenseeSelect!H458</f>
        <v>0</v>
      </c>
      <c r="AU29" s="87">
        <f>LicenseeSelect!AU458</f>
        <v>3.5402390683891056</v>
      </c>
      <c r="AV29" s="36">
        <f>LicenseeSelect!AV458</f>
        <v>3.0501931150341823</v>
      </c>
      <c r="AW29" s="36">
        <f>LicenseeSelect!AW458</f>
        <v>2.5895698466230046</v>
      </c>
      <c r="AX29" s="36">
        <f>LicenseeSelect!AX458</f>
        <v>2.5871066352145871</v>
      </c>
      <c r="AY29" s="36">
        <f>LicenseeSelect!AY458</f>
        <v>2.6839984496996454</v>
      </c>
      <c r="BA29" s="34" t="str">
        <f ca="1">$A$1</f>
        <v>Transform</v>
      </c>
      <c r="BB29" s="34" t="str">
        <f>$A$27</f>
        <v>Totex allowance</v>
      </c>
      <c r="BC29" s="34" t="str">
        <f>$B$28</f>
        <v>Non-variant allowances</v>
      </c>
    </row>
    <row r="30" spans="1:55" x14ac:dyDescent="0.35">
      <c r="E30" s="33" t="s">
        <v>177</v>
      </c>
      <c r="F30" s="126">
        <f>LicenseeSelect!F459</f>
        <v>0</v>
      </c>
      <c r="G30" s="33" t="str">
        <f t="shared" si="2"/>
        <v>£m 23/24 prices</v>
      </c>
      <c r="H30" s="126">
        <f>LicenseeSelect!H459</f>
        <v>0</v>
      </c>
      <c r="AU30" s="87">
        <f>LicenseeSelect!AU459</f>
        <v>36.722051194398162</v>
      </c>
      <c r="AV30" s="36">
        <f>LicenseeSelect!AV459</f>
        <v>39.871822655688462</v>
      </c>
      <c r="AW30" s="36">
        <f>LicenseeSelect!AW459</f>
        <v>39.267847096578222</v>
      </c>
      <c r="AX30" s="36">
        <f>LicenseeSelect!AX459</f>
        <v>30.038708454622835</v>
      </c>
      <c r="AY30" s="36">
        <f>LicenseeSelect!AY459</f>
        <v>25.188320891193055</v>
      </c>
      <c r="BA30" s="34" t="str">
        <f ca="1">$A$1</f>
        <v>Transform</v>
      </c>
      <c r="BB30" s="34" t="str">
        <f>$A$27</f>
        <v>Totex allowance</v>
      </c>
      <c r="BC30" s="34" t="str">
        <f>$B$28</f>
        <v>Non-variant allowances</v>
      </c>
    </row>
    <row r="31" spans="1:55" x14ac:dyDescent="0.35">
      <c r="E31" s="33" t="s">
        <v>178</v>
      </c>
      <c r="F31" s="126">
        <f>LicenseeSelect!F460</f>
        <v>0</v>
      </c>
      <c r="G31" s="33" t="str">
        <f t="shared" si="2"/>
        <v>£m 23/24 prices</v>
      </c>
      <c r="H31" s="126">
        <f>LicenseeSelect!H460</f>
        <v>0</v>
      </c>
      <c r="AU31" s="87">
        <f>LicenseeSelect!AU460</f>
        <v>13.777629902832262</v>
      </c>
      <c r="AV31" s="36">
        <f>LicenseeSelect!AV460</f>
        <v>13.61145589245713</v>
      </c>
      <c r="AW31" s="36">
        <f>LicenseeSelect!AW460</f>
        <v>14.142057363017287</v>
      </c>
      <c r="AX31" s="36">
        <f>LicenseeSelect!AX460</f>
        <v>15.20684071411436</v>
      </c>
      <c r="AY31" s="36">
        <f>LicenseeSelect!AY460</f>
        <v>13.011966642298292</v>
      </c>
      <c r="BA31" s="34" t="str">
        <f ca="1">$A$1</f>
        <v>Transform</v>
      </c>
      <c r="BB31" s="34" t="str">
        <f>$A$27</f>
        <v>Totex allowance</v>
      </c>
      <c r="BC31" s="34" t="str">
        <f>$B$28</f>
        <v>Non-variant allowances</v>
      </c>
    </row>
    <row r="32" spans="1:55" x14ac:dyDescent="0.35">
      <c r="E32" s="33" t="s">
        <v>179</v>
      </c>
      <c r="F32" s="126">
        <f>LicenseeSelect!F461</f>
        <v>0</v>
      </c>
      <c r="G32" s="33" t="str">
        <f t="shared" si="2"/>
        <v>£m 23/24 prices</v>
      </c>
      <c r="H32" s="126">
        <f>LicenseeSelect!H461</f>
        <v>0</v>
      </c>
      <c r="AU32" s="87">
        <f>LicenseeSelect!AU461</f>
        <v>86.277023320972546</v>
      </c>
      <c r="AV32" s="36">
        <f>LicenseeSelect!AV461</f>
        <v>86.758188369471014</v>
      </c>
      <c r="AW32" s="36">
        <f>LicenseeSelect!AW461</f>
        <v>86.427928116231257</v>
      </c>
      <c r="AX32" s="36">
        <f>LicenseeSelect!AX461</f>
        <v>85.410347364856705</v>
      </c>
      <c r="AY32" s="36">
        <f>LicenseeSelect!AY461</f>
        <v>84.505706887154588</v>
      </c>
      <c r="BA32" s="34" t="str">
        <f ca="1">$A$1</f>
        <v>Transform</v>
      </c>
      <c r="BB32" s="34" t="str">
        <f>$A$27</f>
        <v>Totex allowance</v>
      </c>
      <c r="BC32" s="34" t="str">
        <f>$B$28</f>
        <v>Non-variant allowances</v>
      </c>
    </row>
    <row r="33" spans="1:55" x14ac:dyDescent="0.35">
      <c r="E33" s="33" t="s">
        <v>180</v>
      </c>
      <c r="F33" s="126">
        <f>LicenseeSelect!F462</f>
        <v>0</v>
      </c>
      <c r="G33" s="33" t="str">
        <f t="shared" si="2"/>
        <v>£m 23/24 prices</v>
      </c>
      <c r="H33" s="126">
        <f>LicenseeSelect!H462</f>
        <v>0</v>
      </c>
      <c r="AU33" s="87">
        <f>LicenseeSelect!AU462</f>
        <v>1.6905313381244582</v>
      </c>
      <c r="AV33" s="36">
        <f>LicenseeSelect!AV462</f>
        <v>2.1547820980217836</v>
      </c>
      <c r="AW33" s="36">
        <f>LicenseeSelect!AW462</f>
        <v>2.0752876571834236</v>
      </c>
      <c r="AX33" s="36">
        <f>LicenseeSelect!AX462</f>
        <v>2.0346926700608918</v>
      </c>
      <c r="AY33" s="36">
        <f>LicenseeSelect!AY462</f>
        <v>2.0142145553303692</v>
      </c>
      <c r="BA33" s="34" t="str">
        <f ca="1">$A$1</f>
        <v>Transform</v>
      </c>
      <c r="BB33" s="34" t="str">
        <f>$A$27</f>
        <v>Totex allowance</v>
      </c>
      <c r="BC33" s="34" t="str">
        <f>$B$28</f>
        <v>Non-variant allowances</v>
      </c>
    </row>
    <row r="34" spans="1:55" x14ac:dyDescent="0.35">
      <c r="AU34"/>
      <c r="AV34"/>
      <c r="AW34"/>
      <c r="AX34"/>
      <c r="AY34"/>
      <c r="BA34" s="34"/>
    </row>
    <row r="35" spans="1:55" ht="17.5" thickBot="1" x14ac:dyDescent="0.4">
      <c r="A35" s="8" t="s">
        <v>230</v>
      </c>
      <c r="BA35" s="34"/>
    </row>
    <row r="36" spans="1:55" ht="16.5" thickTop="1" x14ac:dyDescent="0.35">
      <c r="E36" s="33" t="s">
        <v>10</v>
      </c>
      <c r="F36" s="126">
        <f>LicenseeSelect!F557</f>
        <v>0</v>
      </c>
      <c r="G36" s="33" t="s">
        <v>109</v>
      </c>
      <c r="H36" s="126">
        <f>LicenseeSelect!H557</f>
        <v>0</v>
      </c>
      <c r="AU36" s="162">
        <f>LicenseeSelect!AU557</f>
        <v>0.31</v>
      </c>
      <c r="AV36" s="41">
        <f>LicenseeSelect!AV557</f>
        <v>0.31</v>
      </c>
      <c r="AW36" s="41">
        <f>LicenseeSelect!AW557</f>
        <v>0.31</v>
      </c>
      <c r="AX36" s="41">
        <f>LicenseeSelect!AX557</f>
        <v>0.31</v>
      </c>
      <c r="AY36" s="41">
        <f>LicenseeSelect!AY557</f>
        <v>0.31</v>
      </c>
      <c r="BA36" s="34" t="str">
        <f ca="1">$A$1</f>
        <v>Transform</v>
      </c>
      <c r="BB36" s="34" t="str">
        <f>$A$35</f>
        <v>TIM and capitalisation</v>
      </c>
    </row>
    <row r="37" spans="1:55" x14ac:dyDescent="0.35">
      <c r="E37" s="33" t="s">
        <v>21</v>
      </c>
      <c r="F37" s="126">
        <f>LicenseeSelect!F558</f>
        <v>0</v>
      </c>
      <c r="G37" s="33" t="s">
        <v>109</v>
      </c>
      <c r="H37" s="126">
        <f>LicenseeSelect!H558</f>
        <v>0</v>
      </c>
      <c r="AU37" s="162">
        <f>LicenseeSelect!AU558</f>
        <v>0.7</v>
      </c>
      <c r="AV37" s="41">
        <f>LicenseeSelect!AV558</f>
        <v>0.7</v>
      </c>
      <c r="AW37" s="41">
        <f>LicenseeSelect!AW558</f>
        <v>0.7</v>
      </c>
      <c r="AX37" s="41">
        <f>LicenseeSelect!AX558</f>
        <v>0.7</v>
      </c>
      <c r="AY37" s="41">
        <f>LicenseeSelect!AY558</f>
        <v>0.7</v>
      </c>
      <c r="BA37" s="34" t="str">
        <f ca="1">$A$1</f>
        <v>Transform</v>
      </c>
      <c r="BB37" s="34" t="str">
        <f t="shared" ref="BB37:BB40" si="3">$A$35</f>
        <v>TIM and capitalisation</v>
      </c>
    </row>
    <row r="38" spans="1:55" x14ac:dyDescent="0.35">
      <c r="E38" s="33" t="s">
        <v>416</v>
      </c>
      <c r="F38" s="126">
        <f>LicenseeSelect!F559</f>
        <v>0</v>
      </c>
      <c r="G38" s="33" t="s">
        <v>109</v>
      </c>
      <c r="H38" s="126">
        <f>LicenseeSelect!H559</f>
        <v>0</v>
      </c>
      <c r="AU38" s="162">
        <f>LicenseeSelect!AU559</f>
        <v>1</v>
      </c>
      <c r="AV38" s="41">
        <f>LicenseeSelect!AV559</f>
        <v>1</v>
      </c>
      <c r="AW38" s="41">
        <f>LicenseeSelect!AW559</f>
        <v>1</v>
      </c>
      <c r="AX38" s="41">
        <f>LicenseeSelect!AX559</f>
        <v>1</v>
      </c>
      <c r="AY38" s="41">
        <f>LicenseeSelect!AY559</f>
        <v>1</v>
      </c>
      <c r="BA38" s="34" t="str">
        <f ca="1">$A$1</f>
        <v>Transform</v>
      </c>
      <c r="BB38" s="34" t="str">
        <f t="shared" si="3"/>
        <v>TIM and capitalisation</v>
      </c>
    </row>
    <row r="39" spans="1:55" x14ac:dyDescent="0.35">
      <c r="E39" s="33" t="s">
        <v>417</v>
      </c>
      <c r="F39" s="126">
        <f>LicenseeSelect!F556</f>
        <v>0</v>
      </c>
      <c r="G39" s="33" t="s">
        <v>109</v>
      </c>
      <c r="H39" s="126">
        <f>LicenseeSelect!H556</f>
        <v>0</v>
      </c>
      <c r="I39" s="41">
        <f>LicenseeSelect!I556</f>
        <v>0.5</v>
      </c>
      <c r="AU39" s="163"/>
      <c r="AV39"/>
      <c r="AW39"/>
      <c r="AX39"/>
      <c r="AY39"/>
      <c r="BA39" s="34" t="str">
        <f ca="1">$A$1</f>
        <v>Transform</v>
      </c>
      <c r="BB39" s="34" t="str">
        <f t="shared" si="3"/>
        <v>TIM and capitalisation</v>
      </c>
    </row>
    <row r="40" spans="1:55" x14ac:dyDescent="0.35">
      <c r="E40" s="33" t="s">
        <v>483</v>
      </c>
      <c r="G40" s="33" t="s">
        <v>109</v>
      </c>
      <c r="I40" s="40">
        <f>1-I39</f>
        <v>0.5</v>
      </c>
      <c r="BA40" s="34" t="str">
        <f ca="1">$A$1</f>
        <v>Transform</v>
      </c>
      <c r="BB40" s="34" t="str">
        <f t="shared" si="3"/>
        <v>TIM and capitalisation</v>
      </c>
    </row>
    <row r="41" spans="1:55" x14ac:dyDescent="0.35">
      <c r="BA41" s="34"/>
    </row>
    <row r="42" spans="1:55" ht="20" thickBot="1" x14ac:dyDescent="0.4">
      <c r="A42" s="7" t="s">
        <v>187</v>
      </c>
      <c r="BA42" s="34"/>
    </row>
    <row r="43" spans="1:55" ht="18" thickTop="1" thickBot="1" x14ac:dyDescent="0.4">
      <c r="B43" s="8" t="s">
        <v>273</v>
      </c>
      <c r="BA43" s="34"/>
    </row>
    <row r="44" spans="1:55" ht="16.5" thickTop="1" x14ac:dyDescent="0.35">
      <c r="E44" s="33" t="s">
        <v>197</v>
      </c>
      <c r="F44" s="126">
        <f>LicenseeSelect!F491</f>
        <v>0</v>
      </c>
      <c r="G44" s="33" t="s">
        <v>190</v>
      </c>
      <c r="H44" s="126">
        <f>LicenseeSelect!H491</f>
        <v>0</v>
      </c>
      <c r="I44" s="35">
        <f>LicenseeSelect!I491</f>
        <v>45</v>
      </c>
      <c r="BA44" s="34" t="str">
        <f ca="1">$A$1</f>
        <v>Transform</v>
      </c>
      <c r="BB44" s="34" t="str">
        <f>$A$42</f>
        <v>RAV and assets</v>
      </c>
      <c r="BC44" s="34" t="str">
        <f>$B$43</f>
        <v>FuelPoor</v>
      </c>
    </row>
    <row r="45" spans="1:55" x14ac:dyDescent="0.35">
      <c r="E45" s="33" t="s">
        <v>198</v>
      </c>
      <c r="F45" s="126">
        <f>LicenseeSelect!F492</f>
        <v>0</v>
      </c>
      <c r="G45" s="33" t="s">
        <v>190</v>
      </c>
      <c r="H45" s="126">
        <f>LicenseeSelect!H492</f>
        <v>0</v>
      </c>
      <c r="I45" s="35">
        <f>LicenseeSelect!I492</f>
        <v>5</v>
      </c>
      <c r="BA45" s="34" t="str">
        <f ca="1">$A$1</f>
        <v>Transform</v>
      </c>
      <c r="BB45" s="34" t="str">
        <f>$A$42</f>
        <v>RAV and assets</v>
      </c>
      <c r="BC45" s="34" t="str">
        <f>$B$43</f>
        <v>FuelPoor</v>
      </c>
    </row>
    <row r="46" spans="1:55" x14ac:dyDescent="0.35">
      <c r="E46" s="33" t="s">
        <v>199</v>
      </c>
      <c r="F46" s="126">
        <f>LicenseeSelect!F493</f>
        <v>0</v>
      </c>
      <c r="G46" s="33" t="str">
        <f>price_label</f>
        <v>£m 23/24 prices</v>
      </c>
      <c r="H46" s="126">
        <f>LicenseeSelect!H493</f>
        <v>0</v>
      </c>
      <c r="J46" s="33" t="s">
        <v>13</v>
      </c>
      <c r="AC46"/>
      <c r="AD46" s="36">
        <f>LicenseeSelect!AD493</f>
        <v>0</v>
      </c>
      <c r="AE46" s="36">
        <f>LicenseeSelect!AE493</f>
        <v>0</v>
      </c>
      <c r="AF46" s="36">
        <f>LicenseeSelect!AF493</f>
        <v>0</v>
      </c>
      <c r="AG46" s="36">
        <f>LicenseeSelect!AG493</f>
        <v>0</v>
      </c>
      <c r="AH46"/>
      <c r="AI46"/>
      <c r="AJ46"/>
      <c r="AK46"/>
      <c r="AL46"/>
      <c r="AM46"/>
      <c r="AN46"/>
      <c r="AO46"/>
      <c r="AP46"/>
      <c r="AQ46"/>
      <c r="AR46"/>
      <c r="AS46"/>
      <c r="AT46" s="61"/>
      <c r="AU46"/>
      <c r="AV46"/>
      <c r="AW46"/>
      <c r="AX46"/>
      <c r="AY46"/>
      <c r="BA46" s="34" t="str">
        <f ca="1">$A$1</f>
        <v>Transform</v>
      </c>
      <c r="BB46" s="34" t="str">
        <f>$A$42</f>
        <v>RAV and assets</v>
      </c>
      <c r="BC46" s="34" t="str">
        <f>$B$43</f>
        <v>FuelPoor</v>
      </c>
    </row>
    <row r="47" spans="1:55" x14ac:dyDescent="0.35">
      <c r="E47" s="33" t="s">
        <v>200</v>
      </c>
      <c r="F47" s="126">
        <f>LicenseeSelect!F494</f>
        <v>0</v>
      </c>
      <c r="G47" s="33" t="str">
        <f>price_label</f>
        <v>£m 23/24 prices</v>
      </c>
      <c r="H47" s="126">
        <f>LicenseeSelect!H494</f>
        <v>0</v>
      </c>
      <c r="J47" s="33" t="s">
        <v>13</v>
      </c>
      <c r="AC47"/>
      <c r="AD47" s="36">
        <f>LicenseeSelect!AD494</f>
        <v>0</v>
      </c>
      <c r="AE47" s="36">
        <f>LicenseeSelect!AE494</f>
        <v>0</v>
      </c>
      <c r="AF47" s="36">
        <f>LicenseeSelect!AF494</f>
        <v>0</v>
      </c>
      <c r="AG47" s="36">
        <f>LicenseeSelect!AG494</f>
        <v>0</v>
      </c>
      <c r="AH47"/>
      <c r="AI47"/>
      <c r="AJ47"/>
      <c r="AK47"/>
      <c r="AL47"/>
      <c r="AM47"/>
      <c r="AN47"/>
      <c r="AO47"/>
      <c r="AP47"/>
      <c r="AQ47"/>
      <c r="AR47"/>
      <c r="AS47"/>
      <c r="AT47" s="61"/>
      <c r="AU47"/>
      <c r="AV47"/>
      <c r="AW47"/>
      <c r="AX47"/>
      <c r="AY47"/>
      <c r="BA47" s="34" t="str">
        <f ca="1">$A$1</f>
        <v>Transform</v>
      </c>
      <c r="BB47" s="34" t="str">
        <f>$A$42</f>
        <v>RAV and assets</v>
      </c>
      <c r="BC47" s="34" t="str">
        <f>$B$43</f>
        <v>FuelPoor</v>
      </c>
    </row>
    <row r="48" spans="1:55" x14ac:dyDescent="0.35">
      <c r="E48" s="33" t="s">
        <v>201</v>
      </c>
      <c r="F48" s="126">
        <f>LicenseeSelect!F495</f>
        <v>0</v>
      </c>
      <c r="G48" s="33" t="str">
        <f>price_label</f>
        <v>£m 23/24 prices</v>
      </c>
      <c r="H48" s="126">
        <f>LicenseeSelect!H495</f>
        <v>0</v>
      </c>
      <c r="J48" s="33" t="s">
        <v>13</v>
      </c>
      <c r="AC48"/>
      <c r="AD48" s="36">
        <f>LicenseeSelect!AD495</f>
        <v>3.8738486569847601</v>
      </c>
      <c r="AE48" s="36">
        <f>LicenseeSelect!AE495</f>
        <v>6.4058681806719227</v>
      </c>
      <c r="AF48" s="36">
        <f>LicenseeSelect!AF495</f>
        <v>7.2340525287469379</v>
      </c>
      <c r="AG48" s="36">
        <f>LicenseeSelect!AG495</f>
        <v>5.2649264003666829</v>
      </c>
      <c r="AH48"/>
      <c r="AI48"/>
      <c r="AJ48"/>
      <c r="AK48"/>
      <c r="AL48"/>
      <c r="AM48"/>
      <c r="AN48"/>
      <c r="AO48"/>
      <c r="AP48"/>
      <c r="AQ48"/>
      <c r="AR48"/>
      <c r="AS48"/>
      <c r="AT48" s="61"/>
      <c r="AU48"/>
      <c r="AV48"/>
      <c r="AW48"/>
      <c r="AX48"/>
      <c r="AY48"/>
      <c r="BA48" s="34" t="str">
        <f ca="1">$A$1</f>
        <v>Transform</v>
      </c>
      <c r="BB48" s="34" t="str">
        <f>$A$42</f>
        <v>RAV and assets</v>
      </c>
      <c r="BC48" s="34" t="str">
        <f>$B$43</f>
        <v>FuelPoor</v>
      </c>
    </row>
    <row r="49" spans="1:55" x14ac:dyDescent="0.35">
      <c r="BA49" s="34"/>
    </row>
    <row r="50" spans="1:55" ht="17.5" thickBot="1" x14ac:dyDescent="0.4">
      <c r="B50" s="8" t="s">
        <v>188</v>
      </c>
      <c r="BA50" s="34"/>
    </row>
    <row r="51" spans="1:55" ht="16.5" thickTop="1" x14ac:dyDescent="0.35">
      <c r="E51" s="33" t="s">
        <v>412</v>
      </c>
      <c r="F51" s="126">
        <f>LicenseeSelect!F472</f>
        <v>0</v>
      </c>
      <c r="G51" s="33" t="str">
        <f>price_label</f>
        <v>£m 23/24 prices</v>
      </c>
      <c r="H51" s="126">
        <f>LicenseeSelect!H472</f>
        <v>0</v>
      </c>
      <c r="J51" s="33" t="s">
        <v>13</v>
      </c>
      <c r="AH51" s="36">
        <f>LicenseeSelect!AH472</f>
        <v>1398.6437346002203</v>
      </c>
      <c r="AU51"/>
      <c r="AV51"/>
      <c r="AW51"/>
      <c r="AX51"/>
      <c r="AY51"/>
      <c r="BA51" s="34" t="str">
        <f t="shared" ref="BA51:BA54" ca="1" si="4">$A$1</f>
        <v>Transform</v>
      </c>
      <c r="BB51" s="34" t="str">
        <f>$A$42</f>
        <v>RAV and assets</v>
      </c>
      <c r="BC51" s="34" t="str">
        <f>$B$50</f>
        <v>Pre-vesting assets</v>
      </c>
    </row>
    <row r="52" spans="1:55" x14ac:dyDescent="0.35">
      <c r="E52" s="33" t="s">
        <v>189</v>
      </c>
      <c r="F52" s="126">
        <f>LicenseeSelect!F473</f>
        <v>0</v>
      </c>
      <c r="G52" s="33" t="s">
        <v>190</v>
      </c>
      <c r="H52" s="126">
        <f>LicenseeSelect!H473</f>
        <v>0</v>
      </c>
      <c r="I52" s="35">
        <f>LicenseeSelect!I473</f>
        <v>56</v>
      </c>
      <c r="BA52" s="34" t="str">
        <f t="shared" ca="1" si="4"/>
        <v>Transform</v>
      </c>
      <c r="BB52" s="34" t="str">
        <f>$A$42</f>
        <v>RAV and assets</v>
      </c>
      <c r="BC52" s="34" t="str">
        <f>$B$50</f>
        <v>Pre-vesting assets</v>
      </c>
    </row>
    <row r="53" spans="1:55" x14ac:dyDescent="0.35">
      <c r="E53" s="33" t="s">
        <v>191</v>
      </c>
      <c r="F53" s="126">
        <f>LicenseeSelect!F474</f>
        <v>0</v>
      </c>
      <c r="G53" s="33" t="str">
        <f>price_label</f>
        <v>£m 23/24 prices</v>
      </c>
      <c r="H53" s="126">
        <f>LicenseeSelect!H474</f>
        <v>0</v>
      </c>
      <c r="J53" s="33" t="s">
        <v>13</v>
      </c>
      <c r="AH53" s="36">
        <f>LicenseeSelect!AH474</f>
        <v>0.32595209977257916</v>
      </c>
      <c r="AI53" s="36">
        <f>LicenseeSelect!AI474</f>
        <v>-0.32704485562675989</v>
      </c>
      <c r="AJ53" s="36">
        <f>LicenseeSelect!AJ474</f>
        <v>0</v>
      </c>
      <c r="AK53" s="36">
        <f>LicenseeSelect!AK474</f>
        <v>0</v>
      </c>
      <c r="AL53" s="36">
        <f>LicenseeSelect!AL474</f>
        <v>0</v>
      </c>
      <c r="AM53" s="36">
        <f>LicenseeSelect!AM474</f>
        <v>0</v>
      </c>
      <c r="AN53" s="36">
        <f>LicenseeSelect!AN474</f>
        <v>0</v>
      </c>
      <c r="AO53" s="36">
        <f>LicenseeSelect!AO474</f>
        <v>0</v>
      </c>
      <c r="AP53"/>
      <c r="AQ53"/>
      <c r="AR53"/>
      <c r="AS53"/>
      <c r="AT53" s="61"/>
      <c r="AU53"/>
      <c r="AV53"/>
      <c r="AW53"/>
      <c r="AX53"/>
      <c r="AY53"/>
      <c r="BA53" s="34" t="str">
        <f t="shared" ca="1" si="4"/>
        <v>Transform</v>
      </c>
      <c r="BB53" s="34" t="str">
        <f>$A$42</f>
        <v>RAV and assets</v>
      </c>
      <c r="BC53" s="34" t="str">
        <f>$B$50</f>
        <v>Pre-vesting assets</v>
      </c>
    </row>
    <row r="54" spans="1:55" x14ac:dyDescent="0.35">
      <c r="E54" s="33" t="s">
        <v>272</v>
      </c>
      <c r="F54" s="126">
        <f>LicenseeSelect!F475</f>
        <v>0</v>
      </c>
      <c r="G54" s="33" t="s">
        <v>190</v>
      </c>
      <c r="H54" s="126">
        <f>LicenseeSelect!H475</f>
        <v>0</v>
      </c>
      <c r="J54" s="33" t="s">
        <v>13</v>
      </c>
      <c r="AH54" s="35">
        <f>LicenseeSelect!AH475</f>
        <v>45</v>
      </c>
      <c r="AI54" s="35">
        <f>LicenseeSelect!AI475</f>
        <v>44</v>
      </c>
      <c r="AJ54" s="35">
        <f>LicenseeSelect!AJ475</f>
        <v>43</v>
      </c>
      <c r="AK54" s="35">
        <f>LicenseeSelect!AK475</f>
        <v>42</v>
      </c>
      <c r="AL54" s="35">
        <f>LicenseeSelect!AL475</f>
        <v>41</v>
      </c>
      <c r="AM54" s="35">
        <f>LicenseeSelect!AM475</f>
        <v>40</v>
      </c>
      <c r="AN54" s="35">
        <f>LicenseeSelect!AN475</f>
        <v>39</v>
      </c>
      <c r="AO54" s="35">
        <f>LicenseeSelect!AO475</f>
        <v>38</v>
      </c>
      <c r="AP54" s="35">
        <f>LicenseeSelect!AP475</f>
        <v>37</v>
      </c>
      <c r="AQ54" s="35">
        <f>LicenseeSelect!AQ475</f>
        <v>36</v>
      </c>
      <c r="AR54" s="35">
        <f>LicenseeSelect!AR475</f>
        <v>35</v>
      </c>
      <c r="AS54" s="35">
        <f>LicenseeSelect!AS475</f>
        <v>34</v>
      </c>
      <c r="AT54" s="179">
        <f>LicenseeSelect!AT475</f>
        <v>33</v>
      </c>
      <c r="AU54" s="164">
        <f>LicenseeSelect!AU475</f>
        <v>32</v>
      </c>
      <c r="AV54" s="35">
        <f>LicenseeSelect!AV475</f>
        <v>31</v>
      </c>
      <c r="AW54" s="35">
        <f>LicenseeSelect!AW475</f>
        <v>30</v>
      </c>
      <c r="AX54" s="35">
        <f>LicenseeSelect!AX475</f>
        <v>29</v>
      </c>
      <c r="AY54" s="35">
        <f>LicenseeSelect!AY475</f>
        <v>28</v>
      </c>
      <c r="BA54" s="34" t="str">
        <f t="shared" ca="1" si="4"/>
        <v>Transform</v>
      </c>
      <c r="BB54" s="34" t="str">
        <f>$A$42</f>
        <v>RAV and assets</v>
      </c>
      <c r="BC54" s="34" t="str">
        <f>$B$50</f>
        <v>Pre-vesting assets</v>
      </c>
    </row>
    <row r="55" spans="1:55" x14ac:dyDescent="0.35"/>
    <row r="56" spans="1:55" ht="17.5" thickBot="1" x14ac:dyDescent="0.4">
      <c r="B56" s="8" t="s">
        <v>192</v>
      </c>
      <c r="BA56" s="34"/>
    </row>
    <row r="57" spans="1:55" ht="16.5" thickTop="1" x14ac:dyDescent="0.35">
      <c r="E57" s="33" t="s">
        <v>197</v>
      </c>
      <c r="F57" s="126">
        <f>LicenseeSelect!F480</f>
        <v>0</v>
      </c>
      <c r="G57" s="33" t="s">
        <v>190</v>
      </c>
      <c r="H57" s="126">
        <f>LicenseeSelect!H480</f>
        <v>0</v>
      </c>
      <c r="I57" s="35">
        <f>LicenseeSelect!I480</f>
        <v>45</v>
      </c>
      <c r="BA57" s="34" t="str">
        <f t="shared" ref="BA57:BA61" ca="1" si="5">$A$1</f>
        <v>Transform</v>
      </c>
      <c r="BB57" s="34" t="str">
        <f t="shared" ref="BB57:BB62" si="6">$A$42</f>
        <v>RAV and assets</v>
      </c>
      <c r="BC57" s="34" t="str">
        <f t="shared" ref="BC57:BC62" si="7">$B$56</f>
        <v>Post-vesting assets</v>
      </c>
    </row>
    <row r="58" spans="1:55" x14ac:dyDescent="0.35">
      <c r="E58" s="33" t="s">
        <v>300</v>
      </c>
      <c r="F58" s="126">
        <f>LicenseeSelect!F481</f>
        <v>0</v>
      </c>
      <c r="G58" s="33" t="s">
        <v>190</v>
      </c>
      <c r="H58" s="126">
        <f>LicenseeSelect!H481</f>
        <v>0</v>
      </c>
      <c r="AH58" s="41">
        <f>LicenseeSelect!AH481</f>
        <v>0.15</v>
      </c>
      <c r="AI58" s="41">
        <f>LicenseeSelect!AI481</f>
        <v>0.15</v>
      </c>
      <c r="AJ58" s="41">
        <f>LicenseeSelect!AJ481</f>
        <v>2.5000000000000001E-2</v>
      </c>
      <c r="AK58" s="41">
        <f>LicenseeSelect!AK481</f>
        <v>0</v>
      </c>
      <c r="AL58" s="41">
        <f>LicenseeSelect!AL481</f>
        <v>0.05</v>
      </c>
      <c r="AM58" s="41">
        <f>LicenseeSelect!AM481</f>
        <v>0.125</v>
      </c>
      <c r="AN58" s="41">
        <f>LicenseeSelect!AN481</f>
        <v>0.2</v>
      </c>
      <c r="AO58" s="41">
        <f>LicenseeSelect!AO481</f>
        <v>0.3</v>
      </c>
      <c r="AP58"/>
      <c r="AQ58"/>
      <c r="AR58"/>
      <c r="AS58"/>
      <c r="AT58" s="61"/>
      <c r="AU58"/>
      <c r="AV58"/>
      <c r="AW58"/>
      <c r="AX58"/>
      <c r="AY58"/>
      <c r="BA58" s="34" t="str">
        <f t="shared" ca="1" si="5"/>
        <v>Transform</v>
      </c>
      <c r="BB58" s="34" t="str">
        <f t="shared" si="6"/>
        <v>RAV and assets</v>
      </c>
      <c r="BC58" s="34" t="str">
        <f t="shared" si="7"/>
        <v>Post-vesting assets</v>
      </c>
    </row>
    <row r="59" spans="1:55" x14ac:dyDescent="0.35">
      <c r="E59" s="33" t="s">
        <v>413</v>
      </c>
      <c r="F59" s="126">
        <f>LicenseeSelect!F482</f>
        <v>0</v>
      </c>
      <c r="G59" s="33" t="s">
        <v>193</v>
      </c>
      <c r="H59" s="126">
        <f>LicenseeSelect!H482</f>
        <v>0</v>
      </c>
      <c r="I59" s="81">
        <f>LicenseeSelect!I482</f>
        <v>41729</v>
      </c>
      <c r="BA59" s="34" t="str">
        <f t="shared" ca="1" si="5"/>
        <v>Transform</v>
      </c>
      <c r="BB59" s="34" t="str">
        <f t="shared" si="6"/>
        <v>RAV and assets</v>
      </c>
      <c r="BC59" s="34" t="str">
        <f t="shared" si="7"/>
        <v>Post-vesting assets</v>
      </c>
    </row>
    <row r="60" spans="1:55" x14ac:dyDescent="0.35">
      <c r="E60" s="33" t="s">
        <v>194</v>
      </c>
      <c r="F60" s="126">
        <f>LicenseeSelect!F483</f>
        <v>0</v>
      </c>
      <c r="G60" s="33" t="str">
        <f>price_label</f>
        <v>£m 23/24 prices</v>
      </c>
      <c r="H60" s="126">
        <f>LicenseeSelect!H483</f>
        <v>0</v>
      </c>
      <c r="J60" s="33" t="s">
        <v>13</v>
      </c>
      <c r="W60" s="36">
        <f>LicenseeSelect!W483</f>
        <v>91.905465427581476</v>
      </c>
      <c r="X60" s="36">
        <f>LicenseeSelect!X483</f>
        <v>79.115440417778871</v>
      </c>
      <c r="Y60" s="36">
        <f>LicenseeSelect!Y483</f>
        <v>57.28104057961589</v>
      </c>
      <c r="Z60" s="36">
        <f>LicenseeSelect!Z483</f>
        <v>66.994243886430311</v>
      </c>
      <c r="AA60" s="36">
        <f>LicenseeSelect!AA483</f>
        <v>49.644047772208971</v>
      </c>
      <c r="AB60" s="36">
        <f>LicenseeSelect!AB483</f>
        <v>133.37914749620904</v>
      </c>
      <c r="AC60" s="36">
        <f>LicenseeSelect!AC483</f>
        <v>144.02328495601324</v>
      </c>
      <c r="AD60" s="36">
        <f>LicenseeSelect!AD483</f>
        <v>189.59720839926936</v>
      </c>
      <c r="AE60" s="36">
        <f>LicenseeSelect!AE483</f>
        <v>197.52068254319832</v>
      </c>
      <c r="AF60" s="36">
        <f>LicenseeSelect!AF483</f>
        <v>177.25045037918576</v>
      </c>
      <c r="AG60" s="36">
        <f>LicenseeSelect!AG483</f>
        <v>110.81029182430835</v>
      </c>
      <c r="AU60"/>
      <c r="AV60"/>
      <c r="AW60"/>
      <c r="AX60"/>
      <c r="AY60"/>
      <c r="BA60" s="34" t="str">
        <f t="shared" ca="1" si="5"/>
        <v>Transform</v>
      </c>
      <c r="BB60" s="34" t="str">
        <f t="shared" si="6"/>
        <v>RAV and assets</v>
      </c>
      <c r="BC60" s="34" t="str">
        <f t="shared" si="7"/>
        <v>Post-vesting assets</v>
      </c>
    </row>
    <row r="61" spans="1:55" x14ac:dyDescent="0.35">
      <c r="E61" s="33" t="s">
        <v>610</v>
      </c>
      <c r="F61" s="126">
        <f>LicenseeSelect!F484</f>
        <v>0</v>
      </c>
      <c r="G61" s="33" t="str">
        <f>price_label</f>
        <v>£m 23/24 prices</v>
      </c>
      <c r="H61" s="126">
        <f>LicenseeSelect!H484</f>
        <v>0</v>
      </c>
      <c r="J61" s="33" t="s">
        <v>13</v>
      </c>
      <c r="AH61" s="36">
        <f>LicenseeSelect!AH484</f>
        <v>113.32221010949328</v>
      </c>
      <c r="AI61" s="36">
        <f>LicenseeSelect!AI484</f>
        <v>109.76500366917041</v>
      </c>
      <c r="AJ61" s="36">
        <f>LicenseeSelect!AJ484</f>
        <v>114.22336322517508</v>
      </c>
      <c r="AK61" s="36">
        <f>LicenseeSelect!AK484</f>
        <v>127.54784733053384</v>
      </c>
      <c r="AL61" s="36">
        <f>LicenseeSelect!AL484</f>
        <v>128.38622713335945</v>
      </c>
      <c r="AM61" s="36">
        <f>LicenseeSelect!AM484</f>
        <v>141.61228861219638</v>
      </c>
      <c r="AN61" s="36">
        <f>LicenseeSelect!AN484</f>
        <v>135.54680984121518</v>
      </c>
      <c r="AO61" s="36">
        <f>LicenseeSelect!AO484</f>
        <v>131.03123438949584</v>
      </c>
      <c r="AP61" s="36">
        <f>LicenseeSelect!AP484</f>
        <v>127.80430836953926</v>
      </c>
      <c r="AQ61" s="36">
        <f>LicenseeSelect!AQ484</f>
        <v>139.25083719589287</v>
      </c>
      <c r="AR61" s="36">
        <f>LicenseeSelect!AR484</f>
        <v>156.62287921155232</v>
      </c>
      <c r="AS61" s="36">
        <f>LicenseeSelect!AS484</f>
        <v>155.47122631923617</v>
      </c>
      <c r="AT61" s="180">
        <f>LicenseeSelect!AT484</f>
        <v>165.11064032006806</v>
      </c>
      <c r="AU61"/>
      <c r="AV61"/>
      <c r="AW61"/>
      <c r="AX61"/>
      <c r="AY61"/>
      <c r="BA61" s="34" t="str">
        <f t="shared" ca="1" si="5"/>
        <v>Transform</v>
      </c>
      <c r="BB61" s="34" t="str">
        <f t="shared" si="6"/>
        <v>RAV and assets</v>
      </c>
      <c r="BC61" s="34" t="str">
        <f t="shared" si="7"/>
        <v>Post-vesting assets</v>
      </c>
    </row>
    <row r="62" spans="1:55" x14ac:dyDescent="0.35">
      <c r="A62"/>
      <c r="AP62"/>
      <c r="AQ62"/>
      <c r="AR62"/>
      <c r="AS62"/>
      <c r="AT62" s="181"/>
      <c r="AU62"/>
      <c r="AV62"/>
      <c r="AW62"/>
      <c r="AX62"/>
      <c r="AY62"/>
      <c r="BA62" s="34" t="str">
        <f ca="1">$A$1</f>
        <v>Transform</v>
      </c>
      <c r="BB62" s="34" t="str">
        <f t="shared" si="6"/>
        <v>RAV and assets</v>
      </c>
      <c r="BC62" s="34" t="str">
        <f t="shared" si="7"/>
        <v>Post-vesting assets</v>
      </c>
    </row>
    <row r="63" spans="1:55" x14ac:dyDescent="0.35">
      <c r="E63" s="33" t="s">
        <v>550</v>
      </c>
      <c r="F63" s="126">
        <f>LicenseeSelect!F486</f>
        <v>0</v>
      </c>
      <c r="G63" s="33" t="s">
        <v>193</v>
      </c>
      <c r="H63" s="126">
        <f>LicenseeSelect!H486</f>
        <v>0</v>
      </c>
      <c r="I63" s="81">
        <f>LicenseeSelect!I486</f>
        <v>54878</v>
      </c>
      <c r="BA63" s="34"/>
    </row>
    <row r="64" spans="1:55" x14ac:dyDescent="0.35">
      <c r="E64" s="33" t="s">
        <v>551</v>
      </c>
      <c r="F64" s="126">
        <f>LicenseeSelect!F487</f>
        <v>0</v>
      </c>
      <c r="G64" s="33" t="s">
        <v>236</v>
      </c>
      <c r="H64" s="126">
        <f>LicenseeSelect!H487</f>
        <v>0</v>
      </c>
      <c r="I64"/>
      <c r="J64" s="33" t="s">
        <v>13</v>
      </c>
      <c r="X64" s="35">
        <f>LicenseeSelect!X487</f>
        <v>0</v>
      </c>
      <c r="Y64" s="35">
        <f>LicenseeSelect!Y487</f>
        <v>0</v>
      </c>
      <c r="Z64" s="35">
        <f>LicenseeSelect!Z487</f>
        <v>0</v>
      </c>
      <c r="AA64" s="35">
        <f>LicenseeSelect!AA487</f>
        <v>0</v>
      </c>
      <c r="AB64" s="35">
        <f>LicenseeSelect!AB487</f>
        <v>0</v>
      </c>
      <c r="AC64" s="35">
        <f>LicenseeSelect!AC487</f>
        <v>0</v>
      </c>
      <c r="AD64" s="35">
        <f>LicenseeSelect!AD487</f>
        <v>0</v>
      </c>
      <c r="AE64" s="35">
        <f>LicenseeSelect!AE487</f>
        <v>0</v>
      </c>
      <c r="AF64" s="35">
        <f>LicenseeSelect!AF487</f>
        <v>0</v>
      </c>
      <c r="AG64" s="35">
        <f>LicenseeSelect!AG487</f>
        <v>0</v>
      </c>
      <c r="AH64" s="35">
        <f>LicenseeSelect!AH487</f>
        <v>0</v>
      </c>
      <c r="AI64" s="35">
        <f>LicenseeSelect!AI487</f>
        <v>0</v>
      </c>
      <c r="AJ64" s="35">
        <f>LicenseeSelect!AJ487</f>
        <v>0</v>
      </c>
      <c r="AK64" s="35">
        <f>LicenseeSelect!AK487</f>
        <v>0</v>
      </c>
      <c r="AL64" s="35">
        <f>LicenseeSelect!AL487</f>
        <v>0</v>
      </c>
      <c r="AM64" s="35">
        <f>LicenseeSelect!AM487</f>
        <v>0</v>
      </c>
      <c r="AN64" s="35">
        <f>LicenseeSelect!AN487</f>
        <v>0</v>
      </c>
      <c r="AO64" s="35">
        <f>LicenseeSelect!AO487</f>
        <v>0</v>
      </c>
      <c r="AP64" s="35">
        <f>LicenseeSelect!AP487</f>
        <v>0</v>
      </c>
      <c r="AQ64" s="35">
        <f>LicenseeSelect!AQ487</f>
        <v>0</v>
      </c>
      <c r="AR64" s="35">
        <f>LicenseeSelect!AR487</f>
        <v>0</v>
      </c>
      <c r="AS64" s="35">
        <f>LicenseeSelect!AS487</f>
        <v>0</v>
      </c>
      <c r="AT64" s="179">
        <f>LicenseeSelect!AT487</f>
        <v>0</v>
      </c>
      <c r="AU64" s="164">
        <f>LicenseeSelect!AU487</f>
        <v>0</v>
      </c>
      <c r="AV64" s="35">
        <f>LicenseeSelect!AV487</f>
        <v>0</v>
      </c>
      <c r="AW64" s="35">
        <f>LicenseeSelect!AW487</f>
        <v>0</v>
      </c>
      <c r="AX64" s="35">
        <f>LicenseeSelect!AX487</f>
        <v>0</v>
      </c>
      <c r="AY64" s="35">
        <f>LicenseeSelect!AY487</f>
        <v>0</v>
      </c>
      <c r="BA64" s="34" t="str">
        <f t="shared" ref="BA64:BA65" ca="1" si="8">$A$1</f>
        <v>Transform</v>
      </c>
      <c r="BB64" s="34" t="str">
        <f>$A$42</f>
        <v>RAV and assets</v>
      </c>
      <c r="BC64" s="34" t="str">
        <f>$B$56</f>
        <v>Post-vesting assets</v>
      </c>
    </row>
    <row r="65" spans="1:55" x14ac:dyDescent="0.35">
      <c r="E65" s="33" t="s">
        <v>490</v>
      </c>
      <c r="F65" s="126">
        <f>LicenseeSelect!F488</f>
        <v>0</v>
      </c>
      <c r="G65" s="33" t="s">
        <v>77</v>
      </c>
      <c r="H65" s="126">
        <f>LicenseeSelect!H488</f>
        <v>0</v>
      </c>
      <c r="I65"/>
      <c r="J65" s="33" t="s">
        <v>13</v>
      </c>
      <c r="X65" s="35">
        <f>LicenseeSelect!X488</f>
        <v>0</v>
      </c>
      <c r="Y65" s="35">
        <f>LicenseeSelect!Y488</f>
        <v>0</v>
      </c>
      <c r="Z65" s="35">
        <f>LicenseeSelect!Z488</f>
        <v>0</v>
      </c>
      <c r="AA65" s="35">
        <f>LicenseeSelect!AA488</f>
        <v>0</v>
      </c>
      <c r="AB65" s="35">
        <f>LicenseeSelect!AB488</f>
        <v>0</v>
      </c>
      <c r="AC65" s="35">
        <f>LicenseeSelect!AC488</f>
        <v>0</v>
      </c>
      <c r="AD65" s="35">
        <f>LicenseeSelect!AD488</f>
        <v>0</v>
      </c>
      <c r="AE65" s="35">
        <f>LicenseeSelect!AE488</f>
        <v>0</v>
      </c>
      <c r="AF65" s="35">
        <f>LicenseeSelect!AF488</f>
        <v>0</v>
      </c>
      <c r="AG65" s="35">
        <f>LicenseeSelect!AG488</f>
        <v>0</v>
      </c>
      <c r="AH65" s="35">
        <f>LicenseeSelect!AH488</f>
        <v>0</v>
      </c>
      <c r="AI65" s="35">
        <f>LicenseeSelect!AI488</f>
        <v>0</v>
      </c>
      <c r="AJ65" s="35">
        <f>LicenseeSelect!AJ488</f>
        <v>0</v>
      </c>
      <c r="AK65" s="35">
        <f>LicenseeSelect!AK488</f>
        <v>0</v>
      </c>
      <c r="AL65" s="35">
        <f>LicenseeSelect!AL488</f>
        <v>0</v>
      </c>
      <c r="AM65" s="35">
        <f>LicenseeSelect!AM488</f>
        <v>0</v>
      </c>
      <c r="AN65" s="35">
        <f>LicenseeSelect!AN488</f>
        <v>0</v>
      </c>
      <c r="AO65" s="35">
        <f>LicenseeSelect!AO488</f>
        <v>0</v>
      </c>
      <c r="AP65" s="35">
        <f>LicenseeSelect!AP488</f>
        <v>0</v>
      </c>
      <c r="AQ65" s="35">
        <f>LicenseeSelect!AQ488</f>
        <v>0</v>
      </c>
      <c r="AR65" s="35">
        <f>LicenseeSelect!AR488</f>
        <v>0</v>
      </c>
      <c r="AS65" s="35">
        <f>LicenseeSelect!AS488</f>
        <v>0</v>
      </c>
      <c r="AT65" s="179">
        <f>LicenseeSelect!AT488</f>
        <v>0</v>
      </c>
      <c r="AU65" s="164">
        <f>LicenseeSelect!AU488</f>
        <v>0</v>
      </c>
      <c r="AV65" s="35">
        <f>LicenseeSelect!AV488</f>
        <v>0</v>
      </c>
      <c r="AW65" s="35">
        <f>LicenseeSelect!AW488</f>
        <v>0</v>
      </c>
      <c r="AX65" s="35">
        <f>LicenseeSelect!AX488</f>
        <v>0</v>
      </c>
      <c r="AY65" s="35">
        <f>LicenseeSelect!AY488</f>
        <v>0</v>
      </c>
      <c r="BA65" s="34" t="str">
        <f t="shared" ca="1" si="8"/>
        <v>Transform</v>
      </c>
      <c r="BB65" s="34" t="str">
        <f>$A$42</f>
        <v>RAV and assets</v>
      </c>
      <c r="BC65" s="34" t="str">
        <f>$B$56</f>
        <v>Post-vesting assets</v>
      </c>
    </row>
    <row r="66" spans="1:55" customFormat="1" ht="14.5" x14ac:dyDescent="0.35">
      <c r="E66" s="33"/>
      <c r="F66" s="127"/>
      <c r="H66" s="127"/>
      <c r="AT66" s="61"/>
      <c r="BA66" s="34"/>
      <c r="BB66" s="1"/>
      <c r="BC66" s="1"/>
    </row>
    <row r="67" spans="1:55" customFormat="1" ht="14.5" x14ac:dyDescent="0.35">
      <c r="E67" s="33" t="s">
        <v>558</v>
      </c>
      <c r="F67" s="127">
        <f>LicenseeSelect!F478</f>
        <v>0</v>
      </c>
      <c r="G67" t="str">
        <f>price_label</f>
        <v>£m 23/24 prices</v>
      </c>
      <c r="H67" s="127">
        <f>LicenseeSelect!H478</f>
        <v>0</v>
      </c>
      <c r="J67" t="s">
        <v>13</v>
      </c>
      <c r="AH67" s="27">
        <f>LicenseeSelect!AH478</f>
        <v>2095.5788454953899</v>
      </c>
      <c r="AI67" s="27">
        <f>LicenseeSelect!AI478</f>
        <v>2096.4366763908479</v>
      </c>
      <c r="AJ67" s="27">
        <f>LicenseeSelect!AJ478</f>
        <v>2111.1742200829735</v>
      </c>
      <c r="AK67" s="27">
        <f>LicenseeSelect!AK478</f>
        <v>2139.0912178938702</v>
      </c>
      <c r="AL67" s="27">
        <f>LicenseeSelect!AL478</f>
        <v>2159.871609026854</v>
      </c>
      <c r="AM67" s="27">
        <f>LicenseeSelect!AM478</f>
        <v>2183.5361945520353</v>
      </c>
      <c r="AN67" s="27">
        <f>LicenseeSelect!AN478</f>
        <v>2190.3424327322405</v>
      </c>
      <c r="AO67" s="27">
        <f>LicenseeSelect!AO478</f>
        <v>2179.7871028770651</v>
      </c>
      <c r="AP67" s="27">
        <f>LicenseeSelect!AP478</f>
        <v>2192.7447700106682</v>
      </c>
      <c r="AQ67" s="27">
        <f>LicenseeSelect!AQ478</f>
        <v>2214.711822994399</v>
      </c>
      <c r="AR67" s="27">
        <f>LicenseeSelect!AR478</f>
        <v>2251.2395822747467</v>
      </c>
      <c r="AS67" s="27">
        <f>LicenseeSelect!AS478</f>
        <v>2283.1835886408285</v>
      </c>
      <c r="AT67" s="72">
        <f>LicenseeSelect!AT478</f>
        <v>2321.5363073040198</v>
      </c>
      <c r="BA67" s="34" t="str">
        <f ca="1">$A$1</f>
        <v>Transform</v>
      </c>
      <c r="BB67" s="34" t="str">
        <f>$A$42</f>
        <v>RAV and assets</v>
      </c>
      <c r="BC67" s="34" t="str">
        <f>$B$56</f>
        <v>Post-vesting assets</v>
      </c>
    </row>
    <row r="68" spans="1:55" customFormat="1" ht="14.5" x14ac:dyDescent="0.35">
      <c r="E68" s="33"/>
      <c r="F68" s="127"/>
      <c r="H68" s="127"/>
      <c r="AT68" s="61"/>
      <c r="BA68" s="34"/>
      <c r="BB68" s="1"/>
      <c r="BC68" s="1"/>
    </row>
    <row r="69" spans="1:55" ht="20" thickBot="1" x14ac:dyDescent="0.4">
      <c r="A69" s="7" t="s">
        <v>27</v>
      </c>
      <c r="BA69" s="34"/>
    </row>
    <row r="70" spans="1:55" ht="16.5" thickTop="1" x14ac:dyDescent="0.35">
      <c r="E70" s="33" t="s">
        <v>28</v>
      </c>
      <c r="F70" s="126" t="str">
        <f>LicenseeSelect!F26</f>
        <v>SpC 6.1</v>
      </c>
      <c r="G70" s="33" t="str">
        <f t="shared" ref="G70:G81" si="9">price_label</f>
        <v>£m 23/24 prices</v>
      </c>
      <c r="H70" s="126" t="str">
        <f>LicenseeSelect!H26</f>
        <v>SLt</v>
      </c>
      <c r="AU70" s="330">
        <f>LicenseeSelect!AU26/PCf</f>
        <v>2.9475593637643742</v>
      </c>
      <c r="AV70" s="36">
        <f>LicenseeSelect!AV26/PCf</f>
        <v>2.7906902561418852</v>
      </c>
      <c r="AW70" s="36">
        <f>LicenseeSelect!AW26/PCf</f>
        <v>2.6260815184923163</v>
      </c>
      <c r="AX70" s="36">
        <f>LicenseeSelect!AX26/PCf</f>
        <v>2.5725993563707346</v>
      </c>
      <c r="AY70" s="36">
        <f>LicenseeSelect!AY26/PCf</f>
        <v>2.5264571141628336</v>
      </c>
      <c r="BA70" s="34" t="str">
        <f t="shared" ref="BA70:BA81" ca="1" si="10">$A$1</f>
        <v>Transform</v>
      </c>
      <c r="BB70" s="34" t="str">
        <f t="shared" ref="BB70:BB81" si="11">$A$69</f>
        <v>Pass-through costs</v>
      </c>
    </row>
    <row r="71" spans="1:55" x14ac:dyDescent="0.35">
      <c r="E71" s="33" t="s">
        <v>31</v>
      </c>
      <c r="F71" s="126" t="str">
        <f>LicenseeSelect!F27</f>
        <v>SpC 6.1</v>
      </c>
      <c r="G71" s="33" t="str">
        <f t="shared" si="9"/>
        <v>£m 23/24 prices</v>
      </c>
      <c r="H71" s="126" t="str">
        <f>LicenseeSelect!H27</f>
        <v>LFt</v>
      </c>
      <c r="AU71" s="330">
        <f>LicenseeSelect!AU27/PCf</f>
        <v>2.6601068964003671</v>
      </c>
      <c r="AV71" s="36">
        <f>LicenseeSelect!AV27/PCf</f>
        <v>2.6565633189279789</v>
      </c>
      <c r="AW71" s="36">
        <f>LicenseeSelect!AW27/PCf</f>
        <v>2.6533962315645749</v>
      </c>
      <c r="AX71" s="36">
        <f>LicenseeSelect!AX27/PCf</f>
        <v>2.6506178105857003</v>
      </c>
      <c r="AY71" s="36">
        <f>LicenseeSelect!AY27/PCf</f>
        <v>2.6472008040344286</v>
      </c>
      <c r="BA71" s="34" t="str">
        <f t="shared" ca="1" si="10"/>
        <v>Transform</v>
      </c>
      <c r="BB71" s="34" t="str">
        <f t="shared" si="11"/>
        <v>Pass-through costs</v>
      </c>
    </row>
    <row r="72" spans="1:55" x14ac:dyDescent="0.35">
      <c r="E72" s="33" t="s">
        <v>33</v>
      </c>
      <c r="F72" s="126" t="str">
        <f>LicenseeSelect!F28</f>
        <v>SpC 6.1</v>
      </c>
      <c r="G72" s="33" t="str">
        <f t="shared" si="9"/>
        <v>£m 23/24 prices</v>
      </c>
      <c r="H72" s="126" t="str">
        <f>LicenseeSelect!H28</f>
        <v>RBt</v>
      </c>
      <c r="AU72" s="330">
        <f>LicenseeSelect!AU28/PCf</f>
        <v>44.316950343624093</v>
      </c>
      <c r="AV72" s="36">
        <f>LicenseeSelect!AV28/PCf</f>
        <v>44.207252261391254</v>
      </c>
      <c r="AW72" s="36">
        <f>LicenseeSelect!AW28/PCf</f>
        <v>44.168952416522245</v>
      </c>
      <c r="AX72" s="36">
        <f>LicenseeSelect!AX28/PCf</f>
        <v>44.168952416522245</v>
      </c>
      <c r="AY72" s="36">
        <f>LicenseeSelect!AY28/PCf</f>
        <v>44.168952416522252</v>
      </c>
      <c r="BA72" s="34" t="str">
        <f t="shared" ca="1" si="10"/>
        <v>Transform</v>
      </c>
      <c r="BB72" s="34" t="str">
        <f t="shared" si="11"/>
        <v>Pass-through costs</v>
      </c>
    </row>
    <row r="73" spans="1:55" x14ac:dyDescent="0.35">
      <c r="E73" s="33" t="s">
        <v>35</v>
      </c>
      <c r="F73" s="126" t="str">
        <f>LicenseeSelect!F29</f>
        <v>SpC 6.1</v>
      </c>
      <c r="G73" s="33" t="str">
        <f t="shared" si="9"/>
        <v>£m 23/24 prices</v>
      </c>
      <c r="H73" s="126" t="str">
        <f>LicenseeSelect!H29</f>
        <v>EDEt</v>
      </c>
      <c r="AU73" s="330">
        <f>LicenseeSelect!AU29</f>
        <v>-0.1</v>
      </c>
      <c r="AV73" s="36">
        <f>LicenseeSelect!AV29</f>
        <v>0</v>
      </c>
      <c r="AW73" s="36">
        <f>LicenseeSelect!AW29</f>
        <v>0</v>
      </c>
      <c r="AX73" s="36">
        <f>LicenseeSelect!AX29</f>
        <v>0</v>
      </c>
      <c r="AY73" s="36">
        <f>LicenseeSelect!AY29</f>
        <v>0</v>
      </c>
      <c r="BA73" s="34" t="str">
        <f t="shared" ca="1" si="10"/>
        <v>Transform</v>
      </c>
      <c r="BB73" s="34" t="str">
        <f t="shared" si="11"/>
        <v>Pass-through costs</v>
      </c>
    </row>
    <row r="74" spans="1:55" x14ac:dyDescent="0.35">
      <c r="E74" s="33" t="s">
        <v>37</v>
      </c>
      <c r="F74" s="126" t="str">
        <f>LicenseeSelect!F30</f>
        <v>SpC 6.1</v>
      </c>
      <c r="G74" s="33" t="str">
        <f t="shared" si="9"/>
        <v>£m 23/24 prices</v>
      </c>
      <c r="H74" s="126" t="str">
        <f>LicenseeSelect!H30</f>
        <v>TPWIt</v>
      </c>
      <c r="AU74" s="330">
        <f>LicenseeSelect!AU30</f>
        <v>0</v>
      </c>
      <c r="AV74" s="36">
        <f>LicenseeSelect!AV30</f>
        <v>0</v>
      </c>
      <c r="AW74" s="36">
        <f>LicenseeSelect!AW30</f>
        <v>0</v>
      </c>
      <c r="AX74" s="36">
        <f>LicenseeSelect!AX30</f>
        <v>0</v>
      </c>
      <c r="AY74" s="36">
        <f>LicenseeSelect!AY30</f>
        <v>0</v>
      </c>
      <c r="BA74" s="34" t="str">
        <f t="shared" ca="1" si="10"/>
        <v>Transform</v>
      </c>
      <c r="BB74" s="34" t="str">
        <f t="shared" si="11"/>
        <v>Pass-through costs</v>
      </c>
    </row>
    <row r="75" spans="1:55" x14ac:dyDescent="0.35">
      <c r="E75" s="33" t="s">
        <v>39</v>
      </c>
      <c r="F75" s="126" t="str">
        <f>LicenseeSelect!F31</f>
        <v>SpC 6.1</v>
      </c>
      <c r="G75" s="33" t="str">
        <f t="shared" si="9"/>
        <v>£m 23/24 prices</v>
      </c>
      <c r="H75" s="126" t="str">
        <f>LicenseeSelect!H31</f>
        <v>TGt</v>
      </c>
      <c r="AU75" s="330">
        <f>LicenseeSelect!AU31/PCf</f>
        <v>0</v>
      </c>
      <c r="AV75" s="36">
        <f>LicenseeSelect!AV31/PCf</f>
        <v>0</v>
      </c>
      <c r="AW75" s="36">
        <f>LicenseeSelect!AW31/PCf</f>
        <v>0</v>
      </c>
      <c r="AX75" s="36">
        <f>LicenseeSelect!AX31/PCf</f>
        <v>0</v>
      </c>
      <c r="AY75" s="36">
        <f>LicenseeSelect!AY31/PCf</f>
        <v>0</v>
      </c>
      <c r="BA75" s="34" t="str">
        <f t="shared" ca="1" si="10"/>
        <v>Transform</v>
      </c>
      <c r="BB75" s="34" t="str">
        <f t="shared" si="11"/>
        <v>Pass-through costs</v>
      </c>
    </row>
    <row r="76" spans="1:55" x14ac:dyDescent="0.35">
      <c r="E76" s="33" t="s">
        <v>41</v>
      </c>
      <c r="F76" s="126" t="str">
        <f>LicenseeSelect!F32</f>
        <v>SpC 6.1</v>
      </c>
      <c r="G76" s="33" t="str">
        <f t="shared" si="9"/>
        <v>£m 23/24 prices</v>
      </c>
      <c r="H76" s="126" t="str">
        <f>LicenseeSelect!H32</f>
        <v>ECt</v>
      </c>
      <c r="AU76" s="330">
        <f>LicenseeSelect!AU32/PCf</f>
        <v>37.635921209208249</v>
      </c>
      <c r="AV76" s="36">
        <f>LicenseeSelect!AV32/PCf</f>
        <v>40.596916859204846</v>
      </c>
      <c r="AW76" s="36">
        <f>LicenseeSelect!AW32/PCf</f>
        <v>41.47244730063241</v>
      </c>
      <c r="AX76" s="36">
        <f>LicenseeSelect!AX32/PCf</f>
        <v>42.72307605932798</v>
      </c>
      <c r="AY76" s="36">
        <f>LicenseeSelect!AY32/PCf</f>
        <v>42.53866577763926</v>
      </c>
      <c r="BA76" s="34" t="str">
        <f t="shared" ca="1" si="10"/>
        <v>Transform</v>
      </c>
      <c r="BB76" s="34" t="str">
        <f t="shared" si="11"/>
        <v>Pass-through costs</v>
      </c>
    </row>
    <row r="77" spans="1:55" x14ac:dyDescent="0.35">
      <c r="E77" s="33" t="s">
        <v>43</v>
      </c>
      <c r="F77" s="126" t="str">
        <f>LicenseeSelect!F33</f>
        <v>SpC 6.1</v>
      </c>
      <c r="G77" s="33" t="str">
        <f t="shared" si="9"/>
        <v>£m 23/24 prices</v>
      </c>
      <c r="H77" s="126" t="str">
        <f>LicenseeSelect!H33</f>
        <v>CDSPt</v>
      </c>
      <c r="AU77" s="330">
        <f>LicenseeSelect!AU33/PCf</f>
        <v>2.9208422710698887</v>
      </c>
      <c r="AV77" s="36">
        <f>LicenseeSelect!AV33/PCf</f>
        <v>2.8597562384261339</v>
      </c>
      <c r="AW77" s="36">
        <f>LicenseeSelect!AW33/PCf</f>
        <v>2.7128294791133496</v>
      </c>
      <c r="AX77" s="36">
        <f>LicenseeSelect!AX33/PCf</f>
        <v>2.7099888244658401</v>
      </c>
      <c r="AY77" s="36">
        <f>LicenseeSelect!AY33/PCf</f>
        <v>2.7064952806097282</v>
      </c>
      <c r="BA77" s="34" t="str">
        <f t="shared" ca="1" si="10"/>
        <v>Transform</v>
      </c>
      <c r="BB77" s="34" t="str">
        <f t="shared" si="11"/>
        <v>Pass-through costs</v>
      </c>
    </row>
    <row r="78" spans="1:55" x14ac:dyDescent="0.35">
      <c r="E78" s="33" t="s">
        <v>45</v>
      </c>
      <c r="F78" s="126" t="str">
        <f>LicenseeSelect!F34</f>
        <v>SpC 6.1</v>
      </c>
      <c r="G78" s="33" t="str">
        <f t="shared" si="9"/>
        <v>£m 23/24 prices</v>
      </c>
      <c r="H78" s="126" t="str">
        <f>LicenseeSelect!H34</f>
        <v>MPt</v>
      </c>
      <c r="AU78" s="330">
        <f>LicenseeSelect!AU34/PCf</f>
        <v>-2.9760516349986545</v>
      </c>
      <c r="AV78" s="36">
        <f>LicenseeSelect!AV34/PCf</f>
        <v>0</v>
      </c>
      <c r="AW78" s="36">
        <f>LicenseeSelect!AW34/PCf</f>
        <v>0</v>
      </c>
      <c r="AX78" s="36">
        <f>LicenseeSelect!AX34/PCf</f>
        <v>0</v>
      </c>
      <c r="AY78" s="36">
        <f>LicenseeSelect!AY34/PCf</f>
        <v>0</v>
      </c>
      <c r="BA78" s="34" t="str">
        <f t="shared" ca="1" si="10"/>
        <v>Transform</v>
      </c>
      <c r="BB78" s="34" t="str">
        <f t="shared" si="11"/>
        <v>Pass-through costs</v>
      </c>
    </row>
    <row r="79" spans="1:55" x14ac:dyDescent="0.35">
      <c r="E79" s="33" t="s">
        <v>596</v>
      </c>
      <c r="F79" s="126" t="str">
        <f>LicenseeSelect!F35</f>
        <v>SpC 6.1</v>
      </c>
      <c r="G79" s="33" t="str">
        <f t="shared" si="9"/>
        <v>£m 23/24 prices</v>
      </c>
      <c r="H79" s="126" t="str">
        <f>LicenseeSelect!H35</f>
        <v>SLRt</v>
      </c>
      <c r="AU79" s="330">
        <f>LicenseeSelect!AU35/PCf</f>
        <v>0</v>
      </c>
      <c r="AV79" s="36">
        <f>LicenseeSelect!AV35/PCf</f>
        <v>0</v>
      </c>
      <c r="AW79" s="36">
        <f>LicenseeSelect!AW35/PCf</f>
        <v>0</v>
      </c>
      <c r="AX79" s="36">
        <f>LicenseeSelect!AX35/PCf</f>
        <v>0</v>
      </c>
      <c r="AY79" s="36">
        <f>LicenseeSelect!AY35/PCf</f>
        <v>0</v>
      </c>
      <c r="BA79" s="34" t="str">
        <f t="shared" ca="1" si="10"/>
        <v>Transform</v>
      </c>
      <c r="BB79" s="34" t="str">
        <f t="shared" si="11"/>
        <v>Pass-through costs</v>
      </c>
    </row>
    <row r="80" spans="1:55" x14ac:dyDescent="0.35">
      <c r="E80" s="33" t="s">
        <v>47</v>
      </c>
      <c r="F80" s="126" t="str">
        <f>LicenseeSelect!F36</f>
        <v>SpC 6.1</v>
      </c>
      <c r="G80" s="33" t="str">
        <f t="shared" si="9"/>
        <v>£m 23/24 prices</v>
      </c>
      <c r="H80" s="126" t="str">
        <f>LicenseeSelect!H36</f>
        <v>SLDZt</v>
      </c>
      <c r="AU80" s="330">
        <f>LicenseeSelect!AU36/PCf</f>
        <v>0.81179330694076457</v>
      </c>
      <c r="AV80" s="36">
        <f>LicenseeSelect!AV36/PCf</f>
        <v>0.78795720670552971</v>
      </c>
      <c r="AW80" s="36">
        <f>LicenseeSelect!AW36/PCf</f>
        <v>0.78686046968655377</v>
      </c>
      <c r="AX80" s="36">
        <f>LicenseeSelect!AX36/PCf</f>
        <v>0.77932309069461547</v>
      </c>
      <c r="AY80" s="36">
        <f>LicenseeSelect!AY36/PCf</f>
        <v>0.77831843732820949</v>
      </c>
      <c r="BA80" s="34" t="str">
        <f t="shared" ca="1" si="10"/>
        <v>Transform</v>
      </c>
      <c r="BB80" s="34" t="str">
        <f t="shared" si="11"/>
        <v>Pass-through costs</v>
      </c>
    </row>
    <row r="81" spans="1:55" x14ac:dyDescent="0.35">
      <c r="E81" s="33" t="s">
        <v>244</v>
      </c>
      <c r="G81" s="33" t="str">
        <f t="shared" si="9"/>
        <v>£m 23/24 prices</v>
      </c>
      <c r="AU81" s="165">
        <f>SUM(AU70:AU80)</f>
        <v>88.217121756009078</v>
      </c>
      <c r="AV81" s="39">
        <f>SUM(AV70:AV80)</f>
        <v>93.899136140797623</v>
      </c>
      <c r="AW81" s="39">
        <f>SUM(AW70:AW80)</f>
        <v>94.420567416011451</v>
      </c>
      <c r="AX81" s="39">
        <f>SUM(AX70:AX80)</f>
        <v>95.604557557967112</v>
      </c>
      <c r="AY81" s="39">
        <f>SUM(AY70:AY80)</f>
        <v>95.366089830296715</v>
      </c>
      <c r="BA81" s="34" t="str">
        <f t="shared" ca="1" si="10"/>
        <v>Transform</v>
      </c>
      <c r="BB81" s="34" t="str">
        <f t="shared" si="11"/>
        <v>Pass-through costs</v>
      </c>
    </row>
    <row r="82" spans="1:55" x14ac:dyDescent="0.35">
      <c r="BA82" s="34"/>
    </row>
    <row r="83" spans="1:55" ht="20" thickBot="1" x14ac:dyDescent="0.4">
      <c r="A83" s="7" t="s">
        <v>64</v>
      </c>
      <c r="BA83" s="34"/>
    </row>
    <row r="84" spans="1:55" ht="16.5" thickTop="1" x14ac:dyDescent="0.35">
      <c r="E84" s="33" t="s">
        <v>404</v>
      </c>
      <c r="F84" s="126" t="str">
        <f>LicenseeSelect!F47</f>
        <v>SpC 5.2</v>
      </c>
      <c r="G84" s="33" t="str">
        <f t="shared" ref="G84:G90" si="12">price_label</f>
        <v>£m 23/24 prices</v>
      </c>
      <c r="H84" s="126" t="str">
        <f>LicenseeSelect!H47</f>
        <v>NIAt</v>
      </c>
      <c r="I84" s="41">
        <f>LicenseeSelect!I568</f>
        <v>1.1111111111111112</v>
      </c>
      <c r="AU84" s="87">
        <f>LicenseeSelect!AU47</f>
        <v>2.4300000000000002</v>
      </c>
      <c r="AV84" s="36">
        <f>LicenseeSelect!AV47</f>
        <v>2.4300000000000002</v>
      </c>
      <c r="AW84" s="36">
        <f>LicenseeSelect!AW47</f>
        <v>2.4300000000000002</v>
      </c>
      <c r="AX84" s="36">
        <f>LicenseeSelect!AX47</f>
        <v>2.4300000000000002</v>
      </c>
      <c r="AY84" s="36">
        <f>LicenseeSelect!AY47</f>
        <v>2.4300000000000002</v>
      </c>
      <c r="BA84" s="34" t="str">
        <f t="shared" ref="BA84:BA91" ca="1" si="13">$A$1</f>
        <v>Transform</v>
      </c>
      <c r="BB84" s="34" t="str">
        <f t="shared" ref="BB84:BB90" si="14">$A$83</f>
        <v>Other revenue allowances</v>
      </c>
    </row>
    <row r="85" spans="1:55" x14ac:dyDescent="0.35">
      <c r="E85" s="33" t="s">
        <v>67</v>
      </c>
      <c r="F85" s="126" t="str">
        <f>LicenseeSelect!F48</f>
        <v>SpC 5.3</v>
      </c>
      <c r="G85" s="33" t="str">
        <f t="shared" si="12"/>
        <v>£m 23/24 prices</v>
      </c>
      <c r="H85" s="126" t="str">
        <f>LicenseeSelect!H48</f>
        <v>CNIAt</v>
      </c>
      <c r="I85" s="41">
        <f>LicenseeSelect!I569</f>
        <v>1.1111111111111112</v>
      </c>
      <c r="AU85" s="87">
        <f>LicenseeSelect!AU48</f>
        <v>0</v>
      </c>
      <c r="AV85" s="36">
        <f>LicenseeSelect!AV48</f>
        <v>0</v>
      </c>
      <c r="AW85" s="36">
        <f>LicenseeSelect!AW48</f>
        <v>0</v>
      </c>
      <c r="AX85" s="36">
        <f>LicenseeSelect!AX48</f>
        <v>0</v>
      </c>
      <c r="AY85" s="36">
        <f>LicenseeSelect!AY48</f>
        <v>0</v>
      </c>
      <c r="BA85" s="34" t="str">
        <f t="shared" ca="1" si="13"/>
        <v>Transform</v>
      </c>
      <c r="BB85" s="34" t="str">
        <f t="shared" si="14"/>
        <v>Other revenue allowances</v>
      </c>
    </row>
    <row r="86" spans="1:55" x14ac:dyDescent="0.35">
      <c r="E86" s="33" t="s">
        <v>70</v>
      </c>
      <c r="F86" s="126" t="str">
        <f>LicenseeSelect!F49</f>
        <v>SpC 5.4</v>
      </c>
      <c r="G86" s="33" t="str">
        <f t="shared" si="12"/>
        <v>£m 23/24 prices</v>
      </c>
      <c r="H86" s="126" t="str">
        <f>LicenseeSelect!H49</f>
        <v>VCMt</v>
      </c>
      <c r="I86" s="41">
        <f>LicenseeSelect!I570</f>
        <v>1</v>
      </c>
      <c r="AU86" s="87">
        <f>LicenseeSelect!AU49</f>
        <v>4.476</v>
      </c>
      <c r="AV86" s="36">
        <f>LicenseeSelect!AV49</f>
        <v>4.476</v>
      </c>
      <c r="AW86" s="36">
        <f>LicenseeSelect!AW49</f>
        <v>4.476</v>
      </c>
      <c r="AX86" s="36">
        <f>LicenseeSelect!AX49</f>
        <v>4.476</v>
      </c>
      <c r="AY86" s="36">
        <f>LicenseeSelect!AY49</f>
        <v>4.476</v>
      </c>
      <c r="BA86" s="34" t="str">
        <f t="shared" ca="1" si="13"/>
        <v>Transform</v>
      </c>
      <c r="BB86" s="34" t="str">
        <f t="shared" si="14"/>
        <v>Other revenue allowances</v>
      </c>
    </row>
    <row r="87" spans="1:55" x14ac:dyDescent="0.35">
      <c r="E87" s="33" t="s">
        <v>73</v>
      </c>
      <c r="F87" s="126">
        <f>LicenseeSelect!F50</f>
        <v>0</v>
      </c>
      <c r="G87" s="33" t="str">
        <f t="shared" si="12"/>
        <v>£m 23/24 prices</v>
      </c>
      <c r="H87" s="126">
        <f>LicenseeSelect!H50</f>
        <v>0</v>
      </c>
      <c r="I87" s="41">
        <f>LicenseeSelect!I571</f>
        <v>0</v>
      </c>
      <c r="AU87" s="87">
        <f>LicenseeSelect!AU50</f>
        <v>0</v>
      </c>
      <c r="AV87" s="36">
        <f>LicenseeSelect!AV50</f>
        <v>0</v>
      </c>
      <c r="AW87" s="36">
        <f>LicenseeSelect!AW50</f>
        <v>0</v>
      </c>
      <c r="AX87" s="36">
        <f>LicenseeSelect!AX50</f>
        <v>0</v>
      </c>
      <c r="AY87" s="36">
        <f>LicenseeSelect!AY50</f>
        <v>0</v>
      </c>
      <c r="BA87" s="34" t="str">
        <f t="shared" ca="1" si="13"/>
        <v>Transform</v>
      </c>
      <c r="BB87" s="34" t="str">
        <f t="shared" si="14"/>
        <v>Other revenue allowances</v>
      </c>
    </row>
    <row r="88" spans="1:55" x14ac:dyDescent="0.35">
      <c r="E88" s="33" t="s">
        <v>74</v>
      </c>
      <c r="F88" s="126">
        <f>LicenseeSelect!F51</f>
        <v>0</v>
      </c>
      <c r="G88" s="33" t="str">
        <f t="shared" si="12"/>
        <v>£m 23/24 prices</v>
      </c>
      <c r="H88" s="126">
        <f>LicenseeSelect!H51</f>
        <v>0</v>
      </c>
      <c r="I88" s="41">
        <f>LicenseeSelect!I572</f>
        <v>0</v>
      </c>
      <c r="AU88" s="87">
        <f>LicenseeSelect!AU51</f>
        <v>0</v>
      </c>
      <c r="AV88" s="36">
        <f>LicenseeSelect!AV51</f>
        <v>0</v>
      </c>
      <c r="AW88" s="36">
        <f>LicenseeSelect!AW51</f>
        <v>0</v>
      </c>
      <c r="AX88" s="36">
        <f>LicenseeSelect!AX51</f>
        <v>0</v>
      </c>
      <c r="AY88" s="36">
        <f>LicenseeSelect!AY51</f>
        <v>0</v>
      </c>
      <c r="BA88" s="34" t="str">
        <f t="shared" ca="1" si="13"/>
        <v>Transform</v>
      </c>
      <c r="BB88" s="34" t="str">
        <f t="shared" si="14"/>
        <v>Other revenue allowances</v>
      </c>
    </row>
    <row r="89" spans="1:55" x14ac:dyDescent="0.35">
      <c r="E89" s="33" t="s">
        <v>75</v>
      </c>
      <c r="F89" s="126">
        <f>LicenseeSelect!F52</f>
        <v>0</v>
      </c>
      <c r="G89" s="33" t="str">
        <f t="shared" si="12"/>
        <v>£m 23/24 prices</v>
      </c>
      <c r="H89" s="126">
        <f>LicenseeSelect!H52</f>
        <v>0</v>
      </c>
      <c r="I89" s="41">
        <f>LicenseeSelect!I573</f>
        <v>0</v>
      </c>
      <c r="AU89" s="87">
        <f>LicenseeSelect!AU52</f>
        <v>0</v>
      </c>
      <c r="AV89" s="36">
        <f>LicenseeSelect!AV52</f>
        <v>0</v>
      </c>
      <c r="AW89" s="36">
        <f>LicenseeSelect!AW52</f>
        <v>0</v>
      </c>
      <c r="AX89" s="36">
        <f>LicenseeSelect!AX52</f>
        <v>0</v>
      </c>
      <c r="AY89" s="36">
        <f>LicenseeSelect!AY52</f>
        <v>0</v>
      </c>
      <c r="BA89" s="34" t="str">
        <f t="shared" ca="1" si="13"/>
        <v>Transform</v>
      </c>
      <c r="BB89" s="34" t="str">
        <f t="shared" si="14"/>
        <v>Other revenue allowances</v>
      </c>
    </row>
    <row r="90" spans="1:55" x14ac:dyDescent="0.35">
      <c r="E90" s="33" t="s">
        <v>246</v>
      </c>
      <c r="G90" s="33" t="str">
        <f t="shared" si="12"/>
        <v>£m 23/24 prices</v>
      </c>
      <c r="AU90" s="165">
        <f>SUM(AU84:AU89)</f>
        <v>6.9060000000000006</v>
      </c>
      <c r="AV90" s="39">
        <f t="shared" ref="AV90:AY90" si="15">SUM(AV84:AV89)</f>
        <v>6.9060000000000006</v>
      </c>
      <c r="AW90" s="39">
        <f t="shared" si="15"/>
        <v>6.9060000000000006</v>
      </c>
      <c r="AX90" s="39">
        <f t="shared" si="15"/>
        <v>6.9060000000000006</v>
      </c>
      <c r="AY90" s="39">
        <f t="shared" si="15"/>
        <v>6.9060000000000006</v>
      </c>
      <c r="BA90" s="34" t="str">
        <f t="shared" ca="1" si="13"/>
        <v>Transform</v>
      </c>
      <c r="BB90" s="34" t="str">
        <f t="shared" si="14"/>
        <v>Other revenue allowances</v>
      </c>
    </row>
    <row r="91" spans="1:55" x14ac:dyDescent="0.35">
      <c r="E91" s="33" t="s">
        <v>422</v>
      </c>
      <c r="G91" s="33" t="str">
        <f>price_label</f>
        <v>£m 23/24 prices</v>
      </c>
      <c r="AU91" s="166">
        <f>SUMPRODUCT(AU84:AU89,$I$84:$I$89)</f>
        <v>7.1760000000000002</v>
      </c>
      <c r="AV91" s="38">
        <f>SUMPRODUCT(AV84:AV89,$I$84:$I$89)</f>
        <v>7.1760000000000002</v>
      </c>
      <c r="AW91" s="38">
        <f>SUMPRODUCT(AW84:AW89,$I$84:$I$89)</f>
        <v>7.1760000000000002</v>
      </c>
      <c r="AX91" s="38">
        <f>SUMPRODUCT(AX84:AX89,$I$84:$I$89)</f>
        <v>7.1760000000000002</v>
      </c>
      <c r="AY91" s="38">
        <f>SUMPRODUCT(AY84:AY89,$I$84:$I$89)</f>
        <v>7.1760000000000002</v>
      </c>
      <c r="BA91" s="34" t="str">
        <f t="shared" ca="1" si="13"/>
        <v>Transform</v>
      </c>
      <c r="BB91" s="34" t="str">
        <f>$A$83</f>
        <v>Other revenue allowances</v>
      </c>
    </row>
    <row r="92" spans="1:55" x14ac:dyDescent="0.35">
      <c r="BA92" s="34"/>
    </row>
    <row r="93" spans="1:55" ht="20" thickBot="1" x14ac:dyDescent="0.4">
      <c r="A93" s="7" t="s">
        <v>385</v>
      </c>
      <c r="BA93" s="34"/>
    </row>
    <row r="94" spans="1:55" ht="16.5" thickTop="1" x14ac:dyDescent="0.35">
      <c r="E94" s="33" t="s">
        <v>99</v>
      </c>
      <c r="F94" s="126">
        <f>LicenseeSelect!F87</f>
        <v>0</v>
      </c>
      <c r="G94" s="33" t="str">
        <f t="shared" ref="G94:G202" si="16">nominal</f>
        <v>£m nominal</v>
      </c>
      <c r="H94" s="126" t="str">
        <f>LicenseeSelect!H87</f>
        <v>OGPt</v>
      </c>
      <c r="AU94" s="87">
        <f>LicenseeSelect!AU87</f>
        <v>48.018793862574022</v>
      </c>
      <c r="AV94"/>
      <c r="AW94"/>
      <c r="AX94"/>
      <c r="AY94"/>
      <c r="BA94" s="34" t="str">
        <f t="shared" ref="BA94:BA202" ca="1" si="17">$A$1</f>
        <v>Transform</v>
      </c>
      <c r="BB94" s="34" t="str">
        <f t="shared" ref="BB94:BB202" si="18">$A$93</f>
        <v>Tax pools</v>
      </c>
    </row>
    <row r="95" spans="1:55" x14ac:dyDescent="0.35">
      <c r="E95" s="33" t="s">
        <v>405</v>
      </c>
      <c r="F95" s="126">
        <f>LicenseeSelect!F91</f>
        <v>0</v>
      </c>
      <c r="G95" s="33" t="str">
        <f>nominal</f>
        <v>£m nominal</v>
      </c>
      <c r="H95" s="126" t="str">
        <f>LicenseeSelect!H91</f>
        <v>OGPAt</v>
      </c>
      <c r="AU95" s="87">
        <f>LicenseeSelect!AU91</f>
        <v>0</v>
      </c>
      <c r="AV95"/>
      <c r="AW95"/>
      <c r="AX95"/>
      <c r="AY95"/>
      <c r="BA95" s="34" t="str">
        <f ca="1">$A$1</f>
        <v>Transform</v>
      </c>
      <c r="BB95" s="34" t="str">
        <f>$A$136</f>
        <v>Finance inputs</v>
      </c>
      <c r="BC95" s="34" t="str">
        <f>$B$197</f>
        <v>Tax allowance</v>
      </c>
    </row>
    <row r="96" spans="1:55" x14ac:dyDescent="0.35">
      <c r="E96" s="33" t="s">
        <v>410</v>
      </c>
      <c r="F96" s="126">
        <f>LicenseeSelect!F520</f>
        <v>0</v>
      </c>
      <c r="G96" s="33" t="s">
        <v>109</v>
      </c>
      <c r="H96" s="126">
        <f>LicenseeSelect!H520</f>
        <v>0</v>
      </c>
      <c r="AU96" s="162">
        <f>LicenseeSelect!AU520</f>
        <v>1</v>
      </c>
      <c r="AV96" s="41">
        <f>LicenseeSelect!AV520</f>
        <v>1</v>
      </c>
      <c r="AW96" s="41">
        <f>LicenseeSelect!AW520</f>
        <v>1</v>
      </c>
      <c r="AX96" s="41">
        <f>LicenseeSelect!AX520</f>
        <v>1</v>
      </c>
      <c r="AY96" s="41">
        <f>LicenseeSelect!AY520</f>
        <v>1</v>
      </c>
      <c r="BA96" s="34" t="str">
        <f ca="1">$A$1</f>
        <v>Transform</v>
      </c>
      <c r="BB96" s="34" t="str">
        <f>$A$93</f>
        <v>Tax pools</v>
      </c>
    </row>
    <row r="97" spans="5:55" x14ac:dyDescent="0.35">
      <c r="E97" s="33" t="s">
        <v>212</v>
      </c>
      <c r="F97" s="126">
        <f>LicenseeSelect!F516</f>
        <v>0</v>
      </c>
      <c r="G97" s="33" t="s">
        <v>109</v>
      </c>
      <c r="H97" s="126" t="str">
        <f>LicenseeSelect!H516</f>
        <v>GCAt</v>
      </c>
      <c r="AU97" s="162">
        <f>LicenseeSelect!AU516</f>
        <v>0.14000000000000001</v>
      </c>
      <c r="AV97" s="41">
        <f>LicenseeSelect!AV516</f>
        <v>0.14000000000000001</v>
      </c>
      <c r="AW97" s="41">
        <f>LicenseeSelect!AW516</f>
        <v>0.14000000000000001</v>
      </c>
      <c r="AX97" s="41">
        <f>LicenseeSelect!AX516</f>
        <v>0.14000000000000001</v>
      </c>
      <c r="AY97" s="41">
        <f>LicenseeSelect!AY516</f>
        <v>0.14000000000000001</v>
      </c>
      <c r="BA97" s="34" t="str">
        <f ca="1">$A$1</f>
        <v>Transform</v>
      </c>
      <c r="BB97" s="34" t="str">
        <f>$A$93</f>
        <v>Tax pools</v>
      </c>
    </row>
    <row r="98" spans="5:55" x14ac:dyDescent="0.35">
      <c r="E98" s="33" t="s">
        <v>411</v>
      </c>
      <c r="F98" s="126">
        <f>LicenseeSelect!F552</f>
        <v>0</v>
      </c>
      <c r="G98" s="33" t="s">
        <v>109</v>
      </c>
      <c r="H98" s="126">
        <f>LicenseeSelect!H552</f>
        <v>0</v>
      </c>
      <c r="AU98" s="162">
        <f>LicenseeSelect!AU552</f>
        <v>1</v>
      </c>
      <c r="AV98" s="41">
        <f>LicenseeSelect!AV552</f>
        <v>1</v>
      </c>
      <c r="AW98" s="41">
        <f>LicenseeSelect!AW552</f>
        <v>1</v>
      </c>
      <c r="AX98" s="41">
        <f>LicenseeSelect!AX552</f>
        <v>1</v>
      </c>
      <c r="AY98" s="41">
        <f>LicenseeSelect!AY552</f>
        <v>1</v>
      </c>
      <c r="BA98" s="34" t="str">
        <f ca="1">$A$1</f>
        <v>Transform</v>
      </c>
      <c r="BB98" s="34" t="str">
        <f>$A$93</f>
        <v>Tax pools</v>
      </c>
    </row>
    <row r="99" spans="5:55" customFormat="1" ht="14.5" x14ac:dyDescent="0.35">
      <c r="F99" s="127"/>
      <c r="H99" s="127"/>
      <c r="AT99" s="61"/>
    </row>
    <row r="100" spans="5:55" x14ac:dyDescent="0.35">
      <c r="E100" s="33" t="s">
        <v>806</v>
      </c>
      <c r="F100" s="126">
        <f>LicenseeSelect!F88</f>
        <v>0</v>
      </c>
      <c r="G100" s="33" t="str">
        <f t="shared" si="16"/>
        <v>£m nominal</v>
      </c>
      <c r="H100" s="126" t="str">
        <f>LicenseeSelect!H88</f>
        <v>OSRPt</v>
      </c>
      <c r="AU100" s="87">
        <f>LicenseeSelect!AU88</f>
        <v>381.20025331433436</v>
      </c>
      <c r="AV100"/>
      <c r="AW100"/>
      <c r="AX100"/>
      <c r="AY100"/>
      <c r="BA100" s="34" t="str">
        <f t="shared" ca="1" si="17"/>
        <v>Transform</v>
      </c>
      <c r="BB100" s="34" t="str">
        <f t="shared" si="18"/>
        <v>Tax pools</v>
      </c>
    </row>
    <row r="101" spans="5:55" x14ac:dyDescent="0.35">
      <c r="E101" s="33" t="s">
        <v>805</v>
      </c>
      <c r="F101" s="126">
        <f>LicenseeSelect!F92</f>
        <v>0</v>
      </c>
      <c r="G101" s="33" t="str">
        <f>nominal</f>
        <v>£m nominal</v>
      </c>
      <c r="H101" s="126" t="str">
        <f>LicenseeSelect!H92</f>
        <v>OSRPAt</v>
      </c>
      <c r="AU101" s="87">
        <f>LicenseeSelect!AU92</f>
        <v>0</v>
      </c>
      <c r="AV101"/>
      <c r="AW101"/>
      <c r="AX101"/>
      <c r="AY101"/>
      <c r="BA101" s="34" t="str">
        <f ca="1">$A$1</f>
        <v>Transform</v>
      </c>
      <c r="BB101" s="34" t="str">
        <f>$A$136</f>
        <v>Finance inputs</v>
      </c>
      <c r="BC101" s="34" t="str">
        <f>$B$197</f>
        <v>Tax allowance</v>
      </c>
    </row>
    <row r="102" spans="5:55" x14ac:dyDescent="0.35">
      <c r="E102" s="33" t="s">
        <v>807</v>
      </c>
      <c r="F102" s="126">
        <f>LicenseeSelect!F521</f>
        <v>0</v>
      </c>
      <c r="G102" s="33" t="s">
        <v>109</v>
      </c>
      <c r="H102" s="126">
        <f>LicenseeSelect!H521</f>
        <v>0</v>
      </c>
      <c r="AU102" s="162">
        <f>LicenseeSelect!AU521</f>
        <v>1</v>
      </c>
      <c r="AV102" s="41">
        <f>LicenseeSelect!AV521</f>
        <v>1</v>
      </c>
      <c r="AW102" s="41">
        <f>LicenseeSelect!AW521</f>
        <v>1</v>
      </c>
      <c r="AX102" s="41">
        <f>LicenseeSelect!AX521</f>
        <v>1</v>
      </c>
      <c r="AY102" s="41">
        <f>LicenseeSelect!AY521</f>
        <v>1</v>
      </c>
      <c r="BA102" s="34" t="str">
        <f ca="1">$A$1</f>
        <v>Transform</v>
      </c>
      <c r="BB102" s="34" t="str">
        <f>$A$93</f>
        <v>Tax pools</v>
      </c>
    </row>
    <row r="103" spans="5:55" x14ac:dyDescent="0.35">
      <c r="E103" s="33" t="s">
        <v>813</v>
      </c>
      <c r="F103" s="126">
        <f>LicenseeSelect!F517</f>
        <v>0</v>
      </c>
      <c r="G103" s="33" t="s">
        <v>109</v>
      </c>
      <c r="H103" s="126" t="str">
        <f>LicenseeSelect!H517</f>
        <v>SRCAt</v>
      </c>
      <c r="AU103" s="162">
        <f>LicenseeSelect!AU517</f>
        <v>0.06</v>
      </c>
      <c r="AV103" s="41">
        <f>LicenseeSelect!AV517</f>
        <v>0.06</v>
      </c>
      <c r="AW103" s="41">
        <f>LicenseeSelect!AW517</f>
        <v>0.06</v>
      </c>
      <c r="AX103" s="41">
        <f>LicenseeSelect!AX517</f>
        <v>0.06</v>
      </c>
      <c r="AY103" s="41">
        <f>LicenseeSelect!AY517</f>
        <v>0.06</v>
      </c>
      <c r="BA103" s="34" t="str">
        <f ca="1">$A$1</f>
        <v>Transform</v>
      </c>
      <c r="BB103" s="34" t="str">
        <f>$A$93</f>
        <v>Tax pools</v>
      </c>
    </row>
    <row r="104" spans="5:55" x14ac:dyDescent="0.35">
      <c r="E104" s="33" t="s">
        <v>812</v>
      </c>
      <c r="F104" s="126">
        <f>LicenseeSelect!F553</f>
        <v>0</v>
      </c>
      <c r="G104" s="33" t="s">
        <v>109</v>
      </c>
      <c r="H104" s="126">
        <f>LicenseeSelect!H553</f>
        <v>0</v>
      </c>
      <c r="AU104" s="162">
        <f>LicenseeSelect!AU553</f>
        <v>0.5</v>
      </c>
      <c r="AV104" s="41">
        <f>LicenseeSelect!AV553</f>
        <v>0.5</v>
      </c>
      <c r="AW104" s="41">
        <f>LicenseeSelect!AW553</f>
        <v>0.5</v>
      </c>
      <c r="AX104" s="41">
        <f>LicenseeSelect!AX553</f>
        <v>0.5</v>
      </c>
      <c r="AY104" s="41">
        <f>LicenseeSelect!AY553</f>
        <v>0.5</v>
      </c>
      <c r="BA104" s="34" t="str">
        <f ca="1">$A$1</f>
        <v>Transform</v>
      </c>
      <c r="BB104" s="34" t="str">
        <f>$A$93</f>
        <v>Tax pools</v>
      </c>
    </row>
    <row r="105" spans="5:55" customFormat="1" ht="14.5" x14ac:dyDescent="0.35">
      <c r="F105" s="127"/>
      <c r="H105" s="127"/>
      <c r="AT105" s="61"/>
    </row>
    <row r="106" spans="5:55" x14ac:dyDescent="0.35">
      <c r="E106" s="33" t="s">
        <v>808</v>
      </c>
      <c r="F106" s="126">
        <f>LicenseeSelect!F89</f>
        <v>0</v>
      </c>
      <c r="G106" s="33" t="str">
        <f t="shared" si="16"/>
        <v>£m nominal</v>
      </c>
      <c r="H106" s="126" t="str">
        <f>LicenseeSelect!H89</f>
        <v>OSBPt</v>
      </c>
      <c r="AU106" s="87">
        <f>LicenseeSelect!AU89</f>
        <v>9.264760373136296</v>
      </c>
      <c r="AV106"/>
      <c r="AW106"/>
      <c r="AX106"/>
      <c r="AY106"/>
      <c r="BA106" s="34" t="str">
        <f t="shared" ca="1" si="17"/>
        <v>Transform</v>
      </c>
      <c r="BB106" s="34" t="str">
        <f t="shared" si="18"/>
        <v>Tax pools</v>
      </c>
    </row>
    <row r="107" spans="5:55" x14ac:dyDescent="0.35">
      <c r="E107" s="33" t="s">
        <v>809</v>
      </c>
      <c r="F107" s="126">
        <f>LicenseeSelect!F93</f>
        <v>0</v>
      </c>
      <c r="G107" s="33" t="str">
        <f t="shared" si="16"/>
        <v>£m nominal</v>
      </c>
      <c r="H107" s="126">
        <f>LicenseeSelect!H93</f>
        <v>0</v>
      </c>
      <c r="J107" s="33" t="s">
        <v>13</v>
      </c>
      <c r="AT107" s="182">
        <f>LicenseeSelect!AT93</f>
        <v>9.5605462024957468</v>
      </c>
      <c r="AU107"/>
      <c r="AV107"/>
      <c r="AW107"/>
      <c r="AX107"/>
      <c r="AY107"/>
      <c r="BA107" s="34" t="str">
        <f t="shared" ca="1" si="17"/>
        <v>Transform</v>
      </c>
      <c r="BB107" s="34" t="str">
        <f t="shared" si="18"/>
        <v>Tax pools</v>
      </c>
    </row>
    <row r="108" spans="5:55" x14ac:dyDescent="0.35">
      <c r="E108" s="33" t="s">
        <v>814</v>
      </c>
      <c r="F108" s="126">
        <f>LicenseeSelect!F518</f>
        <v>0</v>
      </c>
      <c r="G108" s="33" t="s">
        <v>109</v>
      </c>
      <c r="H108" s="126" t="str">
        <f>LicenseeSelect!H518</f>
        <v>SBCAt</v>
      </c>
      <c r="AU108" s="162">
        <f>LicenseeSelect!AU518</f>
        <v>0.03</v>
      </c>
      <c r="AV108" s="41">
        <f>LicenseeSelect!AV518</f>
        <v>0.03</v>
      </c>
      <c r="AW108" s="41">
        <f>LicenseeSelect!AW518</f>
        <v>0.03</v>
      </c>
      <c r="AX108" s="41">
        <f>LicenseeSelect!AX518</f>
        <v>0.03</v>
      </c>
      <c r="AY108" s="41">
        <f>LicenseeSelect!AY518</f>
        <v>0.03</v>
      </c>
      <c r="BA108" s="34" t="str">
        <f ca="1">$A$1</f>
        <v>Transform</v>
      </c>
      <c r="BB108" s="34" t="str">
        <f>$A$93</f>
        <v>Tax pools</v>
      </c>
    </row>
    <row r="109" spans="5:55" x14ac:dyDescent="0.35">
      <c r="AU109" s="162"/>
      <c r="AV109" s="41"/>
      <c r="AW109" s="41"/>
      <c r="AX109" s="41"/>
      <c r="AY109" s="41"/>
      <c r="BA109" s="34"/>
    </row>
    <row r="110" spans="5:55" x14ac:dyDescent="0.35">
      <c r="E110" s="33" t="s">
        <v>810</v>
      </c>
      <c r="F110" s="126">
        <f>LicenseeSelect!F90</f>
        <v>0</v>
      </c>
      <c r="G110" s="33" t="str">
        <f t="shared" si="16"/>
        <v>£m nominal</v>
      </c>
      <c r="H110" s="126" t="str">
        <f>LicenseeSelect!H90</f>
        <v>ODRPt</v>
      </c>
      <c r="AU110" s="87">
        <f>LicenseeSelect!AU90</f>
        <v>668.21849933633644</v>
      </c>
      <c r="AV110"/>
      <c r="AW110"/>
      <c r="AX110"/>
      <c r="AY110"/>
      <c r="BA110" s="34" t="str">
        <f t="shared" ca="1" si="17"/>
        <v>Transform</v>
      </c>
      <c r="BB110" s="34" t="str">
        <f t="shared" si="18"/>
        <v>Tax pools</v>
      </c>
    </row>
    <row r="111" spans="5:55" x14ac:dyDescent="0.35">
      <c r="E111" s="33" t="s">
        <v>811</v>
      </c>
      <c r="F111" s="126">
        <f>LicenseeSelect!F94</f>
        <v>0</v>
      </c>
      <c r="G111" s="33" t="str">
        <f t="shared" si="16"/>
        <v>£m nominal</v>
      </c>
      <c r="H111" s="126" t="str">
        <f>LicenseeSelect!H94</f>
        <v>LODRPt</v>
      </c>
      <c r="J111" s="33" t="s">
        <v>13</v>
      </c>
      <c r="AO111"/>
      <c r="AP111"/>
      <c r="AQ111"/>
      <c r="AR111"/>
      <c r="AS111"/>
      <c r="AT111" s="180">
        <f>LicenseeSelect!AT94</f>
        <v>744.32698607057603</v>
      </c>
      <c r="AU111"/>
      <c r="AV111"/>
      <c r="AW111"/>
      <c r="AX111"/>
      <c r="AY111"/>
      <c r="BA111" s="34" t="str">
        <f t="shared" ca="1" si="17"/>
        <v>Transform</v>
      </c>
      <c r="BB111" s="34" t="str">
        <f t="shared" si="18"/>
        <v>Tax pools</v>
      </c>
    </row>
    <row r="112" spans="5:55" x14ac:dyDescent="0.35">
      <c r="E112" s="33" t="s">
        <v>815</v>
      </c>
      <c r="F112" s="126">
        <f>LicenseeSelect!F519</f>
        <v>0</v>
      </c>
      <c r="G112" s="33" t="s">
        <v>109</v>
      </c>
      <c r="H112" s="126" t="str">
        <f>LicenseeSelect!H519</f>
        <v>DRCAt</v>
      </c>
      <c r="AU112" s="162">
        <f>LicenseeSelect!AU519</f>
        <v>2.2200000000000001E-2</v>
      </c>
      <c r="AV112" s="41">
        <f>LicenseeSelect!AV519</f>
        <v>2.2200000000000001E-2</v>
      </c>
      <c r="AW112" s="41">
        <f>LicenseeSelect!AW519</f>
        <v>2.2200000000000001E-2</v>
      </c>
      <c r="AX112" s="41">
        <f>LicenseeSelect!AX519</f>
        <v>2.2200000000000001E-2</v>
      </c>
      <c r="AY112" s="41">
        <f>LicenseeSelect!AY519</f>
        <v>2.2200000000000001E-2</v>
      </c>
      <c r="BA112" s="34" t="str">
        <f ca="1">$A$1</f>
        <v>Transform</v>
      </c>
      <c r="BB112" s="34" t="str">
        <f>$A$93</f>
        <v>Tax pools</v>
      </c>
    </row>
    <row r="113" spans="1:55" x14ac:dyDescent="0.35">
      <c r="BA113" s="34"/>
    </row>
    <row r="114" spans="1:55" x14ac:dyDescent="0.35">
      <c r="E114" s="33" t="s">
        <v>108</v>
      </c>
      <c r="F114" s="126">
        <f>LicenseeSelect!F522</f>
        <v>0</v>
      </c>
      <c r="G114" s="33" t="s">
        <v>109</v>
      </c>
      <c r="H114" s="126" t="str">
        <f>LicenseeSelect!H522</f>
        <v>ARGPt</v>
      </c>
      <c r="AU114" s="162">
        <f>LicenseeSelect!AU522</f>
        <v>8.1561323845346964E-2</v>
      </c>
      <c r="AV114" s="41">
        <f>LicenseeSelect!AV522</f>
        <v>8.7089942158051284E-2</v>
      </c>
      <c r="AW114" s="41">
        <f>LicenseeSelect!AW522</f>
        <v>7.5902892928816718E-2</v>
      </c>
      <c r="AX114" s="41">
        <f>LicenseeSelect!AX522</f>
        <v>6.1819489363919441E-2</v>
      </c>
      <c r="AY114" s="41">
        <f>LicenseeSelect!AY522</f>
        <v>6.2364469171817052E-2</v>
      </c>
      <c r="BA114" s="34" t="str">
        <f t="shared" ref="BA114:BA119" ca="1" si="19">$A$1</f>
        <v>Transform</v>
      </c>
      <c r="BB114" s="34" t="str">
        <f t="shared" ref="BB114:BB119" si="20">$A$93</f>
        <v>Tax pools</v>
      </c>
    </row>
    <row r="115" spans="1:55" x14ac:dyDescent="0.35">
      <c r="E115" s="33" t="s">
        <v>111</v>
      </c>
      <c r="F115" s="126">
        <f>LicenseeSelect!F523</f>
        <v>0</v>
      </c>
      <c r="G115" s="33" t="s">
        <v>109</v>
      </c>
      <c r="H115" s="126" t="str">
        <f>LicenseeSelect!H523</f>
        <v>ARSRt</v>
      </c>
      <c r="AU115" s="162">
        <f>LicenseeSelect!AU523</f>
        <v>0.13333945479379639</v>
      </c>
      <c r="AV115" s="41">
        <f>LicenseeSelect!AV523</f>
        <v>0.1451889645796422</v>
      </c>
      <c r="AW115" s="41">
        <f>LicenseeSelect!AW523</f>
        <v>0.16448943406379332</v>
      </c>
      <c r="AX115" s="41">
        <f>LicenseeSelect!AX523</f>
        <v>0.14070885065760691</v>
      </c>
      <c r="AY115" s="41">
        <f>LicenseeSelect!AY523</f>
        <v>0.12033246756929508</v>
      </c>
      <c r="BA115" s="34" t="str">
        <f t="shared" ca="1" si="19"/>
        <v>Transform</v>
      </c>
      <c r="BB115" s="34" t="str">
        <f t="shared" si="20"/>
        <v>Tax pools</v>
      </c>
    </row>
    <row r="116" spans="1:55" x14ac:dyDescent="0.35">
      <c r="E116" s="33" t="s">
        <v>113</v>
      </c>
      <c r="F116" s="126">
        <f>LicenseeSelect!F524</f>
        <v>0</v>
      </c>
      <c r="G116" s="33" t="s">
        <v>109</v>
      </c>
      <c r="H116" s="126" t="str">
        <f>LicenseeSelect!H524</f>
        <v>ARSBt</v>
      </c>
      <c r="AU116" s="162">
        <f>LicenseeSelect!AU524</f>
        <v>1.9566713603510213E-3</v>
      </c>
      <c r="AV116" s="41">
        <f>LicenseeSelect!AV524</f>
        <v>1.7995172739703102E-3</v>
      </c>
      <c r="AW116" s="41">
        <f>LicenseeSelect!AW524</f>
        <v>1.8407843966143527E-3</v>
      </c>
      <c r="AX116" s="41">
        <f>LicenseeSelect!AX524</f>
        <v>2.0750456018522705E-3</v>
      </c>
      <c r="AY116" s="41">
        <f>LicenseeSelect!AY524</f>
        <v>2.0576989492834424E-3</v>
      </c>
      <c r="BA116" s="34" t="str">
        <f t="shared" ca="1" si="19"/>
        <v>Transform</v>
      </c>
      <c r="BB116" s="34" t="str">
        <f t="shared" si="20"/>
        <v>Tax pools</v>
      </c>
    </row>
    <row r="117" spans="1:55" x14ac:dyDescent="0.35">
      <c r="E117" s="33" t="s">
        <v>115</v>
      </c>
      <c r="F117" s="126">
        <f>LicenseeSelect!F525</f>
        <v>0</v>
      </c>
      <c r="G117" s="33" t="s">
        <v>109</v>
      </c>
      <c r="H117" s="126" t="str">
        <f>LicenseeSelect!H525</f>
        <v>ARDRt</v>
      </c>
      <c r="AU117" s="162">
        <f>LicenseeSelect!AU525</f>
        <v>0.34534530932312468</v>
      </c>
      <c r="AV117" s="41">
        <f>LicenseeSelect!AV525</f>
        <v>0.35172599517235781</v>
      </c>
      <c r="AW117" s="41">
        <f>LicenseeSelect!AW525</f>
        <v>0.34065046551220723</v>
      </c>
      <c r="AX117" s="41">
        <f>LicenseeSelect!AX525</f>
        <v>0.34337430315509987</v>
      </c>
      <c r="AY117" s="41">
        <f>LicenseeSelect!AY525</f>
        <v>0.34916832967707528</v>
      </c>
      <c r="BA117" s="34" t="str">
        <f t="shared" ca="1" si="19"/>
        <v>Transform</v>
      </c>
      <c r="BB117" s="34" t="str">
        <f t="shared" si="20"/>
        <v>Tax pools</v>
      </c>
    </row>
    <row r="118" spans="1:55" x14ac:dyDescent="0.35">
      <c r="E118" s="33" t="s">
        <v>119</v>
      </c>
      <c r="F118" s="126">
        <f>LicenseeSelect!F526</f>
        <v>0</v>
      </c>
      <c r="G118" s="33" t="s">
        <v>109</v>
      </c>
      <c r="H118" s="126" t="str">
        <f>LicenseeSelect!H526</f>
        <v>ARNQt</v>
      </c>
      <c r="AU118" s="162">
        <f>LicenseeSelect!AU526</f>
        <v>5.6027900865573861E-3</v>
      </c>
      <c r="AV118" s="41">
        <f>LicenseeSelect!AV526</f>
        <v>5.0010266472562291E-3</v>
      </c>
      <c r="AW118" s="41">
        <f>LicenseeSelect!AW526</f>
        <v>6.9576753718335067E-3</v>
      </c>
      <c r="AX118" s="41">
        <f>LicenseeSelect!AX526</f>
        <v>5.3157505082448734E-3</v>
      </c>
      <c r="AY118" s="41">
        <f>LicenseeSelect!AY526</f>
        <v>4.972693850937333E-3</v>
      </c>
      <c r="BA118" s="34" t="str">
        <f t="shared" ca="1" si="19"/>
        <v>Transform</v>
      </c>
      <c r="BB118" s="34" t="str">
        <f t="shared" si="20"/>
        <v>Tax pools</v>
      </c>
    </row>
    <row r="119" spans="1:55" x14ac:dyDescent="0.35">
      <c r="E119" s="33" t="s">
        <v>117</v>
      </c>
      <c r="F119" s="126">
        <f>LicenseeSelect!F527</f>
        <v>0</v>
      </c>
      <c r="G119" s="33" t="s">
        <v>109</v>
      </c>
      <c r="H119" s="126" t="str">
        <f>LicenseeSelect!H527</f>
        <v>ARRt</v>
      </c>
      <c r="AU119" s="162">
        <f>LicenseeSelect!AU527</f>
        <v>0.43219445059082356</v>
      </c>
      <c r="AV119" s="41">
        <f>LicenseeSelect!AV527</f>
        <v>0.4091945541687223</v>
      </c>
      <c r="AW119" s="41">
        <f>LicenseeSelect!AW527</f>
        <v>0.41015874772673477</v>
      </c>
      <c r="AX119" s="41">
        <f>LicenseeSelect!AX527</f>
        <v>0.44670656071327663</v>
      </c>
      <c r="AY119" s="41">
        <f>LicenseeSelect!AY527</f>
        <v>0.4611043407815919</v>
      </c>
      <c r="BA119" s="34" t="str">
        <f t="shared" ca="1" si="19"/>
        <v>Transform</v>
      </c>
      <c r="BB119" s="34" t="str">
        <f t="shared" si="20"/>
        <v>Tax pools</v>
      </c>
    </row>
    <row r="120" spans="1:55" x14ac:dyDescent="0.35">
      <c r="BA120" s="34"/>
    </row>
    <row r="121" spans="1:55" ht="20" thickBot="1" x14ac:dyDescent="0.4">
      <c r="A121" s="7" t="s">
        <v>78</v>
      </c>
      <c r="BA121" s="34"/>
    </row>
    <row r="122" spans="1:55" ht="16.5" thickTop="1" x14ac:dyDescent="0.35">
      <c r="E122" s="33" t="s">
        <v>79</v>
      </c>
      <c r="F122" s="126">
        <f>LicenseeSelect!F77</f>
        <v>0</v>
      </c>
      <c r="G122" s="33" t="str">
        <f>price_label</f>
        <v>£m 23/24 prices</v>
      </c>
      <c r="H122" s="126" t="str">
        <f>LicenseeSelect!H77</f>
        <v>PREDRSt</v>
      </c>
      <c r="AU122" s="87">
        <f>LicenseeSelect!AU77</f>
        <v>0</v>
      </c>
      <c r="AV122" s="36">
        <f>LicenseeSelect!AV77</f>
        <v>0</v>
      </c>
      <c r="AW122" s="36">
        <f>LicenseeSelect!AW77</f>
        <v>0</v>
      </c>
      <c r="AX122" s="36">
        <f>LicenseeSelect!AX77</f>
        <v>0</v>
      </c>
      <c r="AY122" s="36">
        <f>LicenseeSelect!AY77</f>
        <v>0</v>
      </c>
      <c r="BA122" s="34" t="str">
        <f ca="1">$A$1</f>
        <v>Transform</v>
      </c>
      <c r="BB122" s="34" t="str">
        <f>$A$121</f>
        <v>Directly remunerated services</v>
      </c>
    </row>
    <row r="123" spans="1:55" x14ac:dyDescent="0.35">
      <c r="E123" s="33" t="s">
        <v>81</v>
      </c>
      <c r="F123" s="126">
        <f>LicenseeSelect!F78</f>
        <v>0</v>
      </c>
      <c r="G123" s="33" t="str">
        <f>price_label</f>
        <v>£m 23/24 prices</v>
      </c>
      <c r="H123" s="126" t="str">
        <f>LicenseeSelect!H78</f>
        <v>POSDRSt</v>
      </c>
      <c r="AU123" s="87">
        <f>LicenseeSelect!AU78</f>
        <v>0</v>
      </c>
      <c r="AV123" s="36">
        <f>LicenseeSelect!AV78</f>
        <v>0</v>
      </c>
      <c r="AW123" s="36">
        <f>LicenseeSelect!AW78</f>
        <v>0</v>
      </c>
      <c r="AX123" s="36">
        <f>LicenseeSelect!AX78</f>
        <v>0</v>
      </c>
      <c r="AY123" s="36">
        <f>LicenseeSelect!AY78</f>
        <v>0</v>
      </c>
      <c r="BA123" s="34" t="str">
        <f ca="1">$A$1</f>
        <v>Transform</v>
      </c>
      <c r="BB123" s="34" t="str">
        <f>$A$121</f>
        <v>Directly remunerated services</v>
      </c>
    </row>
    <row r="124" spans="1:55" x14ac:dyDescent="0.35">
      <c r="E124" s="33" t="s">
        <v>83</v>
      </c>
      <c r="F124" s="126">
        <f>LicenseeSelect!F79</f>
        <v>0</v>
      </c>
      <c r="G124" s="33" t="str">
        <f>price_label</f>
        <v>£m 23/24 prices</v>
      </c>
      <c r="H124" s="126" t="str">
        <f>LicenseeSelect!H79</f>
        <v>OIDRSt</v>
      </c>
      <c r="AU124" s="87">
        <f>LicenseeSelect!AU79</f>
        <v>0</v>
      </c>
      <c r="AV124" s="36">
        <f>LicenseeSelect!AV79</f>
        <v>0</v>
      </c>
      <c r="AW124" s="36">
        <f>LicenseeSelect!AW79</f>
        <v>0</v>
      </c>
      <c r="AX124" s="36">
        <f>LicenseeSelect!AX79</f>
        <v>0</v>
      </c>
      <c r="AY124" s="36">
        <f>LicenseeSelect!AY79</f>
        <v>0</v>
      </c>
      <c r="BA124" s="34" t="str">
        <f ca="1">$A$1</f>
        <v>Transform</v>
      </c>
      <c r="BB124" s="34" t="str">
        <f>$A$121</f>
        <v>Directly remunerated services</v>
      </c>
    </row>
    <row r="125" spans="1:55" x14ac:dyDescent="0.35">
      <c r="E125" s="33" t="s">
        <v>85</v>
      </c>
      <c r="F125" s="126">
        <f>LicenseeSelect!F80</f>
        <v>0</v>
      </c>
      <c r="G125" s="33" t="str">
        <f>price_label</f>
        <v>£m 23/24 prices</v>
      </c>
      <c r="H125" s="126" t="str">
        <f>LicenseeSelect!H80</f>
        <v>IDRSt</v>
      </c>
      <c r="AU125" s="87">
        <f>LicenseeSelect!AU80</f>
        <v>0</v>
      </c>
      <c r="AV125" s="36">
        <f>LicenseeSelect!AV80</f>
        <v>0</v>
      </c>
      <c r="AW125" s="36">
        <f>LicenseeSelect!AW80</f>
        <v>0</v>
      </c>
      <c r="AX125" s="36">
        <f>LicenseeSelect!AX80</f>
        <v>0</v>
      </c>
      <c r="AY125" s="36">
        <f>LicenseeSelect!AY80</f>
        <v>0</v>
      </c>
      <c r="BA125" s="34" t="str">
        <f ca="1">$A$1</f>
        <v>Transform</v>
      </c>
      <c r="BB125" s="34" t="str">
        <f>$A$121</f>
        <v>Directly remunerated services</v>
      </c>
    </row>
    <row r="126" spans="1:55" x14ac:dyDescent="0.35">
      <c r="E126" s="33" t="s">
        <v>557</v>
      </c>
      <c r="G126" s="33" t="str">
        <f>price_label</f>
        <v>£m 23/24 prices</v>
      </c>
      <c r="AU126" s="166">
        <f>SUM(AU122:AU125)</f>
        <v>0</v>
      </c>
      <c r="AV126" s="38">
        <f t="shared" ref="AV126:AY126" si="21">SUM(AV122:AV125)</f>
        <v>0</v>
      </c>
      <c r="AW126" s="38">
        <f t="shared" si="21"/>
        <v>0</v>
      </c>
      <c r="AX126" s="38">
        <f t="shared" si="21"/>
        <v>0</v>
      </c>
      <c r="AY126" s="38">
        <f t="shared" si="21"/>
        <v>0</v>
      </c>
      <c r="BA126" s="34" t="str">
        <f ca="1">$A$1</f>
        <v>Transform</v>
      </c>
      <c r="BB126" s="34" t="str">
        <f>$A$121</f>
        <v>Directly remunerated services</v>
      </c>
    </row>
    <row r="127" spans="1:55" customFormat="1" ht="14.5" x14ac:dyDescent="0.35">
      <c r="F127" s="127"/>
      <c r="H127" s="127"/>
      <c r="AT127" s="61"/>
      <c r="BB127" s="1"/>
      <c r="BC127" s="1"/>
    </row>
    <row r="128" spans="1:55" x14ac:dyDescent="0.35">
      <c r="E128" s="33" t="s">
        <v>824</v>
      </c>
      <c r="G128" s="33" t="str">
        <f>price_label</f>
        <v>£m 23/24 prices</v>
      </c>
      <c r="AU128" s="87">
        <f>AU122</f>
        <v>0</v>
      </c>
      <c r="AV128" s="87">
        <f t="shared" ref="AV128:AY128" si="22">AV122</f>
        <v>0</v>
      </c>
      <c r="AW128" s="87">
        <f t="shared" si="22"/>
        <v>0</v>
      </c>
      <c r="AX128" s="87">
        <f t="shared" si="22"/>
        <v>0</v>
      </c>
      <c r="AY128" s="87">
        <f t="shared" si="22"/>
        <v>0</v>
      </c>
      <c r="BA128" s="34" t="str">
        <f t="shared" ref="BA128:BA132" ca="1" si="23">$A$1</f>
        <v>Transform</v>
      </c>
      <c r="BB128" s="34" t="str">
        <f t="shared" ref="BB128:BB132" si="24">$A$121</f>
        <v>Directly remunerated services</v>
      </c>
    </row>
    <row r="129" spans="1:56" x14ac:dyDescent="0.35">
      <c r="E129" s="33" t="s">
        <v>825</v>
      </c>
      <c r="G129" s="33" t="str">
        <f>price_label</f>
        <v>£m 23/24 prices</v>
      </c>
      <c r="AU129" s="87">
        <f t="shared" ref="AU129:AY129" si="25">AU123</f>
        <v>0</v>
      </c>
      <c r="AV129" s="87">
        <f t="shared" si="25"/>
        <v>0</v>
      </c>
      <c r="AW129" s="87">
        <f t="shared" si="25"/>
        <v>0</v>
      </c>
      <c r="AX129" s="87">
        <f t="shared" si="25"/>
        <v>0</v>
      </c>
      <c r="AY129" s="87">
        <f t="shared" si="25"/>
        <v>0</v>
      </c>
      <c r="BA129" s="34" t="str">
        <f t="shared" ca="1" si="23"/>
        <v>Transform</v>
      </c>
      <c r="BB129" s="34" t="str">
        <f t="shared" si="24"/>
        <v>Directly remunerated services</v>
      </c>
    </row>
    <row r="130" spans="1:56" x14ac:dyDescent="0.35">
      <c r="E130" s="33" t="s">
        <v>826</v>
      </c>
      <c r="G130" s="33" t="str">
        <f>price_label</f>
        <v>£m 23/24 prices</v>
      </c>
      <c r="AU130" s="87">
        <f t="shared" ref="AU130:AY130" si="26">AU124</f>
        <v>0</v>
      </c>
      <c r="AV130" s="87">
        <f t="shared" si="26"/>
        <v>0</v>
      </c>
      <c r="AW130" s="87">
        <f t="shared" si="26"/>
        <v>0</v>
      </c>
      <c r="AX130" s="87">
        <f t="shared" si="26"/>
        <v>0</v>
      </c>
      <c r="AY130" s="87">
        <f t="shared" si="26"/>
        <v>0</v>
      </c>
      <c r="BA130" s="34" t="str">
        <f t="shared" ca="1" si="23"/>
        <v>Transform</v>
      </c>
      <c r="BB130" s="34" t="str">
        <f t="shared" si="24"/>
        <v>Directly remunerated services</v>
      </c>
    </row>
    <row r="131" spans="1:56" x14ac:dyDescent="0.35">
      <c r="E131" s="33" t="s">
        <v>827</v>
      </c>
      <c r="G131" s="33" t="str">
        <f>price_label</f>
        <v>£m 23/24 prices</v>
      </c>
      <c r="AU131" s="166">
        <f>-SUM(AU128:AU130)</f>
        <v>0</v>
      </c>
      <c r="AV131" s="38">
        <f t="shared" ref="AV131:AY131" si="27">-SUM(AV128:AV130)</f>
        <v>0</v>
      </c>
      <c r="AW131" s="38">
        <f t="shared" si="27"/>
        <v>0</v>
      </c>
      <c r="AX131" s="38">
        <f t="shared" si="27"/>
        <v>0</v>
      </c>
      <c r="AY131" s="38">
        <f t="shared" si="27"/>
        <v>0</v>
      </c>
      <c r="BA131" s="34" t="str">
        <f t="shared" ca="1" si="23"/>
        <v>Transform</v>
      </c>
      <c r="BB131" s="34" t="str">
        <f t="shared" si="24"/>
        <v>Directly remunerated services</v>
      </c>
    </row>
    <row r="132" spans="1:56" x14ac:dyDescent="0.35">
      <c r="E132" s="33" t="s">
        <v>828</v>
      </c>
      <c r="G132" s="33" t="str">
        <f>price_label</f>
        <v>£m 23/24 prices</v>
      </c>
      <c r="AU132" s="166">
        <f>SUM(AU128:AU131)</f>
        <v>0</v>
      </c>
      <c r="AV132" s="38">
        <f t="shared" ref="AV132:AY132" si="28">SUM(AV128:AV131)</f>
        <v>0</v>
      </c>
      <c r="AW132" s="38">
        <f t="shared" si="28"/>
        <v>0</v>
      </c>
      <c r="AX132" s="38">
        <f t="shared" si="28"/>
        <v>0</v>
      </c>
      <c r="AY132" s="38">
        <f t="shared" si="28"/>
        <v>0</v>
      </c>
      <c r="BA132" s="34" t="str">
        <f t="shared" ca="1" si="23"/>
        <v>Transform</v>
      </c>
      <c r="BB132" s="34" t="str">
        <f t="shared" si="24"/>
        <v>Directly remunerated services</v>
      </c>
    </row>
    <row r="133" spans="1:56" x14ac:dyDescent="0.35">
      <c r="AU133"/>
      <c r="AV133"/>
      <c r="AW133"/>
      <c r="AX133"/>
      <c r="AY133"/>
      <c r="BA133" s="34"/>
    </row>
    <row r="134" spans="1:56" x14ac:dyDescent="0.35">
      <c r="E134" s="33" t="s">
        <v>449</v>
      </c>
      <c r="G134" s="33" t="str">
        <f>price_label</f>
        <v>£m 23/24 prices</v>
      </c>
      <c r="AU134" s="166">
        <f>-AU132</f>
        <v>0</v>
      </c>
      <c r="AV134" s="38">
        <f t="shared" ref="AV134:AY134" si="29">-AV132</f>
        <v>0</v>
      </c>
      <c r="AW134" s="38">
        <f t="shared" si="29"/>
        <v>0</v>
      </c>
      <c r="AX134" s="38">
        <f t="shared" si="29"/>
        <v>0</v>
      </c>
      <c r="AY134" s="38">
        <f t="shared" si="29"/>
        <v>0</v>
      </c>
      <c r="AZ134"/>
      <c r="BA134" s="34" t="str">
        <f ca="1">$A$1</f>
        <v>Transform</v>
      </c>
      <c r="BB134" s="34" t="str">
        <f>$A$121</f>
        <v>Directly remunerated services</v>
      </c>
    </row>
    <row r="135" spans="1:56" x14ac:dyDescent="0.35">
      <c r="BA135" s="34"/>
    </row>
    <row r="136" spans="1:56" ht="20" thickBot="1" x14ac:dyDescent="0.4">
      <c r="A136" s="7" t="s">
        <v>87</v>
      </c>
      <c r="BA136" s="34"/>
    </row>
    <row r="137" spans="1:56" ht="18" thickTop="1" thickBot="1" x14ac:dyDescent="0.4">
      <c r="B137" s="8" t="s">
        <v>247</v>
      </c>
      <c r="BA137" s="34"/>
    </row>
    <row r="138" spans="1:56" ht="17" thickTop="1" thickBot="1" x14ac:dyDescent="0.4">
      <c r="C138" s="11" t="s">
        <v>248</v>
      </c>
      <c r="BA138" s="34"/>
    </row>
    <row r="139" spans="1:56" x14ac:dyDescent="0.35">
      <c r="E139" s="33" t="s">
        <v>249</v>
      </c>
      <c r="G139" s="33" t="s">
        <v>236</v>
      </c>
      <c r="H139" s="127"/>
      <c r="I139"/>
      <c r="J139" s="33" t="s">
        <v>13</v>
      </c>
      <c r="AP139"/>
      <c r="AQ139"/>
      <c r="AR139" s="37">
        <f t="shared" ref="AR139:AY139" si="30">(AR4=BaseYear)*1</f>
        <v>1</v>
      </c>
      <c r="AS139" s="37">
        <f t="shared" si="30"/>
        <v>0</v>
      </c>
      <c r="AT139" s="183">
        <f t="shared" si="30"/>
        <v>0</v>
      </c>
      <c r="AU139" s="161">
        <f t="shared" si="30"/>
        <v>0</v>
      </c>
      <c r="AV139" s="37">
        <f t="shared" si="30"/>
        <v>0</v>
      </c>
      <c r="AW139" s="37">
        <f t="shared" si="30"/>
        <v>0</v>
      </c>
      <c r="AX139" s="37">
        <f t="shared" si="30"/>
        <v>0</v>
      </c>
      <c r="AY139" s="37">
        <f t="shared" si="30"/>
        <v>0</v>
      </c>
      <c r="BA139" s="34" t="str">
        <f t="shared" ref="BA139:BA147" ca="1" si="31">$A$1</f>
        <v>Transform</v>
      </c>
      <c r="BB139" s="34" t="str">
        <f t="shared" ref="BB139:BB147" si="32">$A$136</f>
        <v>Finance inputs</v>
      </c>
      <c r="BC139" s="34" t="str">
        <f t="shared" ref="BC139:BC147" si="33">$B$137</f>
        <v>Inflation and price conversion</v>
      </c>
      <c r="BD139" s="34" t="str">
        <f t="shared" ref="BD139:BD147" si="34">$C$138</f>
        <v>Price indices and inflation rates</v>
      </c>
    </row>
    <row r="140" spans="1:56" x14ac:dyDescent="0.35">
      <c r="E140" t="s">
        <v>418</v>
      </c>
      <c r="F140" s="127"/>
      <c r="G140" s="33" t="s">
        <v>231</v>
      </c>
      <c r="H140" s="127"/>
      <c r="I140"/>
      <c r="J140" s="33" t="s">
        <v>13</v>
      </c>
      <c r="K140" s="14"/>
      <c r="L140"/>
      <c r="M140"/>
      <c r="N140"/>
      <c r="O140"/>
      <c r="P140"/>
      <c r="Q140"/>
      <c r="R140"/>
      <c r="S140"/>
      <c r="T140"/>
      <c r="U140"/>
      <c r="V140" s="44">
        <f t="shared" ref="V140:AY140" si="35">YEAR(V4)</f>
        <v>2002</v>
      </c>
      <c r="W140" s="44">
        <f t="shared" si="35"/>
        <v>2003</v>
      </c>
      <c r="X140" s="44">
        <f t="shared" si="35"/>
        <v>2004</v>
      </c>
      <c r="Y140" s="44">
        <f t="shared" si="35"/>
        <v>2005</v>
      </c>
      <c r="Z140" s="44">
        <f t="shared" si="35"/>
        <v>2006</v>
      </c>
      <c r="AA140" s="44">
        <f t="shared" si="35"/>
        <v>2007</v>
      </c>
      <c r="AB140" s="44">
        <f t="shared" si="35"/>
        <v>2008</v>
      </c>
      <c r="AC140" s="44">
        <f t="shared" si="35"/>
        <v>2009</v>
      </c>
      <c r="AD140" s="44">
        <f t="shared" si="35"/>
        <v>2010</v>
      </c>
      <c r="AE140" s="44">
        <f t="shared" si="35"/>
        <v>2011</v>
      </c>
      <c r="AF140" s="44">
        <f t="shared" si="35"/>
        <v>2012</v>
      </c>
      <c r="AG140" s="44">
        <f t="shared" si="35"/>
        <v>2013</v>
      </c>
      <c r="AH140" s="44">
        <f t="shared" si="35"/>
        <v>2014</v>
      </c>
      <c r="AI140" s="44">
        <f t="shared" si="35"/>
        <v>2015</v>
      </c>
      <c r="AJ140" s="44">
        <f t="shared" si="35"/>
        <v>2016</v>
      </c>
      <c r="AK140" s="44">
        <f t="shared" si="35"/>
        <v>2017</v>
      </c>
      <c r="AL140" s="44">
        <f t="shared" si="35"/>
        <v>2018</v>
      </c>
      <c r="AM140" s="44">
        <f t="shared" si="35"/>
        <v>2019</v>
      </c>
      <c r="AN140" s="44">
        <f t="shared" si="35"/>
        <v>2020</v>
      </c>
      <c r="AO140" s="44">
        <f t="shared" si="35"/>
        <v>2021</v>
      </c>
      <c r="AP140" s="44">
        <f t="shared" si="35"/>
        <v>2022</v>
      </c>
      <c r="AQ140" s="44">
        <f t="shared" si="35"/>
        <v>2023</v>
      </c>
      <c r="AR140" s="44">
        <f t="shared" si="35"/>
        <v>2024</v>
      </c>
      <c r="AS140" s="44">
        <f t="shared" si="35"/>
        <v>2025</v>
      </c>
      <c r="AT140" s="176">
        <f t="shared" si="35"/>
        <v>2026</v>
      </c>
      <c r="AU140" s="160">
        <f t="shared" si="35"/>
        <v>2027</v>
      </c>
      <c r="AV140" s="44">
        <f t="shared" si="35"/>
        <v>2028</v>
      </c>
      <c r="AW140" s="44">
        <f t="shared" si="35"/>
        <v>2029</v>
      </c>
      <c r="AX140" s="44">
        <f t="shared" si="35"/>
        <v>2030</v>
      </c>
      <c r="AY140" s="44">
        <f t="shared" si="35"/>
        <v>2031</v>
      </c>
      <c r="BA140" s="34" t="str">
        <f t="shared" ca="1" si="31"/>
        <v>Transform</v>
      </c>
      <c r="BB140" s="34" t="str">
        <f t="shared" si="32"/>
        <v>Finance inputs</v>
      </c>
      <c r="BC140" s="34" t="str">
        <f t="shared" si="33"/>
        <v>Inflation and price conversion</v>
      </c>
      <c r="BD140" s="34" t="str">
        <f t="shared" si="34"/>
        <v>Price indices and inflation rates</v>
      </c>
    </row>
    <row r="141" spans="1:56" x14ac:dyDescent="0.35">
      <c r="E141" t="s">
        <v>589</v>
      </c>
      <c r="F141" s="127"/>
      <c r="G141" s="33" t="s">
        <v>232</v>
      </c>
      <c r="H141" s="127"/>
      <c r="I141"/>
      <c r="J141" s="33" t="s">
        <v>13</v>
      </c>
      <c r="K141" s="14"/>
      <c r="L141"/>
      <c r="M141"/>
      <c r="N141"/>
      <c r="O141"/>
      <c r="P141"/>
      <c r="Q141"/>
      <c r="R141"/>
      <c r="S141"/>
      <c r="T141"/>
      <c r="U141"/>
      <c r="V141" s="12">
        <f>AVERAGEIFS(Inflation!$E:$E,Inflation!$A:$A,"&gt;="&amp;DATE(V$140-1,4,1),Inflation!$A:$A,"&lt;="&amp;DATE(V$140,4-1,1))</f>
        <v>74.86666666666666</v>
      </c>
      <c r="W141" s="12">
        <f>AVERAGEIFS(Inflation!$E:$E,Inflation!$A:$A,"&gt;="&amp;DATE(W$140-1,4,1),Inflation!$A:$A,"&lt;="&amp;DATE(W$140,4-1,1))</f>
        <v>75.958333333333329</v>
      </c>
      <c r="X141" s="12">
        <f>AVERAGEIFS(Inflation!$E:$E,Inflation!$A:$A,"&gt;="&amp;DATE(X$140-1,4,1),Inflation!$A:$A,"&lt;="&amp;DATE(X$140,4-1,1))</f>
        <v>76.974999999999994</v>
      </c>
      <c r="Y141" s="12">
        <f>AVERAGEIFS(Inflation!$E:$E,Inflation!$A:$A,"&gt;="&amp;DATE(Y$140-1,4,1),Inflation!$A:$A,"&lt;="&amp;DATE(Y$140,4-1,1))</f>
        <v>78.124999999999986</v>
      </c>
      <c r="Z141" s="12">
        <f>AVERAGEIFS(Inflation!$E:$E,Inflation!$A:$A,"&gt;="&amp;DATE(Z$140-1,4,1),Inflation!$A:$A,"&lt;="&amp;DATE(Z$140,4-1,1))</f>
        <v>79.825000000000003</v>
      </c>
      <c r="AA141" s="12">
        <f>AVERAGEIFS(Inflation!$E:$E,Inflation!$A:$A,"&gt;="&amp;DATE(AA$140-1,4,1),Inflation!$A:$A,"&lt;="&amp;DATE(AA$140,4-1,1))</f>
        <v>81.916666666666671</v>
      </c>
      <c r="AB141" s="12">
        <f>AVERAGEIFS(Inflation!$E:$E,Inflation!$A:$A,"&gt;="&amp;DATE(AB$140-1,4,1),Inflation!$A:$A,"&lt;="&amp;DATE(AB$140,4-1,1))</f>
        <v>83.825000000000003</v>
      </c>
      <c r="AC141" s="12">
        <f>AVERAGEIFS(Inflation!$E:$E,Inflation!$A:$A,"&gt;="&amp;DATE(AC$140-1,4,1),Inflation!$A:$A,"&lt;="&amp;DATE(AC$140,4-1,1))</f>
        <v>86.858333333333334</v>
      </c>
      <c r="AD141" s="12">
        <f>AVERAGEIFS(Inflation!$E:$E,Inflation!$A:$A,"&gt;="&amp;DATE(AD$140-1,4,1),Inflation!$A:$A,"&lt;="&amp;DATE(AD$140,4-1,1))</f>
        <v>88.433333333333337</v>
      </c>
      <c r="AE141" s="12">
        <f>AVERAGEIFS(Inflation!$E:$E,Inflation!$A:$A,"&gt;="&amp;DATE(AE$140-1,4,1),Inflation!$A:$A,"&lt;="&amp;DATE(AE$140,4-1,1))</f>
        <v>90.908333333333317</v>
      </c>
      <c r="AF141" s="12">
        <f>AVERAGEIFS(Inflation!$E:$E,Inflation!$A:$A,"&gt;="&amp;DATE(AF$140-1,4,1),Inflation!$A:$A,"&lt;="&amp;DATE(AF$140,4-1,1))</f>
        <v>94.308333333333351</v>
      </c>
      <c r="AG141" s="12">
        <f>AVERAGEIFS(Inflation!$E:$E,Inflation!$A:$A,"&gt;="&amp;DATE(AG$140-1,4,1),Inflation!$A:$A,"&lt;="&amp;DATE(AG$140,4-1,1))</f>
        <v>96.583333333333314</v>
      </c>
      <c r="AH141" s="12">
        <f>AVERAGEIFS(Inflation!$E:$E,Inflation!$A:$A,"&gt;="&amp;DATE(AH$140-1,4,1),Inflation!$A:$A,"&lt;="&amp;DATE(AH$140,4-1,1))</f>
        <v>98.600000000000009</v>
      </c>
      <c r="AI141" s="12">
        <f>AVERAGEIFS(Inflation!$E:$E,Inflation!$A:$A,"&gt;="&amp;DATE(AI$140-1,4,1),Inflation!$A:$A,"&lt;="&amp;DATE(AI$140,4-1,1))</f>
        <v>99.72499999999998</v>
      </c>
      <c r="AJ141" s="12">
        <f>AVERAGEIFS(Inflation!$E:$E,Inflation!$A:$A,"&gt;="&amp;DATE(AJ$140-1,4,1),Inflation!$A:$A,"&lt;="&amp;DATE(AJ$140,4-1,1))</f>
        <v>100.16666666666667</v>
      </c>
      <c r="AK141" s="12">
        <f>AVERAGEIFS(Inflation!$E:$E,Inflation!$A:$A,"&gt;="&amp;DATE(AK$140-1,4,1),Inflation!$A:$A,"&lt;="&amp;DATE(AK$140,4-1,1))</f>
        <v>101.54166666666667</v>
      </c>
      <c r="AL141" s="12">
        <f>AVERAGEIFS(Inflation!$E:$E,Inflation!$A:$A,"&gt;="&amp;DATE(AL$140-1,4,1),Inflation!$A:$A,"&lt;="&amp;DATE(AL$140,4-1,1))</f>
        <v>104.21666666666665</v>
      </c>
      <c r="AM141" s="12">
        <f>AVERAGEIFS(Inflation!$E:$E,Inflation!$A:$A,"&gt;="&amp;DATE(AM$140-1,4,1),Inflation!$A:$A,"&lt;="&amp;DATE(AM$140,4-1,1))</f>
        <v>106.43333333333334</v>
      </c>
      <c r="AN141" s="12">
        <f>AVERAGEIFS(Inflation!$E:$E,Inflation!$A:$A,"&gt;="&amp;DATE(AN$140-1,4,1),Inflation!$A:$A,"&lt;="&amp;DATE(AN$140,4-1,1))</f>
        <v>108.24166666666663</v>
      </c>
      <c r="AO141" s="12">
        <f>AVERAGEIFS(Inflation!$E:$E,Inflation!$A:$A,"&gt;="&amp;DATE(AO$140-1,4,1),Inflation!$A:$A,"&lt;="&amp;DATE(AO$140,4-1,1))</f>
        <v>109.10833333333335</v>
      </c>
      <c r="AP141" s="12">
        <f>AVERAGEIFS(Inflation!$E:$E,Inflation!$A:$A,"&gt;="&amp;DATE(AP$140-1,4,1),Inflation!$A:$A,"&lt;="&amp;DATE(AP$140,4-1,1))</f>
        <v>113.11666666666667</v>
      </c>
      <c r="AQ141" s="12">
        <f>AVERAGEIFS(Inflation!$E:$E,Inflation!$A:$A,"&gt;="&amp;DATE(AQ$140-1,4,1),Inflation!$A:$A,"&lt;="&amp;DATE(AQ$140,4-1,1))</f>
        <v>123.04166666666664</v>
      </c>
      <c r="AR141" s="12">
        <f>AVERAGEIFS(Inflation!$E:$E,Inflation!$A:$A,"&gt;="&amp;DATE(AR$140-1,4,1),Inflation!$A:$A,"&lt;="&amp;DATE(AR$140,4-1,1))</f>
        <v>129.86666666666665</v>
      </c>
      <c r="AS141" s="12">
        <f>AVERAGEIFS(Inflation!$E:$E,Inflation!$A:$A,"&gt;="&amp;DATE(AS$140-1,4,1),Inflation!$A:$A,"&lt;="&amp;DATE(AS$140,4-1,1))</f>
        <v>134.04166666666663</v>
      </c>
      <c r="AT141" s="69">
        <f>AVERAGEIFS(Inflation!$E:$E,Inflation!$A:$A,"&gt;="&amp;DATE(AT$140-1,4,1),Inflation!$A:$A,"&lt;="&amp;DATE(AT$140,4-1,1))</f>
        <v>139.12627369464536</v>
      </c>
      <c r="AU141" s="152">
        <f>AVERAGEIFS(Inflation!$E:$E,Inflation!$A:$A,"&gt;="&amp;DATE(AU$140-1,4,1),Inflation!$A:$A,"&lt;="&amp;DATE(AU$140,4-1,1))</f>
        <v>142.27859458535951</v>
      </c>
      <c r="AV141" s="12">
        <f>AVERAGEIFS(Inflation!$E:$E,Inflation!$A:$A,"&gt;="&amp;DATE(AV$140-1,4,1),Inflation!$A:$A,"&lt;="&amp;DATE(AV$140,4-1,1))</f>
        <v>145.3177469286837</v>
      </c>
      <c r="AW141" s="12">
        <f>AVERAGEIFS(Inflation!$E:$E,Inflation!$A:$A,"&gt;="&amp;DATE(AW$140-1,4,1),Inflation!$A:$A,"&lt;="&amp;DATE(AW$140,4-1,1))</f>
        <v>148.40102179892503</v>
      </c>
      <c r="AX141" s="12">
        <f>AVERAGEIFS(Inflation!$E:$E,Inflation!$A:$A,"&gt;="&amp;DATE(AX$140-1,4,1),Inflation!$A:$A,"&lt;="&amp;DATE(AX$140,4-1,1))</f>
        <v>151.52770974284005</v>
      </c>
      <c r="AY141" s="12">
        <f>AVERAGEIFS(Inflation!$E:$E,Inflation!$A:$A,"&gt;="&amp;DATE(AY$140-1,4,1),Inflation!$A:$A,"&lt;="&amp;DATE(AY$140,4-1,1))</f>
        <v>154.75776773039104</v>
      </c>
      <c r="BA141" s="34" t="str">
        <f t="shared" ca="1" si="31"/>
        <v>Transform</v>
      </c>
      <c r="BB141" s="34" t="str">
        <f t="shared" si="32"/>
        <v>Finance inputs</v>
      </c>
      <c r="BC141" s="34" t="str">
        <f t="shared" si="33"/>
        <v>Inflation and price conversion</v>
      </c>
      <c r="BD141" s="34" t="str">
        <f t="shared" si="34"/>
        <v>Price indices and inflation rates</v>
      </c>
    </row>
    <row r="142" spans="1:56" x14ac:dyDescent="0.35">
      <c r="E142" s="33" t="s">
        <v>590</v>
      </c>
      <c r="F142" s="127"/>
      <c r="G142" s="33" t="s">
        <v>109</v>
      </c>
      <c r="H142" s="127"/>
      <c r="I142"/>
      <c r="J142" s="33" t="s">
        <v>13</v>
      </c>
      <c r="K142" s="14"/>
      <c r="L142"/>
      <c r="M142"/>
      <c r="N142"/>
      <c r="O142"/>
      <c r="P142"/>
      <c r="Q142"/>
      <c r="R142"/>
      <c r="S142"/>
      <c r="T142"/>
      <c r="U142"/>
      <c r="V142"/>
      <c r="W142" s="46">
        <f>W141/V141-1</f>
        <v>1.4581478183437246E-2</v>
      </c>
      <c r="X142" s="46">
        <f t="shared" ref="X142:AY142" si="36">X141/W141-1</f>
        <v>1.3384530992868848E-2</v>
      </c>
      <c r="Y142" s="46">
        <f t="shared" si="36"/>
        <v>1.4939915556998917E-2</v>
      </c>
      <c r="Z142" s="46">
        <f t="shared" si="36"/>
        <v>2.1760000000000224E-2</v>
      </c>
      <c r="AA142" s="46">
        <f t="shared" si="36"/>
        <v>2.6203152729930013E-2</v>
      </c>
      <c r="AB142" s="46">
        <f t="shared" si="36"/>
        <v>2.3296032553407953E-2</v>
      </c>
      <c r="AC142" s="46">
        <f t="shared" si="36"/>
        <v>3.6186499652052895E-2</v>
      </c>
      <c r="AD142" s="46">
        <f t="shared" si="36"/>
        <v>1.8132975151108122E-2</v>
      </c>
      <c r="AE142" s="46">
        <f t="shared" si="36"/>
        <v>2.7987184319637981E-2</v>
      </c>
      <c r="AF142" s="46">
        <f t="shared" si="36"/>
        <v>3.7400311669264275E-2</v>
      </c>
      <c r="AG142" s="46">
        <f t="shared" si="36"/>
        <v>2.4123000795263305E-2</v>
      </c>
      <c r="AH142" s="46">
        <f t="shared" si="36"/>
        <v>2.088006902502193E-2</v>
      </c>
      <c r="AI142" s="46">
        <f t="shared" si="36"/>
        <v>1.1409736308316099E-2</v>
      </c>
      <c r="AJ142" s="46">
        <f t="shared" si="36"/>
        <v>4.4288459931480784E-3</v>
      </c>
      <c r="AK142" s="46">
        <f t="shared" si="36"/>
        <v>1.3727121464226277E-2</v>
      </c>
      <c r="AL142" s="46">
        <f t="shared" si="36"/>
        <v>2.6343865408288814E-2</v>
      </c>
      <c r="AM142" s="46">
        <f t="shared" si="36"/>
        <v>2.1269790500559882E-2</v>
      </c>
      <c r="AN142" s="46">
        <f t="shared" si="36"/>
        <v>1.6990291262135582E-2</v>
      </c>
      <c r="AO142" s="46">
        <f t="shared" si="36"/>
        <v>8.0067749634311625E-3</v>
      </c>
      <c r="AP142" s="46">
        <f t="shared" si="36"/>
        <v>3.6737187810280236E-2</v>
      </c>
      <c r="AQ142" s="46">
        <f t="shared" si="36"/>
        <v>8.7741270075143429E-2</v>
      </c>
      <c r="AR142" s="46">
        <f t="shared" si="36"/>
        <v>5.5469014561462915E-2</v>
      </c>
      <c r="AS142" s="46">
        <f t="shared" si="36"/>
        <v>3.2148357289527585E-2</v>
      </c>
      <c r="AT142" s="172">
        <f t="shared" si="36"/>
        <v>3.7933033469533584E-2</v>
      </c>
      <c r="AU142" s="153">
        <f t="shared" si="36"/>
        <v>2.265798405291064E-2</v>
      </c>
      <c r="AV142" s="46">
        <f t="shared" si="36"/>
        <v>2.1360573262486415E-2</v>
      </c>
      <c r="AW142" s="46">
        <f t="shared" si="36"/>
        <v>2.1217469547986312E-2</v>
      </c>
      <c r="AX142" s="46">
        <f t="shared" si="36"/>
        <v>2.1069180697094625E-2</v>
      </c>
      <c r="AY142" s="46">
        <f t="shared" si="36"/>
        <v>2.1316615904990455E-2</v>
      </c>
      <c r="BA142" s="34" t="str">
        <f t="shared" ca="1" si="31"/>
        <v>Transform</v>
      </c>
      <c r="BB142" s="34" t="str">
        <f t="shared" si="32"/>
        <v>Finance inputs</v>
      </c>
      <c r="BC142" s="34" t="str">
        <f t="shared" si="33"/>
        <v>Inflation and price conversion</v>
      </c>
      <c r="BD142" s="34" t="str">
        <f t="shared" si="34"/>
        <v>Price indices and inflation rates</v>
      </c>
    </row>
    <row r="143" spans="1:56" x14ac:dyDescent="0.35">
      <c r="E143" t="s">
        <v>378</v>
      </c>
      <c r="F143" s="127"/>
      <c r="G143" s="33" t="s">
        <v>109</v>
      </c>
      <c r="H143" s="127"/>
      <c r="I143"/>
      <c r="J143"/>
      <c r="K143" s="14"/>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s="61"/>
      <c r="AU143" s="158">
        <f>LicenseeSelect!AU512</f>
        <v>2.1299999999999999E-2</v>
      </c>
      <c r="AV143" s="45">
        <f>LicenseeSelect!AV512</f>
        <v>2.1299999999999999E-2</v>
      </c>
      <c r="AW143" s="45">
        <f>LicenseeSelect!AW512</f>
        <v>2.1299999999999999E-2</v>
      </c>
      <c r="AX143" s="45">
        <f>LicenseeSelect!AX512</f>
        <v>2.1299999999999999E-2</v>
      </c>
      <c r="AY143" s="45">
        <f>LicenseeSelect!AY512</f>
        <v>2.1299999999999999E-2</v>
      </c>
      <c r="BA143" s="34" t="str">
        <f t="shared" ca="1" si="31"/>
        <v>Transform</v>
      </c>
      <c r="BB143" s="34" t="str">
        <f t="shared" si="32"/>
        <v>Finance inputs</v>
      </c>
      <c r="BC143" s="34" t="str">
        <f t="shared" si="33"/>
        <v>Inflation and price conversion</v>
      </c>
      <c r="BD143" s="34" t="str">
        <f t="shared" si="34"/>
        <v>Price indices and inflation rates</v>
      </c>
    </row>
    <row r="144" spans="1:56" x14ac:dyDescent="0.35">
      <c r="E144" t="s">
        <v>560</v>
      </c>
      <c r="F144" s="127"/>
      <c r="G144" s="33" t="s">
        <v>232</v>
      </c>
      <c r="H144" s="127"/>
      <c r="I144"/>
      <c r="J144" s="33" t="s">
        <v>13</v>
      </c>
      <c r="K144" s="14"/>
      <c r="L144"/>
      <c r="M144"/>
      <c r="N144"/>
      <c r="O144"/>
      <c r="P144"/>
      <c r="Q144"/>
      <c r="R144"/>
      <c r="S144"/>
      <c r="T144"/>
      <c r="U144"/>
      <c r="V144" s="12">
        <f>AVERAGEIFS(Inflation!$F:$F,Inflation!$A:$A,"&gt;="&amp;DATE(V$140-1,4,1),Inflation!$A:$A,"&lt;="&amp;DATE(V$140,4-1,1))</f>
        <v>173.875</v>
      </c>
      <c r="W144" s="12">
        <f>AVERAGEIFS(Inflation!$F:$F,Inflation!$A:$A,"&gt;="&amp;DATE(W$140-1,4,1),Inflation!$A:$A,"&lt;="&amp;DATE(W$140,4-1,1))</f>
        <v>177.51666666666665</v>
      </c>
      <c r="X144" s="12">
        <f>AVERAGEIFS(Inflation!$F:$F,Inflation!$A:$A,"&gt;="&amp;DATE(X$140-1,4,1),Inflation!$A:$A,"&lt;="&amp;DATE(X$140,4-1,1))</f>
        <v>182.47499999999999</v>
      </c>
      <c r="Y144" s="12">
        <f>AVERAGEIFS(Inflation!$F:$F,Inflation!$A:$A,"&gt;="&amp;DATE(Y$140-1,4,1),Inflation!$A:$A,"&lt;="&amp;DATE(Y$140,4-1,1))</f>
        <v>188.15</v>
      </c>
      <c r="Z144" s="12">
        <f>AVERAGEIFS(Inflation!$F:$F,Inflation!$A:$A,"&gt;="&amp;DATE(Z$140-1,4,1),Inflation!$A:$A,"&lt;="&amp;DATE(Z$140,4-1,1))</f>
        <v>193.10833333333332</v>
      </c>
      <c r="AA144" s="12">
        <f>AVERAGEIFS(Inflation!$F:$F,Inflation!$A:$A,"&gt;="&amp;DATE(AA$140-1,4,1),Inflation!$A:$A,"&lt;="&amp;DATE(AA$140,4-1,1))</f>
        <v>200.31666666666669</v>
      </c>
      <c r="AB144" s="12">
        <f>AVERAGEIFS(Inflation!$F:$F,Inflation!$A:$A,"&gt;="&amp;DATE(AB$140-1,4,1),Inflation!$A:$A,"&lt;="&amp;DATE(AB$140,4-1,1))</f>
        <v>208.5916666666667</v>
      </c>
      <c r="AC144" s="12">
        <f>AVERAGEIFS(Inflation!$F:$F,Inflation!$A:$A,"&gt;="&amp;DATE(AC$140-1,4,1),Inflation!$A:$A,"&lt;="&amp;DATE(AC$140,4-1,1))</f>
        <v>214.78333333333339</v>
      </c>
      <c r="AD144" s="12">
        <f>AVERAGEIFS(Inflation!$F:$F,Inflation!$A:$A,"&gt;="&amp;DATE(AD$140-1,4,1),Inflation!$A:$A,"&lt;="&amp;DATE(AD$140,4-1,1))</f>
        <v>215.76666666666662</v>
      </c>
      <c r="AE144" s="12">
        <f>AVERAGEIFS(Inflation!$F:$F,Inflation!$A:$A,"&gt;="&amp;DATE(AE$140-1,4,1),Inflation!$A:$A,"&lt;="&amp;DATE(AE$140,4-1,1))</f>
        <v>226.47499999999999</v>
      </c>
      <c r="AF144" s="12">
        <f>AVERAGEIFS(Inflation!$F:$F,Inflation!$A:$A,"&gt;="&amp;DATE(AF$140-1,4,1),Inflation!$A:$A,"&lt;="&amp;DATE(AF$140,4-1,1))</f>
        <v>237.3416666666667</v>
      </c>
      <c r="AG144" s="12">
        <f>AVERAGEIFS(Inflation!$F:$F,Inflation!$A:$A,"&gt;="&amp;DATE(AG$140-1,4,1),Inflation!$A:$A,"&lt;="&amp;DATE(AG$140,4-1,1))</f>
        <v>244.67499999999998</v>
      </c>
      <c r="AH144" s="12">
        <f>AVERAGEIFS(Inflation!$F:$F,Inflation!$A:$A,"&gt;="&amp;DATE(AH$140-1,4,1),Inflation!$A:$A,"&lt;="&amp;DATE(AH$140,4-1,1))</f>
        <v>251.73333333333335</v>
      </c>
      <c r="AI144" s="12">
        <f>AVERAGEIFS(Inflation!$F:$F,Inflation!$A:$A,"&gt;="&amp;DATE(AI$140-1,4,1),Inflation!$A:$A,"&lt;="&amp;DATE(AI$140,4-1,1))</f>
        <v>256.66666666666669</v>
      </c>
      <c r="AJ144" s="12">
        <f>AVERAGEIFS(Inflation!$F:$F,Inflation!$A:$A,"&gt;="&amp;DATE(AJ$140-1,4,1),Inflation!$A:$A,"&lt;="&amp;DATE(AJ$140,4-1,1))</f>
        <v>259.43333333333334</v>
      </c>
      <c r="AK144" s="12">
        <f>AVERAGEIFS(Inflation!$F:$F,Inflation!$A:$A,"&gt;="&amp;DATE(AK$140-1,4,1),Inflation!$A:$A,"&lt;="&amp;DATE(AK$140,4-1,1))</f>
        <v>264.99166666666673</v>
      </c>
      <c r="AL144" s="12">
        <f>AVERAGEIFS(Inflation!$F:$F,Inflation!$A:$A,"&gt;="&amp;DATE(AL$140-1,4,1),Inflation!$A:$A,"&lt;="&amp;DATE(AL$140,4-1,1))</f>
        <v>274.90833333333336</v>
      </c>
      <c r="AM144" s="12">
        <f>AVERAGEIFS(Inflation!$F:$F,Inflation!$A:$A,"&gt;="&amp;DATE(AM$140-1,4,1),Inflation!$A:$A,"&lt;="&amp;DATE(AM$140,4-1,1))</f>
        <v>283.30833333333334</v>
      </c>
      <c r="AN144" s="12">
        <f>AVERAGEIFS(Inflation!$F:$F,Inflation!$A:$A,"&gt;="&amp;DATE(AN$140-1,4,1),Inflation!$A:$A,"&lt;="&amp;DATE(AN$140,4-1,1))</f>
        <v>290.64166666666665</v>
      </c>
      <c r="AO144" s="12">
        <f>AVERAGEIFS(Inflation!$F:$F,Inflation!$A:$A,"&gt;="&amp;DATE(AO$140-1,4,1),Inflation!$A:$A,"&lt;="&amp;DATE(AO$140,4-1,1))</f>
        <v>294.16666666666669</v>
      </c>
      <c r="AP144" s="12">
        <f>AVERAGEIFS(Inflation!$F:$F,Inflation!$A:$A,"&gt;="&amp;DATE(AP$140-1,4,1),Inflation!$A:$A,"&lt;="&amp;DATE(AP$140,4-1,1))</f>
        <v>307.32821397646848</v>
      </c>
      <c r="AQ144" s="12">
        <f>AVERAGEIFS(Inflation!$F:$F,Inflation!$A:$A,"&gt;="&amp;DATE(AQ$140-1,4,1),Inflation!$A:$A,"&lt;="&amp;DATE(AQ$140,4-1,1))</f>
        <v>334.29358180068937</v>
      </c>
      <c r="AR144" s="12">
        <f>AVERAGEIFS(Inflation!$F:$F,Inflation!$A:$A,"&gt;="&amp;DATE(AR$140-1,4,1),Inflation!$A:$A,"&lt;="&amp;DATE(AR$140,4-1,1))</f>
        <v>352.83651735739545</v>
      </c>
      <c r="AS144" s="12">
        <f>AVERAGEIFS(Inflation!$F:$F,Inflation!$A:$A,"&gt;="&amp;DATE(AS$140-1,4,1),Inflation!$A:$A,"&lt;="&amp;DATE(AS$140,4-1,1))</f>
        <v>364.17963178219367</v>
      </c>
      <c r="AT144" s="69">
        <f>AVERAGEIFS(Inflation!$F:$F,Inflation!$A:$A,"&gt;="&amp;DATE(AT$140-1,4,1),Inflation!$A:$A,"&lt;="&amp;DATE(AT$140,4-1,1))</f>
        <v>377.99406994350988</v>
      </c>
      <c r="AU144" s="152">
        <f>AVERAGEIFS(Inflation!$F:$F,Inflation!$A:$A,"&gt;="&amp;DATE(AU$140-1,4,1),Inflation!$A:$A,"&lt;="&amp;DATE(AU$140,4-1,1))</f>
        <v>386.55865355238467</v>
      </c>
      <c r="AV144" s="12">
        <f>AVERAGEIFS(Inflation!$F:$F,Inflation!$A:$A,"&gt;="&amp;DATE(AV$140-1,4,1),Inflation!$A:$A,"&lt;="&amp;DATE(AV$140,4-1,1))</f>
        <v>394.81576799183853</v>
      </c>
      <c r="AW144" s="12">
        <f>AVERAGEIFS(Inflation!$F:$F,Inflation!$A:$A,"&gt;="&amp;DATE(AW$140-1,4,1),Inflation!$A:$A,"&lt;="&amp;DATE(AW$140,4-1,1))</f>
        <v>403.19275952627032</v>
      </c>
      <c r="AX144" s="12">
        <f>AVERAGEIFS(Inflation!$F:$F,Inflation!$A:$A,"&gt;="&amp;DATE(AX$140-1,4,1),Inflation!$A:$A,"&lt;="&amp;DATE(AX$140,4-1,1))</f>
        <v>411.68770063248934</v>
      </c>
      <c r="AY144" s="12">
        <f>AVERAGEIFS(Inflation!$F:$F,Inflation!$A:$A,"&gt;="&amp;DATE(AY$140-1,4,1),Inflation!$A:$A,"&lt;="&amp;DATE(AY$140,4-1,1))</f>
        <v>420.46348921968098</v>
      </c>
      <c r="BA144" s="34" t="str">
        <f t="shared" ca="1" si="31"/>
        <v>Transform</v>
      </c>
      <c r="BB144" s="34" t="str">
        <f t="shared" si="32"/>
        <v>Finance inputs</v>
      </c>
      <c r="BC144" s="34" t="str">
        <f t="shared" si="33"/>
        <v>Inflation and price conversion</v>
      </c>
      <c r="BD144" s="34" t="str">
        <f t="shared" si="34"/>
        <v>Price indices and inflation rates</v>
      </c>
    </row>
    <row r="145" spans="2:56" x14ac:dyDescent="0.35">
      <c r="E145" t="s">
        <v>562</v>
      </c>
      <c r="F145" s="127"/>
      <c r="G145" s="33" t="s">
        <v>232</v>
      </c>
      <c r="H145" s="127"/>
      <c r="I145"/>
      <c r="J145" s="33" t="s">
        <v>13</v>
      </c>
      <c r="K145" s="14"/>
      <c r="L145"/>
      <c r="M145"/>
      <c r="N145"/>
      <c r="O145"/>
      <c r="P145"/>
      <c r="Q145"/>
      <c r="R145"/>
      <c r="S145"/>
      <c r="T145"/>
      <c r="U145"/>
      <c r="V145" s="12">
        <f>AVERAGEIFS(Inflation!$F:$F,Inflation!$A:$A,"&gt;="&amp;DATE(V$140,4 - 1, 1),Inflation!$A:$A,"&lt;="&amp;DATE(V$140, 4, 1))</f>
        <v>175.1</v>
      </c>
      <c r="W145" s="12">
        <f>AVERAGEIFS(Inflation!$F:$F,Inflation!$A:$A,"&gt;="&amp;DATE(W$140,4 - 1, 1),Inflation!$A:$A,"&lt;="&amp;DATE(W$140, 4, 1))</f>
        <v>180.55</v>
      </c>
      <c r="X145" s="12">
        <f>AVERAGEIFS(Inflation!$F:$F,Inflation!$A:$A,"&gt;="&amp;DATE(X$140,4 - 1, 1),Inflation!$A:$A,"&lt;="&amp;DATE(X$140, 4, 1))</f>
        <v>185.14999999999998</v>
      </c>
      <c r="Y145" s="12">
        <f>AVERAGEIFS(Inflation!$F:$F,Inflation!$A:$A,"&gt;="&amp;DATE(Y$140,4 - 1, 1),Inflation!$A:$A,"&lt;="&amp;DATE(Y$140, 4, 1))</f>
        <v>191.05</v>
      </c>
      <c r="Z145" s="12">
        <f>AVERAGEIFS(Inflation!$F:$F,Inflation!$A:$A,"&gt;="&amp;DATE(Z$140,4 - 1, 1),Inflation!$A:$A,"&lt;="&amp;DATE(Z$140, 4, 1))</f>
        <v>195.75</v>
      </c>
      <c r="AA145" s="12">
        <f>AVERAGEIFS(Inflation!$F:$F,Inflation!$A:$A,"&gt;="&amp;DATE(AA$140,4 - 1, 1),Inflation!$A:$A,"&lt;="&amp;DATE(AA$140, 4, 1))</f>
        <v>204.9</v>
      </c>
      <c r="AB145" s="12">
        <f>AVERAGEIFS(Inflation!$F:$F,Inflation!$A:$A,"&gt;="&amp;DATE(AB$140,4 - 1, 1),Inflation!$A:$A,"&lt;="&amp;DATE(AB$140, 4, 1))</f>
        <v>213.05</v>
      </c>
      <c r="AC145" s="12">
        <f>AVERAGEIFS(Inflation!$F:$F,Inflation!$A:$A,"&gt;="&amp;DATE(AC$140,4 - 1, 1),Inflation!$A:$A,"&lt;="&amp;DATE(AC$140, 4, 1))</f>
        <v>211.4</v>
      </c>
      <c r="AD145" s="12">
        <f>AVERAGEIFS(Inflation!$F:$F,Inflation!$A:$A,"&gt;="&amp;DATE(AD$140,4 - 1, 1),Inflation!$A:$A,"&lt;="&amp;DATE(AD$140, 4, 1))</f>
        <v>221.75</v>
      </c>
      <c r="AE145" s="12">
        <f>AVERAGEIFS(Inflation!$F:$F,Inflation!$A:$A,"&gt;="&amp;DATE(AE$140,4 - 1, 1),Inflation!$A:$A,"&lt;="&amp;DATE(AE$140, 4, 1))</f>
        <v>233.45</v>
      </c>
      <c r="AF145" s="12">
        <f>AVERAGEIFS(Inflation!$F:$F,Inflation!$A:$A,"&gt;="&amp;DATE(AF$140,4 - 1, 1),Inflation!$A:$A,"&lt;="&amp;DATE(AF$140, 4, 1))</f>
        <v>241.65</v>
      </c>
      <c r="AG145" s="12">
        <f>AVERAGEIFS(Inflation!$F:$F,Inflation!$A:$A,"&gt;="&amp;DATE(AG$140,4 - 1, 1),Inflation!$A:$A,"&lt;="&amp;DATE(AG$140, 4, 1))</f>
        <v>249.1</v>
      </c>
      <c r="AH145" s="12">
        <f>AVERAGEIFS(Inflation!$F:$F,Inflation!$A:$A,"&gt;="&amp;DATE(AH$140,4 - 1, 1),Inflation!$A:$A,"&lt;="&amp;DATE(AH$140, 4, 1))</f>
        <v>255.25</v>
      </c>
      <c r="AI145" s="12">
        <f>AVERAGEIFS(Inflation!$F:$F,Inflation!$A:$A,"&gt;="&amp;DATE(AI$140,4 - 1, 1),Inflation!$A:$A,"&lt;="&amp;DATE(AI$140, 4, 1))</f>
        <v>257.55</v>
      </c>
      <c r="AJ145" s="12">
        <f>AVERAGEIFS(Inflation!$F:$F,Inflation!$A:$A,"&gt;="&amp;DATE(AJ$140,4 - 1, 1),Inflation!$A:$A,"&lt;="&amp;DATE(AJ$140, 4, 1))</f>
        <v>261.25</v>
      </c>
      <c r="AK145" s="12">
        <f>AVERAGEIFS(Inflation!$F:$F,Inflation!$A:$A,"&gt;="&amp;DATE(AK$140,4 - 1, 1),Inflation!$A:$A,"&lt;="&amp;DATE(AK$140, 4, 1))</f>
        <v>269.95000000000005</v>
      </c>
      <c r="AL145" s="12">
        <f>AVERAGEIFS(Inflation!$F:$F,Inflation!$A:$A,"&gt;="&amp;DATE(AL$140,4 - 1, 1),Inflation!$A:$A,"&lt;="&amp;DATE(AL$140, 4, 1))</f>
        <v>279</v>
      </c>
      <c r="AM145" s="12">
        <f>AVERAGEIFS(Inflation!$F:$F,Inflation!$A:$A,"&gt;="&amp;DATE(AM$140,4 - 1, 1),Inflation!$A:$A,"&lt;="&amp;DATE(AM$140, 4, 1))</f>
        <v>286.64999999999998</v>
      </c>
      <c r="AN145" s="12">
        <f>AVERAGEIFS(Inflation!$F:$F,Inflation!$A:$A,"&gt;="&amp;DATE(AN$140,4 - 1, 1),Inflation!$A:$A,"&lt;="&amp;DATE(AN$140, 4, 1))</f>
        <v>292.60000000000002</v>
      </c>
      <c r="AO145" s="12">
        <f>AVERAGEIFS(Inflation!$F:$F,Inflation!$A:$A,"&gt;="&amp;DATE(AO$140,4 - 1, 1),Inflation!$A:$A,"&lt;="&amp;DATE(AO$140, 4, 1))</f>
        <v>298.42363263445759</v>
      </c>
      <c r="AP145" s="12">
        <f>AVERAGEIFS(Inflation!$F:$F,Inflation!$A:$A,"&gt;="&amp;DATE(AP$140,4 - 1, 1),Inflation!$A:$A,"&lt;="&amp;DATE(AP$140, 4, 1))</f>
        <v>319.91658048382931</v>
      </c>
      <c r="AQ145" s="12">
        <f>AVERAGEIFS(Inflation!$F:$F,Inflation!$A:$A,"&gt;="&amp;DATE(AQ$140,4 - 1, 1),Inflation!$A:$A,"&lt;="&amp;DATE(AQ$140, 4, 1))</f>
        <v>346.54233410371501</v>
      </c>
      <c r="AR145" s="12">
        <f>AVERAGEIFS(Inflation!$F:$F,Inflation!$A:$A,"&gt;="&amp;DATE(AR$140,4 - 1, 1),Inflation!$A:$A,"&lt;="&amp;DATE(AR$140, 4, 1))</f>
        <v>358.36090841458258</v>
      </c>
      <c r="AS145" s="12">
        <f>AVERAGEIFS(Inflation!$F:$F,Inflation!$A:$A,"&gt;="&amp;DATE(AS$140,4 - 1, 1),Inflation!$A:$A,"&lt;="&amp;DATE(AS$140, 4, 1))</f>
        <v>371.94547658799365</v>
      </c>
      <c r="AT145" s="69">
        <f>AVERAGEIFS(Inflation!$F:$F,Inflation!$A:$A,"&gt;="&amp;DATE(AT$140,4 - 1, 1),Inflation!$A:$A,"&lt;="&amp;DATE(AT$140, 4, 1))</f>
        <v>382.19593180202537</v>
      </c>
      <c r="AU145" s="152">
        <f>AVERAGEIFS(Inflation!$F:$F,Inflation!$A:$A,"&gt;="&amp;DATE(AU$140,4 - 1, 1),Inflation!$A:$A,"&lt;="&amp;DATE(AU$140, 4, 1))</f>
        <v>390.70407927094971</v>
      </c>
      <c r="AV145" s="12">
        <f>AVERAGEIFS(Inflation!$F:$F,Inflation!$A:$A,"&gt;="&amp;DATE(AV$140,4 - 1, 1),Inflation!$A:$A,"&lt;="&amp;DATE(AV$140, 4, 1))</f>
        <v>398.97911160768535</v>
      </c>
      <c r="AW145" s="12">
        <f>AVERAGEIFS(Inflation!$F:$F,Inflation!$A:$A,"&gt;="&amp;DATE(AW$140,4 - 1, 1),Inflation!$A:$A,"&lt;="&amp;DATE(AW$140, 4, 1))</f>
        <v>407.40632656205833</v>
      </c>
      <c r="AX145" s="12">
        <f>AVERAGEIFS(Inflation!$F:$F,Inflation!$A:$A,"&gt;="&amp;DATE(AX$140,4 - 1, 1),Inflation!$A:$A,"&lt;="&amp;DATE(AX$140, 4, 1))</f>
        <v>416.03710193702761</v>
      </c>
      <c r="AY145" s="12">
        <f>AVERAGEIFS(Inflation!$F:$F,Inflation!$A:$A,"&gt;="&amp;DATE(AY$140,4 - 1, 1),Inflation!$A:$A,"&lt;="&amp;DATE(AY$140, 4, 1))</f>
        <v>424.54748727600787</v>
      </c>
      <c r="BA145" s="34" t="str">
        <f t="shared" ca="1" si="31"/>
        <v>Transform</v>
      </c>
      <c r="BB145" s="34" t="str">
        <f t="shared" si="32"/>
        <v>Finance inputs</v>
      </c>
      <c r="BC145" s="34" t="str">
        <f t="shared" si="33"/>
        <v>Inflation and price conversion</v>
      </c>
      <c r="BD145" s="34" t="str">
        <f t="shared" si="34"/>
        <v>Price indices and inflation rates</v>
      </c>
    </row>
    <row r="146" spans="2:56" x14ac:dyDescent="0.35">
      <c r="E146" t="s">
        <v>642</v>
      </c>
      <c r="F146" s="127"/>
      <c r="G146" s="33" t="s">
        <v>232</v>
      </c>
      <c r="H146" s="127"/>
      <c r="I146"/>
      <c r="J146" s="33" t="s">
        <v>13</v>
      </c>
      <c r="K146" s="14"/>
      <c r="L146"/>
      <c r="M146"/>
      <c r="N146"/>
      <c r="O146"/>
      <c r="P146"/>
      <c r="Q146"/>
      <c r="R146"/>
      <c r="S146"/>
      <c r="T146"/>
      <c r="U146"/>
      <c r="V146" s="12">
        <f t="shared" ref="V146:AY146" si="37">IF(_2026,V145,V144)</f>
        <v>173.875</v>
      </c>
      <c r="W146" s="12">
        <f t="shared" si="37"/>
        <v>177.51666666666665</v>
      </c>
      <c r="X146" s="12">
        <f t="shared" si="37"/>
        <v>182.47499999999999</v>
      </c>
      <c r="Y146" s="12">
        <f t="shared" si="37"/>
        <v>188.15</v>
      </c>
      <c r="Z146" s="12">
        <f t="shared" si="37"/>
        <v>193.10833333333332</v>
      </c>
      <c r="AA146" s="12">
        <f t="shared" si="37"/>
        <v>200.31666666666669</v>
      </c>
      <c r="AB146" s="12">
        <f t="shared" si="37"/>
        <v>208.5916666666667</v>
      </c>
      <c r="AC146" s="12">
        <f t="shared" si="37"/>
        <v>214.78333333333339</v>
      </c>
      <c r="AD146" s="12">
        <f t="shared" si="37"/>
        <v>215.76666666666662</v>
      </c>
      <c r="AE146" s="12">
        <f t="shared" si="37"/>
        <v>226.47499999999999</v>
      </c>
      <c r="AF146" s="12">
        <f t="shared" si="37"/>
        <v>237.3416666666667</v>
      </c>
      <c r="AG146" s="12">
        <f t="shared" si="37"/>
        <v>244.67499999999998</v>
      </c>
      <c r="AH146" s="12">
        <f t="shared" si="37"/>
        <v>251.73333333333335</v>
      </c>
      <c r="AI146" s="12">
        <f t="shared" si="37"/>
        <v>256.66666666666669</v>
      </c>
      <c r="AJ146" s="12">
        <f t="shared" si="37"/>
        <v>259.43333333333334</v>
      </c>
      <c r="AK146" s="12">
        <f t="shared" si="37"/>
        <v>264.99166666666673</v>
      </c>
      <c r="AL146" s="12">
        <f t="shared" si="37"/>
        <v>274.90833333333336</v>
      </c>
      <c r="AM146" s="12">
        <f t="shared" si="37"/>
        <v>283.30833333333334</v>
      </c>
      <c r="AN146" s="12">
        <f t="shared" si="37"/>
        <v>290.64166666666665</v>
      </c>
      <c r="AO146" s="12">
        <f t="shared" si="37"/>
        <v>294.16666666666669</v>
      </c>
      <c r="AP146" s="12">
        <f t="shared" si="37"/>
        <v>307.32821397646848</v>
      </c>
      <c r="AQ146" s="12">
        <f t="shared" si="37"/>
        <v>334.29358180068937</v>
      </c>
      <c r="AR146" s="12">
        <f t="shared" si="37"/>
        <v>352.83651735739545</v>
      </c>
      <c r="AS146" s="12">
        <f t="shared" si="37"/>
        <v>364.17963178219367</v>
      </c>
      <c r="AT146" s="69">
        <f t="shared" si="37"/>
        <v>382.19593180202537</v>
      </c>
      <c r="AU146" s="152">
        <f t="shared" si="37"/>
        <v>386.55865355238467</v>
      </c>
      <c r="AV146" s="12">
        <f t="shared" si="37"/>
        <v>394.81576799183853</v>
      </c>
      <c r="AW146" s="12">
        <f t="shared" si="37"/>
        <v>403.19275952627032</v>
      </c>
      <c r="AX146" s="12">
        <f t="shared" si="37"/>
        <v>411.68770063248934</v>
      </c>
      <c r="AY146" s="12">
        <f t="shared" si="37"/>
        <v>420.46348921968098</v>
      </c>
      <c r="BA146" s="34" t="str">
        <f t="shared" ca="1" si="31"/>
        <v>Transform</v>
      </c>
      <c r="BB146" s="34" t="str">
        <f t="shared" si="32"/>
        <v>Finance inputs</v>
      </c>
      <c r="BC146" s="34" t="str">
        <f t="shared" si="33"/>
        <v>Inflation and price conversion</v>
      </c>
      <c r="BD146" s="34" t="str">
        <f t="shared" si="34"/>
        <v>Price indices and inflation rates</v>
      </c>
    </row>
    <row r="147" spans="2:56" x14ac:dyDescent="0.35">
      <c r="E147" t="s">
        <v>561</v>
      </c>
      <c r="F147" s="127"/>
      <c r="G147" s="33" t="s">
        <v>109</v>
      </c>
      <c r="H147" s="127"/>
      <c r="I147"/>
      <c r="J147" s="33" t="s">
        <v>13</v>
      </c>
      <c r="K147" s="14"/>
      <c r="L147"/>
      <c r="M147"/>
      <c r="N147"/>
      <c r="O147"/>
      <c r="P147"/>
      <c r="Q147"/>
      <c r="R147"/>
      <c r="S147"/>
      <c r="T147"/>
      <c r="U147"/>
      <c r="V147"/>
      <c r="W147" s="46">
        <f t="shared" ref="W147:AY147" si="38">W146/V146-1</f>
        <v>2.0944164869398429E-2</v>
      </c>
      <c r="X147" s="46">
        <f t="shared" si="38"/>
        <v>2.7931649610365206E-2</v>
      </c>
      <c r="Y147" s="46">
        <f t="shared" si="38"/>
        <v>3.1100150705576146E-2</v>
      </c>
      <c r="Z147" s="46">
        <f t="shared" si="38"/>
        <v>2.635308707591455E-2</v>
      </c>
      <c r="AA147" s="46">
        <f t="shared" si="38"/>
        <v>3.7327924739999352E-2</v>
      </c>
      <c r="AB147" s="46">
        <f t="shared" si="38"/>
        <v>4.1309593144188472E-2</v>
      </c>
      <c r="AC147" s="46">
        <f t="shared" si="38"/>
        <v>2.9683192840877393E-2</v>
      </c>
      <c r="AD147" s="46">
        <f t="shared" si="38"/>
        <v>4.57825715837612E-3</v>
      </c>
      <c r="AE147" s="46">
        <f t="shared" si="38"/>
        <v>4.9629229105515371E-2</v>
      </c>
      <c r="AF147" s="46">
        <f t="shared" si="38"/>
        <v>4.7981749273282803E-2</v>
      </c>
      <c r="AG147" s="46">
        <f t="shared" si="38"/>
        <v>3.0897791510129391E-2</v>
      </c>
      <c r="AH147" s="46">
        <f t="shared" si="38"/>
        <v>2.8847791287762714E-2</v>
      </c>
      <c r="AI147" s="46">
        <f t="shared" si="38"/>
        <v>1.9597457627118731E-2</v>
      </c>
      <c r="AJ147" s="46">
        <f t="shared" si="38"/>
        <v>1.0779220779220777E-2</v>
      </c>
      <c r="AK147" s="46">
        <f t="shared" si="38"/>
        <v>2.1424900424001248E-2</v>
      </c>
      <c r="AL147" s="46">
        <f t="shared" si="38"/>
        <v>3.7422560457875953E-2</v>
      </c>
      <c r="AM147" s="46">
        <f t="shared" si="38"/>
        <v>3.0555639758707454E-2</v>
      </c>
      <c r="AN147" s="46">
        <f t="shared" si="38"/>
        <v>2.5884636879724532E-2</v>
      </c>
      <c r="AO147" s="46">
        <f t="shared" si="38"/>
        <v>1.2128336726209277E-2</v>
      </c>
      <c r="AP147" s="46">
        <f t="shared" si="38"/>
        <v>4.4741803886011677E-2</v>
      </c>
      <c r="AQ147" s="46">
        <f t="shared" si="38"/>
        <v>8.7741270075143651E-2</v>
      </c>
      <c r="AR147" s="46">
        <f t="shared" si="38"/>
        <v>5.5469014561463137E-2</v>
      </c>
      <c r="AS147" s="46">
        <f t="shared" si="38"/>
        <v>3.2148357289527807E-2</v>
      </c>
      <c r="AT147" s="172">
        <f t="shared" si="38"/>
        <v>4.9470916129122688E-2</v>
      </c>
      <c r="AU147" s="153">
        <f t="shared" si="38"/>
        <v>1.1414882753433275E-2</v>
      </c>
      <c r="AV147" s="46">
        <f t="shared" si="38"/>
        <v>2.1360573262486415E-2</v>
      </c>
      <c r="AW147" s="46">
        <f t="shared" si="38"/>
        <v>2.1217469547986756E-2</v>
      </c>
      <c r="AX147" s="46">
        <f t="shared" si="38"/>
        <v>2.1069180697094181E-2</v>
      </c>
      <c r="AY147" s="46">
        <f t="shared" si="38"/>
        <v>2.1316615904990899E-2</v>
      </c>
      <c r="BA147" s="34" t="str">
        <f t="shared" ca="1" si="31"/>
        <v>Transform</v>
      </c>
      <c r="BB147" s="34" t="str">
        <f t="shared" si="32"/>
        <v>Finance inputs</v>
      </c>
      <c r="BC147" s="34" t="str">
        <f t="shared" si="33"/>
        <v>Inflation and price conversion</v>
      </c>
      <c r="BD147" s="34" t="str">
        <f t="shared" si="34"/>
        <v>Price indices and inflation rates</v>
      </c>
    </row>
    <row r="148" spans="2:56" customFormat="1" x14ac:dyDescent="0.35">
      <c r="B148" s="6"/>
      <c r="F148" s="127"/>
      <c r="G148" s="33"/>
      <c r="H148" s="127"/>
      <c r="K148" s="14"/>
      <c r="AT148" s="61"/>
      <c r="BA148" s="34"/>
      <c r="BB148" s="1"/>
      <c r="BC148" s="1"/>
    </row>
    <row r="149" spans="2:56" ht="16.5" thickBot="1" x14ac:dyDescent="0.4">
      <c r="C149" s="11" t="s">
        <v>250</v>
      </c>
      <c r="BA149" s="34"/>
    </row>
    <row r="150" spans="2:56" x14ac:dyDescent="0.35">
      <c r="E150" s="33" t="s">
        <v>251</v>
      </c>
      <c r="G150" s="33" t="s">
        <v>77</v>
      </c>
      <c r="J150" s="33" t="s">
        <v>13</v>
      </c>
      <c r="L150"/>
      <c r="M150"/>
      <c r="N150"/>
      <c r="O150"/>
      <c r="P150"/>
      <c r="Q150"/>
      <c r="R150"/>
      <c r="S150"/>
      <c r="T150"/>
      <c r="U150"/>
      <c r="V150" s="47">
        <f t="shared" ref="V150:AT150" si="39">V146/INDEX($K146:$AY146,MATCH(BaseYear,$K$4:$AY$4,0))</f>
        <v>0.49279196298119676</v>
      </c>
      <c r="W150" s="47">
        <f t="shared" si="39"/>
        <v>0.50311307910018943</v>
      </c>
      <c r="X150" s="47">
        <f t="shared" si="39"/>
        <v>0.51716585734000786</v>
      </c>
      <c r="Y150" s="47">
        <f t="shared" si="39"/>
        <v>0.53324979344306067</v>
      </c>
      <c r="Z150" s="47">
        <f t="shared" si="39"/>
        <v>0.54730257168287899</v>
      </c>
      <c r="AA150" s="47">
        <f t="shared" si="39"/>
        <v>0.5677322408886657</v>
      </c>
      <c r="AB150" s="47">
        <f t="shared" si="39"/>
        <v>0.59118502877461476</v>
      </c>
      <c r="AC150" s="47">
        <f t="shared" si="39"/>
        <v>0.60873328798837134</v>
      </c>
      <c r="AD150" s="47">
        <f t="shared" si="39"/>
        <v>0.61152022552164598</v>
      </c>
      <c r="AE150" s="47">
        <f t="shared" si="39"/>
        <v>0.64186950289671618</v>
      </c>
      <c r="AF150" s="47">
        <f t="shared" si="39"/>
        <v>0.67266752445087308</v>
      </c>
      <c r="AG150" s="47">
        <f t="shared" si="39"/>
        <v>0.69345146537699098</v>
      </c>
      <c r="AH150" s="47">
        <f t="shared" si="39"/>
        <v>0.71345600851837965</v>
      </c>
      <c r="AI150" s="47">
        <f t="shared" si="39"/>
        <v>0.72743793241413179</v>
      </c>
      <c r="AJ150" s="47">
        <f t="shared" si="39"/>
        <v>0.73527914649080361</v>
      </c>
      <c r="AK150" s="47">
        <f t="shared" si="39"/>
        <v>0.75103242898821365</v>
      </c>
      <c r="AL150" s="47">
        <f t="shared" si="39"/>
        <v>0.77913798546785051</v>
      </c>
      <c r="AM150" s="47">
        <f t="shared" si="39"/>
        <v>0.80294504507413111</v>
      </c>
      <c r="AN150" s="47">
        <f t="shared" si="39"/>
        <v>0.82372898600024913</v>
      </c>
      <c r="AO150" s="47">
        <f t="shared" si="39"/>
        <v>0.83371944851359914</v>
      </c>
      <c r="AP150" s="47">
        <f t="shared" si="39"/>
        <v>0.87102156057494851</v>
      </c>
      <c r="AQ150" s="47">
        <f t="shared" si="39"/>
        <v>0.94744609856262818</v>
      </c>
      <c r="AR150" s="47">
        <f t="shared" si="39"/>
        <v>1</v>
      </c>
      <c r="AS150" s="47">
        <f t="shared" si="39"/>
        <v>1.0321483572895278</v>
      </c>
      <c r="AT150" s="184">
        <f t="shared" si="39"/>
        <v>1.0832096821058097</v>
      </c>
      <c r="AU150" s="156">
        <f t="shared" ref="AU150:AY150" si="40">AU146/INDEX($K146:$AY146,MATCH(BaseYear,$K$4:$AY$4,0))</f>
        <v>1.0955743936244313</v>
      </c>
      <c r="AV150" s="47">
        <f t="shared" si="40"/>
        <v>1.1189764907239503</v>
      </c>
      <c r="AW150" s="47">
        <f t="shared" si="40"/>
        <v>1.1427183403407986</v>
      </c>
      <c r="AX150" s="47">
        <f t="shared" si="40"/>
        <v>1.1667944795393224</v>
      </c>
      <c r="AY150" s="47">
        <f t="shared" si="40"/>
        <v>1.191666589299726</v>
      </c>
      <c r="BA150" s="34" t="str">
        <f ca="1">$A$1</f>
        <v>Transform</v>
      </c>
      <c r="BB150" s="34" t="str">
        <f>$A$136</f>
        <v>Finance inputs</v>
      </c>
      <c r="BC150" s="34" t="str">
        <f>$B$137</f>
        <v>Inflation and price conversion</v>
      </c>
      <c r="BD150" s="34" t="str">
        <f>$C$149</f>
        <v>Price conversion factors</v>
      </c>
    </row>
    <row r="151" spans="2:56" x14ac:dyDescent="0.35">
      <c r="E151" s="33" t="s">
        <v>380</v>
      </c>
      <c r="G151" s="33" t="s">
        <v>77</v>
      </c>
      <c r="J151" s="33" t="s">
        <v>13</v>
      </c>
      <c r="L151"/>
      <c r="M151"/>
      <c r="N151"/>
      <c r="O151"/>
      <c r="P151"/>
      <c r="Q151"/>
      <c r="R151"/>
      <c r="S151"/>
      <c r="T151"/>
      <c r="U151"/>
      <c r="V151" s="47">
        <f t="shared" ref="V151:AT151" si="41">V145/INDEX($K146:$AY146,MATCH(BaseYear,$K$4:$AY$4,0))</f>
        <v>0.49626382584044598</v>
      </c>
      <c r="W151" s="47">
        <f t="shared" si="41"/>
        <v>0.51171007284690195</v>
      </c>
      <c r="X151" s="47">
        <f t="shared" si="41"/>
        <v>0.52474727215510319</v>
      </c>
      <c r="Y151" s="47">
        <f t="shared" si="41"/>
        <v>0.54146889735475279</v>
      </c>
      <c r="Z151" s="47">
        <f t="shared" si="41"/>
        <v>0.55478951403921939</v>
      </c>
      <c r="AA151" s="47">
        <f t="shared" si="41"/>
        <v>0.58072220396748941</v>
      </c>
      <c r="AB151" s="47">
        <f t="shared" si="41"/>
        <v>0.60382072013310695</v>
      </c>
      <c r="AC151" s="47">
        <f t="shared" si="41"/>
        <v>0.59914433342473039</v>
      </c>
      <c r="AD151" s="47">
        <f t="shared" si="41"/>
        <v>0.6284780318681833</v>
      </c>
      <c r="AE151" s="47">
        <f t="shared" si="41"/>
        <v>0.66163786489121712</v>
      </c>
      <c r="AF151" s="47">
        <f t="shared" si="41"/>
        <v>0.68487808974496733</v>
      </c>
      <c r="AG151" s="47">
        <f t="shared" si="41"/>
        <v>0.70599268427672812</v>
      </c>
      <c r="AH151" s="47">
        <f t="shared" si="41"/>
        <v>0.72342285291704078</v>
      </c>
      <c r="AI151" s="47">
        <f t="shared" si="41"/>
        <v>0.72994145257114151</v>
      </c>
      <c r="AJ151" s="47">
        <f t="shared" si="41"/>
        <v>0.74042789549295551</v>
      </c>
      <c r="AK151" s="47">
        <f t="shared" si="41"/>
        <v>0.76508520722803208</v>
      </c>
      <c r="AL151" s="47">
        <f t="shared" si="41"/>
        <v>0.79073447978003675</v>
      </c>
      <c r="AM151" s="47">
        <f t="shared" si="41"/>
        <v>0.81241590906432803</v>
      </c>
      <c r="AN151" s="47">
        <f t="shared" si="41"/>
        <v>0.82927924295211031</v>
      </c>
      <c r="AO151" s="47">
        <f t="shared" si="41"/>
        <v>0.8457844297680166</v>
      </c>
      <c r="AP151" s="47">
        <f t="shared" si="41"/>
        <v>0.90669917864476357</v>
      </c>
      <c r="AQ151" s="47">
        <f t="shared" si="41"/>
        <v>0.98216119096509236</v>
      </c>
      <c r="AR151" s="47">
        <f t="shared" si="41"/>
        <v>1.0156570841889117</v>
      </c>
      <c r="AS151" s="47">
        <f t="shared" si="41"/>
        <v>1.054158110882957</v>
      </c>
      <c r="AT151" s="184">
        <f t="shared" si="41"/>
        <v>1.0832096821058097</v>
      </c>
      <c r="AU151" s="156">
        <f t="shared" ref="AU151:AY151" si="42">AU145/INDEX($K146:$AY146,MATCH(BaseYear,$K$4:$AY$4,0))</f>
        <v>1.1073232504310131</v>
      </c>
      <c r="AV151" s="47">
        <f t="shared" si="42"/>
        <v>1.13077612996489</v>
      </c>
      <c r="AW151" s="47">
        <f t="shared" si="42"/>
        <v>1.1546603214808062</v>
      </c>
      <c r="AX151" s="47">
        <f t="shared" si="42"/>
        <v>1.1791214385998912</v>
      </c>
      <c r="AY151" s="47">
        <f t="shared" si="42"/>
        <v>1.2032413494376912</v>
      </c>
      <c r="BA151" s="34" t="str">
        <f ca="1">$A$1</f>
        <v>Transform</v>
      </c>
      <c r="BB151" s="34" t="str">
        <f>$A$136</f>
        <v>Finance inputs</v>
      </c>
      <c r="BC151" s="34" t="str">
        <f>$B$137</f>
        <v>Inflation and price conversion</v>
      </c>
      <c r="BD151" s="34" t="str">
        <f>$C$149</f>
        <v>Price conversion factors</v>
      </c>
    </row>
    <row r="152" spans="2:56" customFormat="1" ht="14.5" x14ac:dyDescent="0.35">
      <c r="F152" s="127"/>
      <c r="H152" s="127"/>
      <c r="AT152" s="61"/>
      <c r="BA152" s="34"/>
      <c r="BB152" s="34"/>
      <c r="BC152" s="1"/>
    </row>
    <row r="153" spans="2:56" ht="17.5" thickBot="1" x14ac:dyDescent="0.4">
      <c r="B153" s="8" t="s">
        <v>252</v>
      </c>
      <c r="BA153" s="34"/>
    </row>
    <row r="154" spans="2:56" ht="16.5" thickTop="1" x14ac:dyDescent="0.35">
      <c r="E154" s="33" t="s">
        <v>203</v>
      </c>
      <c r="F154" s="126">
        <f>LicenseeSelect!F506</f>
        <v>0</v>
      </c>
      <c r="G154" s="33" t="s">
        <v>109</v>
      </c>
      <c r="H154" s="126" t="str">
        <f>LicenseeSelect!H506</f>
        <v>iBTAt</v>
      </c>
      <c r="AP154"/>
      <c r="AQ154"/>
      <c r="AR154"/>
      <c r="AS154"/>
      <c r="AT154" s="61"/>
      <c r="AU154" s="162">
        <f>LicenseeSelect!AU506</f>
        <v>3.0499999999999999E-2</v>
      </c>
      <c r="AV154" s="41">
        <f>LicenseeSelect!AV506</f>
        <v>3.1399999999999997E-2</v>
      </c>
      <c r="AW154" s="41">
        <f>LicenseeSelect!AW506</f>
        <v>3.2199999999999999E-2</v>
      </c>
      <c r="AX154" s="41">
        <f>LicenseeSelect!AX506</f>
        <v>3.3300000000000003E-2</v>
      </c>
      <c r="AY154" s="41">
        <f>LicenseeSelect!AY506</f>
        <v>3.4500000000000003E-2</v>
      </c>
      <c r="BA154" s="34" t="str">
        <f ca="1">$A$1</f>
        <v>Transform</v>
      </c>
      <c r="BB154" s="34" t="str">
        <f>$A$136</f>
        <v>Finance inputs</v>
      </c>
      <c r="BC154" s="34" t="str">
        <f>$B$153</f>
        <v>Allowed return on debt</v>
      </c>
    </row>
    <row r="155" spans="2:56" x14ac:dyDescent="0.35">
      <c r="E155" s="33" t="s">
        <v>219</v>
      </c>
      <c r="F155" s="126">
        <f>LicenseeSelect!F545</f>
        <v>0</v>
      </c>
      <c r="G155" s="33" t="s">
        <v>109</v>
      </c>
      <c r="H155" s="126" t="str">
        <f>LicenseeSelect!H545</f>
        <v>CDEUt</v>
      </c>
      <c r="AP155"/>
      <c r="AQ155"/>
      <c r="AR155"/>
      <c r="AS155"/>
      <c r="AT155" s="61"/>
      <c r="AU155" s="162">
        <f>LicenseeSelect!AU545</f>
        <v>0</v>
      </c>
      <c r="AV155" s="41">
        <f>LicenseeSelect!AV545</f>
        <v>0</v>
      </c>
      <c r="AW155" s="41">
        <f>LicenseeSelect!AW545</f>
        <v>0</v>
      </c>
      <c r="AX155" s="41">
        <f>LicenseeSelect!AX545</f>
        <v>0</v>
      </c>
      <c r="AY155" s="41">
        <f>LicenseeSelect!AY545</f>
        <v>0</v>
      </c>
      <c r="BA155" s="34" t="str">
        <f ca="1">$A$1</f>
        <v>Transform</v>
      </c>
      <c r="BB155" s="34" t="str">
        <f>$A$136</f>
        <v>Finance inputs</v>
      </c>
      <c r="BC155" s="34" t="str">
        <f>$B$153</f>
        <v>Allowed return on debt</v>
      </c>
    </row>
    <row r="156" spans="2:56" x14ac:dyDescent="0.35">
      <c r="E156" s="33" t="s">
        <v>252</v>
      </c>
      <c r="G156" s="33" t="s">
        <v>186</v>
      </c>
      <c r="AP156"/>
      <c r="AQ156"/>
      <c r="AR156"/>
      <c r="AS156"/>
      <c r="AT156" s="61"/>
      <c r="AU156" s="167">
        <f>SUM(AU154:AU155)</f>
        <v>3.0499999999999999E-2</v>
      </c>
      <c r="AV156" s="68">
        <f>SUM(AV154:AV155)</f>
        <v>3.1399999999999997E-2</v>
      </c>
      <c r="AW156" s="68">
        <f>SUM(AW154:AW155)</f>
        <v>3.2199999999999999E-2</v>
      </c>
      <c r="AX156" s="68">
        <f>SUM(AX154:AX155)</f>
        <v>3.3300000000000003E-2</v>
      </c>
      <c r="AY156" s="68">
        <f>SUM(AY154:AY155)</f>
        <v>3.4500000000000003E-2</v>
      </c>
      <c r="BA156" s="34" t="str">
        <f ca="1">$A$1</f>
        <v>Transform</v>
      </c>
      <c r="BB156" s="34" t="str">
        <f>$A$136</f>
        <v>Finance inputs</v>
      </c>
      <c r="BC156" s="34" t="str">
        <f>$B$153</f>
        <v>Allowed return on debt</v>
      </c>
    </row>
    <row r="157" spans="2:56" customFormat="1" ht="14.5" x14ac:dyDescent="0.35">
      <c r="F157" s="127"/>
      <c r="H157" s="127"/>
      <c r="AT157" s="61"/>
      <c r="BB157" s="1"/>
      <c r="BC157" s="1"/>
    </row>
    <row r="158" spans="2:56" customFormat="1" ht="15" thickBot="1" x14ac:dyDescent="0.4">
      <c r="C158" s="11" t="s">
        <v>454</v>
      </c>
      <c r="F158" s="127"/>
      <c r="H158" s="127"/>
      <c r="AT158" s="61"/>
      <c r="BB158" s="1"/>
      <c r="BC158" s="1"/>
    </row>
    <row r="159" spans="2:56" customFormat="1" ht="14.5" x14ac:dyDescent="0.35">
      <c r="E159" t="s">
        <v>455</v>
      </c>
      <c r="F159" s="127"/>
      <c r="G159" s="33" t="s">
        <v>109</v>
      </c>
      <c r="H159" s="127"/>
      <c r="AT159" s="61"/>
      <c r="AU159" s="227">
        <f>((1+AU143)*(1+AU156))-1</f>
        <v>5.2449650000000014E-2</v>
      </c>
      <c r="AV159" s="228">
        <f>((1+AV143)*(1+AV156))-1</f>
        <v>5.3368820000000206E-2</v>
      </c>
      <c r="AW159" s="228">
        <f>((1+AW143)*(1+AW156))-1</f>
        <v>5.418586000000003E-2</v>
      </c>
      <c r="AX159" s="228">
        <f>((1+AX143)*(1+AX156))-1</f>
        <v>5.5309290000000289E-2</v>
      </c>
      <c r="AY159" s="228">
        <f>((1+AY143)*(1+AY156))-1</f>
        <v>5.6534850000000025E-2</v>
      </c>
      <c r="BA159" s="34" t="str">
        <f ca="1">$A$1</f>
        <v>Transform</v>
      </c>
      <c r="BB159" s="34" t="str">
        <f>$A$136</f>
        <v>Finance inputs</v>
      </c>
      <c r="BC159" s="34" t="str">
        <f>$B$153</f>
        <v>Allowed return on debt</v>
      </c>
      <c r="BD159" t="str">
        <f>$C$158</f>
        <v>Rates</v>
      </c>
    </row>
    <row r="160" spans="2:56" customFormat="1" ht="14.5" x14ac:dyDescent="0.35">
      <c r="E160" t="s">
        <v>798</v>
      </c>
      <c r="F160" s="127"/>
      <c r="G160" s="33" t="s">
        <v>109</v>
      </c>
      <c r="H160" s="127"/>
      <c r="AT160" s="61"/>
      <c r="AU160" s="153">
        <f>((1+AU142)*(1+AU156))-1</f>
        <v>5.384905256652428E-2</v>
      </c>
      <c r="AV160" s="46">
        <f>((1+AV142)*(1+AV156))-1</f>
        <v>5.3431295262928558E-2</v>
      </c>
      <c r="AW160" s="46">
        <f>((1+AW142)*(1+AW156))-1</f>
        <v>5.4100672067431521E-2</v>
      </c>
      <c r="AX160" s="46">
        <f>((1+AX142)*(1+AX156))-1</f>
        <v>5.5070784414307905E-2</v>
      </c>
      <c r="AY160" s="46">
        <f>((1+AY142)*(1+AY156))-1</f>
        <v>5.6552039153712652E-2</v>
      </c>
      <c r="BA160" s="34" t="str">
        <f ca="1">$A$1</f>
        <v>Transform</v>
      </c>
      <c r="BB160" s="34" t="str">
        <f>$A$136</f>
        <v>Finance inputs</v>
      </c>
      <c r="BC160" s="34" t="str">
        <f>$B$153</f>
        <v>Allowed return on debt</v>
      </c>
      <c r="BD160" t="str">
        <f>$C$158</f>
        <v>Rates</v>
      </c>
    </row>
    <row r="161" spans="2:56" x14ac:dyDescent="0.35"/>
    <row r="162" spans="2:56" ht="17.5" thickBot="1" x14ac:dyDescent="0.4">
      <c r="B162" s="8" t="s">
        <v>253</v>
      </c>
      <c r="BA162" s="34"/>
    </row>
    <row r="163" spans="2:56" ht="16.5" thickTop="1" x14ac:dyDescent="0.35">
      <c r="E163" s="33" t="s">
        <v>205</v>
      </c>
      <c r="F163" s="126">
        <f>LicenseeSelect!F507</f>
        <v>0</v>
      </c>
      <c r="G163" s="33" t="s">
        <v>109</v>
      </c>
      <c r="H163" s="126" t="str">
        <f>LicenseeSelect!H507</f>
        <v>RFR</v>
      </c>
      <c r="AP163"/>
      <c r="AQ163"/>
      <c r="AR163"/>
      <c r="AS163"/>
      <c r="AT163" s="61"/>
      <c r="AU163" s="162">
        <f>LicenseeSelect!AU507</f>
        <v>2.2800000000000001E-2</v>
      </c>
      <c r="AV163" s="41">
        <f>LicenseeSelect!AV507</f>
        <v>2.2800000000000001E-2</v>
      </c>
      <c r="AW163" s="41">
        <f>LicenseeSelect!AW507</f>
        <v>2.2800000000000001E-2</v>
      </c>
      <c r="AX163" s="41">
        <f>LicenseeSelect!AX507</f>
        <v>2.2800000000000001E-2</v>
      </c>
      <c r="AY163" s="41">
        <f>LicenseeSelect!AY507</f>
        <v>2.2800000000000001E-2</v>
      </c>
      <c r="AZ163"/>
      <c r="BA163" s="34" t="str">
        <f ca="1">$A$1</f>
        <v>Transform</v>
      </c>
      <c r="BB163" s="34" t="str">
        <f>$A$136</f>
        <v>Finance inputs</v>
      </c>
      <c r="BC163" s="34" t="str">
        <f>$B$162</f>
        <v>Allowed return on equity</v>
      </c>
    </row>
    <row r="164" spans="2:56" x14ac:dyDescent="0.35">
      <c r="E164" s="33" t="s">
        <v>221</v>
      </c>
      <c r="F164" s="126">
        <f>LicenseeSelect!F546</f>
        <v>0</v>
      </c>
      <c r="G164" s="33" t="s">
        <v>77</v>
      </c>
      <c r="H164" s="126">
        <f>LicenseeSelect!H546</f>
        <v>0</v>
      </c>
      <c r="AP164"/>
      <c r="AQ164"/>
      <c r="AR164"/>
      <c r="AS164"/>
      <c r="AT164" s="61"/>
      <c r="AU164" s="168">
        <f>LicenseeSelect!AU546</f>
        <v>0.83</v>
      </c>
      <c r="AV164" s="48">
        <f>LicenseeSelect!AV546</f>
        <v>0.83</v>
      </c>
      <c r="AW164" s="48">
        <f>LicenseeSelect!AW546</f>
        <v>0.83</v>
      </c>
      <c r="AX164" s="48">
        <f>LicenseeSelect!AX546</f>
        <v>0.83</v>
      </c>
      <c r="AY164" s="48">
        <f>LicenseeSelect!AY546</f>
        <v>0.83</v>
      </c>
      <c r="AZ164"/>
      <c r="BA164" s="34" t="str">
        <f ca="1">$A$1</f>
        <v>Transform</v>
      </c>
      <c r="BB164" s="34" t="str">
        <f>$A$136</f>
        <v>Finance inputs</v>
      </c>
      <c r="BC164" s="34" t="str">
        <f>$B$162</f>
        <v>Allowed return on equity</v>
      </c>
    </row>
    <row r="165" spans="2:56" x14ac:dyDescent="0.35">
      <c r="E165" s="33" t="s">
        <v>222</v>
      </c>
      <c r="F165" s="126">
        <f>LicenseeSelect!F547</f>
        <v>0</v>
      </c>
      <c r="G165" s="33" t="s">
        <v>109</v>
      </c>
      <c r="H165" s="126">
        <f>LicenseeSelect!H547</f>
        <v>0</v>
      </c>
      <c r="AP165"/>
      <c r="AQ165"/>
      <c r="AR165"/>
      <c r="AS165"/>
      <c r="AT165" s="61"/>
      <c r="AU165" s="162">
        <f>LicenseeSelect!AU547</f>
        <v>6.9000000000000006E-2</v>
      </c>
      <c r="AV165" s="41">
        <f>LicenseeSelect!AV547</f>
        <v>6.9000000000000006E-2</v>
      </c>
      <c r="AW165" s="41">
        <f>LicenseeSelect!AW547</f>
        <v>6.9000000000000006E-2</v>
      </c>
      <c r="AX165" s="41">
        <f>LicenseeSelect!AX547</f>
        <v>6.9000000000000006E-2</v>
      </c>
      <c r="AY165" s="41">
        <f>LicenseeSelect!AY547</f>
        <v>6.9000000000000006E-2</v>
      </c>
      <c r="AZ165"/>
      <c r="BA165" s="34" t="str">
        <f ca="1">$A$1</f>
        <v>Transform</v>
      </c>
      <c r="BB165" s="34" t="str">
        <f>$A$136</f>
        <v>Finance inputs</v>
      </c>
      <c r="BC165" s="34" t="str">
        <f>$B$162</f>
        <v>Allowed return on equity</v>
      </c>
    </row>
    <row r="166" spans="2:56" x14ac:dyDescent="0.35">
      <c r="AP166"/>
      <c r="AQ166"/>
      <c r="AR166"/>
      <c r="AS166"/>
      <c r="AT166" s="61"/>
      <c r="AZ166"/>
      <c r="BA166" s="34"/>
    </row>
    <row r="167" spans="2:56" x14ac:dyDescent="0.35">
      <c r="E167" s="33" t="s">
        <v>253</v>
      </c>
      <c r="G167" s="33" t="s">
        <v>186</v>
      </c>
      <c r="AP167"/>
      <c r="AQ167"/>
      <c r="AR167"/>
      <c r="AS167"/>
      <c r="AT167" s="61"/>
      <c r="AU167" s="169">
        <f>AU163 + AU164 * (AU165-AU163)</f>
        <v>6.1146000000000006E-2</v>
      </c>
      <c r="AV167" s="40">
        <f>AV163 + AV164 * (AV165-AV163)</f>
        <v>6.1146000000000006E-2</v>
      </c>
      <c r="AW167" s="40">
        <f>AW163 + AW164 * (AW165-AW163)</f>
        <v>6.1146000000000006E-2</v>
      </c>
      <c r="AX167" s="40">
        <f>AX163 + AX164 * (AX165-AX163)</f>
        <v>6.1146000000000006E-2</v>
      </c>
      <c r="AY167" s="40">
        <f>AY163 + AY164 * (AY165-AY163)</f>
        <v>6.1146000000000006E-2</v>
      </c>
      <c r="AZ167"/>
      <c r="BA167" s="34" t="str">
        <f ca="1">$A$1</f>
        <v>Transform</v>
      </c>
      <c r="BB167" s="34" t="str">
        <f>$A$136</f>
        <v>Finance inputs</v>
      </c>
      <c r="BC167" s="34" t="str">
        <f>$B$162</f>
        <v>Allowed return on equity</v>
      </c>
    </row>
    <row r="168" spans="2:56" x14ac:dyDescent="0.35"/>
    <row r="169" spans="2:56" ht="17.5" thickBot="1" x14ac:dyDescent="0.4">
      <c r="B169" s="8" t="s">
        <v>254</v>
      </c>
      <c r="AZ169"/>
      <c r="BA169" s="34"/>
    </row>
    <row r="170" spans="2:56" ht="16.5" thickTop="1" x14ac:dyDescent="0.35">
      <c r="E170" s="33" t="s">
        <v>225</v>
      </c>
      <c r="F170" s="126">
        <f>LicenseeSelect!F548</f>
        <v>0</v>
      </c>
      <c r="G170" s="33" t="s">
        <v>109</v>
      </c>
      <c r="H170" s="126">
        <f>LicenseeSelect!H548</f>
        <v>0</v>
      </c>
      <c r="AP170"/>
      <c r="AQ170"/>
      <c r="AR170"/>
      <c r="AS170"/>
      <c r="AT170" s="61"/>
      <c r="AU170" s="162">
        <f>LicenseeSelect!AU548</f>
        <v>0.6</v>
      </c>
      <c r="AV170" s="41">
        <f>LicenseeSelect!AV548</f>
        <v>0.6</v>
      </c>
      <c r="AW170" s="41">
        <f>LicenseeSelect!AW548</f>
        <v>0.6</v>
      </c>
      <c r="AX170" s="41">
        <f>LicenseeSelect!AX548</f>
        <v>0.6</v>
      </c>
      <c r="AY170" s="41">
        <f>LicenseeSelect!AY548</f>
        <v>0.6</v>
      </c>
      <c r="AZ170"/>
      <c r="BA170" s="34" t="str">
        <f ca="1">$A$1</f>
        <v>Transform</v>
      </c>
      <c r="BB170" s="34" t="str">
        <f>$A$136</f>
        <v>Finance inputs</v>
      </c>
      <c r="BC170" s="34" t="str">
        <f>$B$162</f>
        <v>Allowed return on equity</v>
      </c>
    </row>
    <row r="171" spans="2:56" x14ac:dyDescent="0.35">
      <c r="E171" s="33" t="s">
        <v>255</v>
      </c>
      <c r="G171" s="33" t="s">
        <v>186</v>
      </c>
      <c r="I171" s="49"/>
      <c r="AP171"/>
      <c r="AQ171"/>
      <c r="AR171"/>
      <c r="AS171"/>
      <c r="AT171" s="61"/>
      <c r="AU171" s="225">
        <f>AU156*AU170+AU167*(1-AU170)</f>
        <v>4.2758400000000002E-2</v>
      </c>
      <c r="AV171" s="226">
        <f>AV156*AV170+AV167*(1-AV170)</f>
        <v>4.3298400000000001E-2</v>
      </c>
      <c r="AW171" s="226">
        <f>AW156*AW170+AW167*(1-AW170)</f>
        <v>4.3778400000000009E-2</v>
      </c>
      <c r="AX171" s="226">
        <f>AX156*AX170+AX167*(1-AX170)</f>
        <v>4.4438400000000003E-2</v>
      </c>
      <c r="AY171" s="226">
        <f>AY156*AY170+AY167*(1-AY170)</f>
        <v>4.5158400000000001E-2</v>
      </c>
      <c r="AZ171"/>
      <c r="BA171" s="34" t="str">
        <f ca="1">$A$1</f>
        <v>Transform</v>
      </c>
      <c r="BB171" s="34" t="str">
        <f>$A$136</f>
        <v>Finance inputs</v>
      </c>
      <c r="BC171" s="34" t="str">
        <f>$B$169</f>
        <v>Vanilla allowed return of capital</v>
      </c>
    </row>
    <row r="172" spans="2:56" x14ac:dyDescent="0.35">
      <c r="I172" s="49"/>
      <c r="AU172"/>
      <c r="AV172"/>
      <c r="AW172"/>
      <c r="AX172"/>
      <c r="AY172"/>
      <c r="AZ172"/>
      <c r="BA172" s="34"/>
    </row>
    <row r="173" spans="2:56" ht="17.5" thickBot="1" x14ac:dyDescent="0.4">
      <c r="B173" s="8" t="s">
        <v>453</v>
      </c>
      <c r="I173" s="49"/>
      <c r="AU173"/>
      <c r="AV173"/>
      <c r="AW173"/>
      <c r="AX173"/>
      <c r="AY173"/>
      <c r="AZ173"/>
      <c r="BA173" s="34"/>
    </row>
    <row r="174" spans="2:56" ht="17" thickTop="1" thickBot="1" x14ac:dyDescent="0.4">
      <c r="C174" s="11" t="s">
        <v>257</v>
      </c>
      <c r="D174" s="33"/>
      <c r="I174" s="49"/>
      <c r="AU174"/>
      <c r="AV174"/>
      <c r="AW174"/>
      <c r="AX174"/>
      <c r="AY174"/>
      <c r="AZ174"/>
      <c r="BA174" s="34"/>
    </row>
    <row r="175" spans="2:56" x14ac:dyDescent="0.35">
      <c r="E175" s="33" t="s">
        <v>419</v>
      </c>
      <c r="G175" s="33" t="s">
        <v>109</v>
      </c>
      <c r="I175" s="49"/>
      <c r="AP175"/>
      <c r="AQ175"/>
      <c r="AR175"/>
      <c r="AS175"/>
      <c r="AT175" s="185"/>
      <c r="AU175" s="153">
        <f>1-AU170</f>
        <v>0.4</v>
      </c>
      <c r="AV175" s="46">
        <f>1-AV170</f>
        <v>0.4</v>
      </c>
      <c r="AW175" s="46">
        <f>1-AW170</f>
        <v>0.4</v>
      </c>
      <c r="AX175" s="46">
        <f>1-AX170</f>
        <v>0.4</v>
      </c>
      <c r="AY175" s="46">
        <f>1-AY170</f>
        <v>0.4</v>
      </c>
      <c r="AZ175"/>
      <c r="BA175" s="34" t="str">
        <f ca="1">$A$1</f>
        <v>Transform</v>
      </c>
      <c r="BB175" s="34" t="str">
        <f>$A$136</f>
        <v>Finance inputs</v>
      </c>
      <c r="BC175" s="34" t="str">
        <f>$B$173</f>
        <v>Semi nominal WACC</v>
      </c>
      <c r="BD175" s="34" t="str">
        <f>$C$174</f>
        <v>Notional structure</v>
      </c>
    </row>
    <row r="176" spans="2:56" x14ac:dyDescent="0.35">
      <c r="E176" s="33" t="s">
        <v>799</v>
      </c>
      <c r="G176" s="33" t="s">
        <v>109</v>
      </c>
      <c r="I176" s="49"/>
      <c r="AP176"/>
      <c r="AQ176"/>
      <c r="AR176"/>
      <c r="AS176"/>
      <c r="AT176" s="61"/>
      <c r="AU176" s="153">
        <f>AU195*(1-AU175)</f>
        <v>0.18</v>
      </c>
      <c r="AV176" s="46">
        <f>AV195*(1-AV175)</f>
        <v>0.18</v>
      </c>
      <c r="AW176" s="46">
        <f>AW195*(1-AW175)</f>
        <v>0.18</v>
      </c>
      <c r="AX176" s="46">
        <f>AX195*(1-AX175)</f>
        <v>0.18</v>
      </c>
      <c r="AY176" s="46">
        <f>AY195*(1-AY175)</f>
        <v>0.18</v>
      </c>
      <c r="AZ176"/>
      <c r="BA176" s="34" t="str">
        <f ca="1">$A$1</f>
        <v>Transform</v>
      </c>
      <c r="BB176" s="34" t="str">
        <f>$A$136</f>
        <v>Finance inputs</v>
      </c>
      <c r="BC176" s="34" t="str">
        <f>$B$173</f>
        <v>Semi nominal WACC</v>
      </c>
      <c r="BD176" s="34" t="str">
        <f>$C$174</f>
        <v>Notional structure</v>
      </c>
    </row>
    <row r="177" spans="2:56" x14ac:dyDescent="0.35">
      <c r="E177" s="33" t="s">
        <v>420</v>
      </c>
      <c r="G177" s="33" t="s">
        <v>109</v>
      </c>
      <c r="I177" s="49"/>
      <c r="AP177"/>
      <c r="AQ177"/>
      <c r="AR177"/>
      <c r="AS177"/>
      <c r="AT177" s="61"/>
      <c r="AU177" s="153">
        <f>1-(SUM(AU175:AU176))</f>
        <v>0.41999999999999993</v>
      </c>
      <c r="AV177" s="46">
        <f t="shared" ref="AV177:AY177" si="43">1-(SUM(AV175:AV176))</f>
        <v>0.41999999999999993</v>
      </c>
      <c r="AW177" s="46">
        <f t="shared" si="43"/>
        <v>0.41999999999999993</v>
      </c>
      <c r="AX177" s="46">
        <f t="shared" si="43"/>
        <v>0.41999999999999993</v>
      </c>
      <c r="AY177" s="46">
        <f t="shared" si="43"/>
        <v>0.41999999999999993</v>
      </c>
      <c r="AZ177"/>
      <c r="BA177" s="34" t="str">
        <f ca="1">$A$1</f>
        <v>Transform</v>
      </c>
      <c r="BB177" s="34" t="str">
        <f>$A$136</f>
        <v>Finance inputs</v>
      </c>
      <c r="BC177" s="34" t="str">
        <f>$B$173</f>
        <v>Semi nominal WACC</v>
      </c>
      <c r="BD177" s="34" t="str">
        <f>$C$174</f>
        <v>Notional structure</v>
      </c>
    </row>
    <row r="178" spans="2:56" x14ac:dyDescent="0.35">
      <c r="I178" s="49"/>
      <c r="AU178"/>
      <c r="AV178"/>
      <c r="AW178"/>
      <c r="AX178"/>
      <c r="AY178"/>
      <c r="BA178" s="34"/>
    </row>
    <row r="179" spans="2:56" ht="16.5" thickBot="1" x14ac:dyDescent="0.4">
      <c r="C179" s="11" t="s">
        <v>456</v>
      </c>
      <c r="D179" s="33"/>
      <c r="I179" s="49"/>
      <c r="AU179"/>
      <c r="AV179"/>
      <c r="AW179"/>
      <c r="AX179"/>
      <c r="AY179"/>
      <c r="BA179" s="34"/>
    </row>
    <row r="180" spans="2:56" x14ac:dyDescent="0.35">
      <c r="E180" s="33" t="s">
        <v>457</v>
      </c>
      <c r="G180" s="33" t="s">
        <v>575</v>
      </c>
      <c r="I180" s="49"/>
      <c r="AH180"/>
      <c r="AI180"/>
      <c r="AJ180"/>
      <c r="AK180"/>
      <c r="AL180"/>
      <c r="AM180"/>
      <c r="AN180"/>
      <c r="AO180"/>
      <c r="AP180"/>
      <c r="AQ180"/>
      <c r="AR180"/>
      <c r="AS180"/>
      <c r="AT180" s="61"/>
      <c r="AU180" s="153">
        <f>AU159</f>
        <v>5.2449650000000014E-2</v>
      </c>
      <c r="AV180" s="46">
        <f>AV159</f>
        <v>5.3368820000000206E-2</v>
      </c>
      <c r="AW180" s="46">
        <f>AW159</f>
        <v>5.418586000000003E-2</v>
      </c>
      <c r="AX180" s="46">
        <f>AX159</f>
        <v>5.5309290000000289E-2</v>
      </c>
      <c r="AY180" s="46">
        <f>AY159</f>
        <v>5.6534850000000025E-2</v>
      </c>
      <c r="BA180" s="34" t="str">
        <f ca="1">$A$1</f>
        <v>Transform</v>
      </c>
      <c r="BB180" s="34" t="str">
        <f>$A$136</f>
        <v>Finance inputs</v>
      </c>
      <c r="BC180" s="34" t="str">
        <f>$B$173</f>
        <v>Semi nominal WACC</v>
      </c>
      <c r="BD180" s="34" t="str">
        <f>$C$179</f>
        <v>WACC</v>
      </c>
    </row>
    <row r="181" spans="2:56" x14ac:dyDescent="0.35">
      <c r="E181" s="33" t="s">
        <v>510</v>
      </c>
      <c r="G181" s="33" t="s">
        <v>575</v>
      </c>
      <c r="I181" s="49"/>
      <c r="AH181"/>
      <c r="AI181"/>
      <c r="AJ181"/>
      <c r="AK181"/>
      <c r="AL181"/>
      <c r="AM181"/>
      <c r="AN181"/>
      <c r="AO181"/>
      <c r="AP181"/>
      <c r="AQ181"/>
      <c r="AR181"/>
      <c r="AS181"/>
      <c r="AT181" s="61"/>
      <c r="AU181" s="153">
        <f>((1+AU167)*(1+AU147)-1)*AU175+((1+AU156)*(1+AU147)-1)*AU176+AU180*AU177</f>
        <v>5.8939742471644241E-2</v>
      </c>
      <c r="AV181" s="46">
        <f>((1+AV167)*(1+AV147)-1)*AV175+((1+AV156)*(1+AV147)-1)*AV176+AV180*AV177</f>
        <v>6.5557612297404921E-2</v>
      </c>
      <c r="AW181" s="46">
        <f>((1+AW167)*(1+AW147)-1)*AW175+((1+AW156)*(1+AW147)-1)*AW176+AW180*AW177</f>
        <v>6.5960515348524901E-2</v>
      </c>
      <c r="AX181" s="46">
        <f>((1+AX167)*(1+AX147)-1)*AX175+((1+AX156)*(1+AX147)-1)*AX176+AX180*AX177</f>
        <v>6.6544033722574947E-2</v>
      </c>
      <c r="AY181" s="46">
        <f>((1+AY167)*(1+AY147)-1)*AY175+((1+AY156)*(1+AY147)-1)*AY176+AY180*AY177</f>
        <v>6.7430420728115337E-2</v>
      </c>
      <c r="BA181" s="34" t="str">
        <f ca="1">$A$1</f>
        <v>Transform</v>
      </c>
      <c r="BB181" s="34" t="str">
        <f>$A$136</f>
        <v>Finance inputs</v>
      </c>
      <c r="BC181" s="34" t="str">
        <f>$B$173</f>
        <v>Semi nominal WACC</v>
      </c>
      <c r="BD181" s="34" t="str">
        <f>$C$179</f>
        <v>WACC</v>
      </c>
    </row>
    <row r="182" spans="2:56" x14ac:dyDescent="0.35">
      <c r="I182" s="49"/>
      <c r="AU182"/>
      <c r="AV182"/>
      <c r="AW182"/>
      <c r="AX182"/>
      <c r="AY182"/>
      <c r="BA182" s="34"/>
    </row>
    <row r="183" spans="2:56" ht="16.5" thickBot="1" x14ac:dyDescent="0.4">
      <c r="C183" s="11" t="s">
        <v>258</v>
      </c>
      <c r="D183" s="33"/>
      <c r="I183" s="49"/>
      <c r="AU183"/>
      <c r="AV183"/>
      <c r="AW183"/>
      <c r="AX183"/>
      <c r="AY183"/>
      <c r="BA183" s="34"/>
    </row>
    <row r="184" spans="2:56" x14ac:dyDescent="0.35">
      <c r="E184" s="33" t="s">
        <v>259</v>
      </c>
      <c r="G184" s="33" t="s">
        <v>208</v>
      </c>
      <c r="I184" s="49"/>
      <c r="J184" s="33" t="s">
        <v>13</v>
      </c>
      <c r="AH184"/>
      <c r="AI184"/>
      <c r="AJ184"/>
      <c r="AK184"/>
      <c r="AL184"/>
      <c r="AM184"/>
      <c r="AN184"/>
      <c r="AO184"/>
      <c r="AP184"/>
      <c r="AQ184"/>
      <c r="AR184" s="46">
        <f t="shared" ref="AR184:AY184" si="44">AR147*RIIO2+AR147*(AR175+AR176)*RIIO3</f>
        <v>5.5469014561463137E-2</v>
      </c>
      <c r="AS184" s="46">
        <f t="shared" si="44"/>
        <v>3.2148357289527807E-2</v>
      </c>
      <c r="AT184" s="172">
        <f t="shared" si="44"/>
        <v>4.9470916129122688E-2</v>
      </c>
      <c r="AU184" s="153">
        <f t="shared" si="44"/>
        <v>6.6206319969913004E-3</v>
      </c>
      <c r="AV184" s="46">
        <f t="shared" si="44"/>
        <v>1.2389132492242123E-2</v>
      </c>
      <c r="AW184" s="46">
        <f t="shared" si="44"/>
        <v>1.230613233783232E-2</v>
      </c>
      <c r="AX184" s="46">
        <f t="shared" si="44"/>
        <v>1.2220124804314626E-2</v>
      </c>
      <c r="AY184" s="46">
        <f t="shared" si="44"/>
        <v>1.2363637224894723E-2</v>
      </c>
      <c r="BA184" s="34" t="str">
        <f ca="1">$A$1</f>
        <v>Transform</v>
      </c>
      <c r="BB184" s="34" t="str">
        <f>$A$136</f>
        <v>Finance inputs</v>
      </c>
      <c r="BC184" s="34" t="str">
        <f>$B$173</f>
        <v>Semi nominal WACC</v>
      </c>
      <c r="BD184" s="34" t="str">
        <f>$C$183</f>
        <v>RAV indexation</v>
      </c>
    </row>
    <row r="185" spans="2:56" x14ac:dyDescent="0.35">
      <c r="E185" s="33" t="s">
        <v>430</v>
      </c>
      <c r="G185" s="33" t="s">
        <v>77</v>
      </c>
      <c r="I185" s="49"/>
      <c r="J185" s="33" t="s">
        <v>13</v>
      </c>
      <c r="AH185"/>
      <c r="AI185"/>
      <c r="AJ185"/>
      <c r="AK185"/>
      <c r="AL185"/>
      <c r="AM185"/>
      <c r="AN185"/>
      <c r="AO185"/>
      <c r="AP185"/>
      <c r="AQ185"/>
      <c r="AR185" s="47">
        <f t="shared" ref="AR185:AY185" si="45">(1+AR184)*AQ185+AR139</f>
        <v>1</v>
      </c>
      <c r="AS185" s="47">
        <f t="shared" si="45"/>
        <v>1.0321483572895278</v>
      </c>
      <c r="AT185" s="184">
        <f t="shared" si="45"/>
        <v>1.0832096821058097</v>
      </c>
      <c r="AU185" s="156">
        <f t="shared" si="45"/>
        <v>1.0903812147866101</v>
      </c>
      <c r="AV185" s="47">
        <f t="shared" si="45"/>
        <v>1.1038900921236532</v>
      </c>
      <c r="AW185" s="47">
        <f t="shared" si="45"/>
        <v>1.117474709683749</v>
      </c>
      <c r="AX185" s="47">
        <f t="shared" si="45"/>
        <v>1.1311303901017495</v>
      </c>
      <c r="AY185" s="47">
        <f t="shared" si="45"/>
        <v>1.1451152758990213</v>
      </c>
      <c r="BA185" s="34" t="str">
        <f ca="1">$A$1</f>
        <v>Transform</v>
      </c>
      <c r="BB185" s="34" t="str">
        <f>$A$136</f>
        <v>Finance inputs</v>
      </c>
      <c r="BC185" s="34" t="str">
        <f>$B$173</f>
        <v>Semi nominal WACC</v>
      </c>
      <c r="BD185" s="34" t="str">
        <f>$C$183</f>
        <v>RAV indexation</v>
      </c>
    </row>
    <row r="186" spans="2:56" x14ac:dyDescent="0.35">
      <c r="E186" s="33" t="s">
        <v>260</v>
      </c>
      <c r="G186" s="33" t="s">
        <v>576</v>
      </c>
      <c r="I186" s="49"/>
      <c r="AH186"/>
      <c r="AI186"/>
      <c r="AJ186"/>
      <c r="AK186"/>
      <c r="AL186"/>
      <c r="AM186"/>
      <c r="AN186"/>
      <c r="AO186"/>
      <c r="AP186"/>
      <c r="AQ186"/>
      <c r="AR186"/>
      <c r="AS186"/>
      <c r="AT186" s="61"/>
      <c r="AU186" s="153">
        <f>AU175*AU167+AU176*AU156+AU177*AU180</f>
        <v>5.1977253000000008E-2</v>
      </c>
      <c r="AV186" s="46">
        <f>AV175*AV167+AV176*AV156+AV177*AV180</f>
        <v>5.2525304400000083E-2</v>
      </c>
      <c r="AW186" s="46">
        <f>AW175*AW167+AW176*AW156+AW177*AW180</f>
        <v>5.3012461200000013E-2</v>
      </c>
      <c r="AX186" s="46">
        <f>AX175*AX167+AX176*AX156+AX177*AX180</f>
        <v>5.3682301800000123E-2</v>
      </c>
      <c r="AY186" s="46">
        <f>AY175*AY167+AY176*AY156+AY177*AY180</f>
        <v>5.4413037000000011E-2</v>
      </c>
      <c r="BA186" s="34" t="str">
        <f ca="1">$A$1</f>
        <v>Transform</v>
      </c>
      <c r="BB186" s="34" t="str">
        <f>$A$136</f>
        <v>Finance inputs</v>
      </c>
      <c r="BC186" s="34" t="str">
        <f>$B$173</f>
        <v>Semi nominal WACC</v>
      </c>
      <c r="BD186" s="34" t="str">
        <f>$C$183</f>
        <v>RAV indexation</v>
      </c>
    </row>
    <row r="187" spans="2:56" x14ac:dyDescent="0.35">
      <c r="E187" s="33" t="s">
        <v>577</v>
      </c>
      <c r="G187" s="33" t="s">
        <v>77</v>
      </c>
      <c r="I187" s="49"/>
      <c r="J187" s="33" t="s">
        <v>13</v>
      </c>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s="61"/>
      <c r="AU187" s="156">
        <f t="shared" ref="AU187:AY187" si="46">AU185*RIIO3+PCf*(RIIO1+RIIO2)</f>
        <v>1.0903812147866101</v>
      </c>
      <c r="AV187" s="47">
        <f t="shared" si="46"/>
        <v>1.1038900921236532</v>
      </c>
      <c r="AW187" s="47">
        <f t="shared" si="46"/>
        <v>1.117474709683749</v>
      </c>
      <c r="AX187" s="47">
        <f t="shared" si="46"/>
        <v>1.1311303901017495</v>
      </c>
      <c r="AY187" s="47">
        <f t="shared" si="46"/>
        <v>1.1451152758990213</v>
      </c>
      <c r="BA187" s="34" t="str">
        <f ca="1">$A$1</f>
        <v>Transform</v>
      </c>
      <c r="BB187" s="34" t="str">
        <f>$A$136</f>
        <v>Finance inputs</v>
      </c>
      <c r="BC187" s="34" t="str">
        <f>$B$173</f>
        <v>Semi nominal WACC</v>
      </c>
      <c r="BD187" s="34" t="str">
        <f>$C$183</f>
        <v>RAV indexation</v>
      </c>
    </row>
    <row r="188" spans="2:56" x14ac:dyDescent="0.35">
      <c r="E188" s="33" t="s">
        <v>421</v>
      </c>
      <c r="G188" s="33" t="s">
        <v>208</v>
      </c>
      <c r="I188" s="49"/>
      <c r="J188" s="33" t="s">
        <v>13</v>
      </c>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s="61"/>
      <c r="AU188" s="153">
        <f>AU184*RIIO3+AU147*(RIIO1+RIIO2)</f>
        <v>6.6206319969913004E-3</v>
      </c>
      <c r="AV188" s="46">
        <f>AV184*RIIO3+AV147*(RIIO1+RIIO2)</f>
        <v>1.2389132492242123E-2</v>
      </c>
      <c r="AW188" s="46">
        <f>AW184*RIIO3+AW147*(RIIO1+RIIO2)</f>
        <v>1.230613233783232E-2</v>
      </c>
      <c r="AX188" s="46">
        <f>AX184*RIIO3+AX147*(RIIO1+RIIO2)</f>
        <v>1.2220124804314626E-2</v>
      </c>
      <c r="AY188" s="46">
        <f>AY184*RIIO3+AY147*(RIIO1+RIIO2)</f>
        <v>1.2363637224894723E-2</v>
      </c>
      <c r="BA188" s="34" t="str">
        <f ca="1">$A$1</f>
        <v>Transform</v>
      </c>
      <c r="BB188" s="34" t="str">
        <f>$A$136</f>
        <v>Finance inputs</v>
      </c>
      <c r="BC188" s="34" t="str">
        <f>$B$173</f>
        <v>Semi nominal WACC</v>
      </c>
      <c r="BD188" s="34" t="str">
        <f>$C$183</f>
        <v>RAV indexation</v>
      </c>
    </row>
    <row r="189" spans="2:56" x14ac:dyDescent="0.35">
      <c r="I189" s="49"/>
      <c r="AU189"/>
      <c r="AV189"/>
      <c r="AW189"/>
      <c r="AX189"/>
      <c r="AY189"/>
      <c r="BA189" s="34"/>
    </row>
    <row r="190" spans="2:56" ht="17.5" thickBot="1" x14ac:dyDescent="0.4">
      <c r="B190" s="8" t="s">
        <v>264</v>
      </c>
      <c r="BA190" s="34"/>
    </row>
    <row r="191" spans="2:56" ht="16.5" thickTop="1" x14ac:dyDescent="0.35">
      <c r="E191" s="33" t="s">
        <v>223</v>
      </c>
      <c r="F191" s="126" t="str">
        <f>LicenseeSelect!F536</f>
        <v>SpC 2.3</v>
      </c>
      <c r="G191" s="33" t="s">
        <v>109</v>
      </c>
      <c r="H191" s="126" t="str">
        <f>LicenseeSelect!H536</f>
        <v>G</v>
      </c>
      <c r="I191" s="41">
        <f>LicenseeSelect!I536</f>
        <v>0.6</v>
      </c>
      <c r="AZ191"/>
      <c r="BA191" s="34" t="str">
        <f ca="1">$A$1</f>
        <v>Transform</v>
      </c>
      <c r="BB191" s="34" t="str">
        <f>$A$136</f>
        <v>Finance inputs</v>
      </c>
      <c r="BC191" s="34" t="str">
        <f t="shared" ref="BC191:BC195" si="47">$B$190</f>
        <v>Other finance inputs</v>
      </c>
    </row>
    <row r="192" spans="2:56" x14ac:dyDescent="0.35">
      <c r="E192" s="33" t="s">
        <v>227</v>
      </c>
      <c r="F192" s="126">
        <f>LicenseeSelect!F537</f>
        <v>0</v>
      </c>
      <c r="G192" s="33" t="s">
        <v>109</v>
      </c>
      <c r="H192" s="126">
        <f>LicenseeSelect!H537</f>
        <v>0</v>
      </c>
      <c r="AU192" s="162">
        <f>LicenseeSelect!AU537</f>
        <v>0</v>
      </c>
      <c r="AV192" s="41">
        <f>LicenseeSelect!AV537</f>
        <v>0</v>
      </c>
      <c r="AW192" s="41">
        <f>LicenseeSelect!AW537</f>
        <v>0</v>
      </c>
      <c r="AX192" s="41">
        <f>LicenseeSelect!AX537</f>
        <v>0</v>
      </c>
      <c r="AY192" s="41">
        <f>LicenseeSelect!AY537</f>
        <v>0</v>
      </c>
      <c r="BA192" s="34" t="str">
        <f t="shared" ref="BA192:BA195" ca="1" si="48">$A$1</f>
        <v>Transform</v>
      </c>
      <c r="BB192" s="34" t="str">
        <f t="shared" ref="BB192:BB195" si="49">$A$136</f>
        <v>Finance inputs</v>
      </c>
      <c r="BC192" s="34" t="str">
        <f t="shared" si="47"/>
        <v>Other finance inputs</v>
      </c>
    </row>
    <row r="193" spans="2:55" x14ac:dyDescent="0.35">
      <c r="E193" s="33" t="s">
        <v>228</v>
      </c>
      <c r="F193" s="126">
        <f>LicenseeSelect!F538</f>
        <v>0</v>
      </c>
      <c r="G193" s="33" t="s">
        <v>109</v>
      </c>
      <c r="H193" s="126">
        <f>LicenseeSelect!H538</f>
        <v>0</v>
      </c>
      <c r="AU193" s="162">
        <f>LicenseeSelect!AU538</f>
        <v>0.05</v>
      </c>
      <c r="AV193" s="41">
        <f>LicenseeSelect!AV538</f>
        <v>0.05</v>
      </c>
      <c r="AW193" s="41">
        <f>LicenseeSelect!AW538</f>
        <v>0.05</v>
      </c>
      <c r="AX193" s="41">
        <f>LicenseeSelect!AX538</f>
        <v>0.05</v>
      </c>
      <c r="AY193" s="41">
        <f>LicenseeSelect!AY538</f>
        <v>0.05</v>
      </c>
      <c r="BA193" s="34" t="str">
        <f t="shared" ca="1" si="48"/>
        <v>Transform</v>
      </c>
      <c r="BB193" s="34" t="str">
        <f t="shared" si="49"/>
        <v>Finance inputs</v>
      </c>
      <c r="BC193" s="34" t="str">
        <f t="shared" si="47"/>
        <v>Other finance inputs</v>
      </c>
    </row>
    <row r="194" spans="2:55" x14ac:dyDescent="0.35">
      <c r="E194" s="33" t="s">
        <v>816</v>
      </c>
      <c r="F194" s="126">
        <f>LicenseeSelect!F539</f>
        <v>0</v>
      </c>
      <c r="G194" s="33" t="s">
        <v>109</v>
      </c>
      <c r="H194" s="126">
        <f>LicenseeSelect!H539</f>
        <v>0</v>
      </c>
      <c r="AU194" s="162">
        <f>LicenseeSelect!AU539</f>
        <v>0.03</v>
      </c>
      <c r="AV194" s="41">
        <f>LicenseeSelect!AV539</f>
        <v>0.03</v>
      </c>
      <c r="AW194" s="41">
        <f>LicenseeSelect!AW539</f>
        <v>0.03</v>
      </c>
      <c r="AX194" s="41">
        <f>LicenseeSelect!AX539</f>
        <v>0.03</v>
      </c>
      <c r="AY194" s="41">
        <f>LicenseeSelect!AY539</f>
        <v>0.03</v>
      </c>
      <c r="BA194" s="34" t="str">
        <f t="shared" ca="1" si="48"/>
        <v>Transform</v>
      </c>
      <c r="BB194" s="34" t="str">
        <f t="shared" si="49"/>
        <v>Finance inputs</v>
      </c>
      <c r="BC194" s="34" t="str">
        <f t="shared" si="47"/>
        <v>Other finance inputs</v>
      </c>
    </row>
    <row r="195" spans="2:55" x14ac:dyDescent="0.35">
      <c r="E195" s="33" t="s">
        <v>229</v>
      </c>
      <c r="F195" s="126">
        <f>LicenseeSelect!F540</f>
        <v>0</v>
      </c>
      <c r="G195" s="33" t="s">
        <v>109</v>
      </c>
      <c r="H195" s="126">
        <f>LicenseeSelect!H540</f>
        <v>0</v>
      </c>
      <c r="AU195" s="162">
        <f>LicenseeSelect!AU540</f>
        <v>0.3</v>
      </c>
      <c r="AV195" s="41">
        <f>LicenseeSelect!AV540</f>
        <v>0.3</v>
      </c>
      <c r="AW195" s="41">
        <f>LicenseeSelect!AW540</f>
        <v>0.3</v>
      </c>
      <c r="AX195" s="41">
        <f>LicenseeSelect!AX540</f>
        <v>0.3</v>
      </c>
      <c r="AY195" s="41">
        <f>LicenseeSelect!AY540</f>
        <v>0.3</v>
      </c>
      <c r="BA195" s="34" t="str">
        <f t="shared" ca="1" si="48"/>
        <v>Transform</v>
      </c>
      <c r="BB195" s="34" t="str">
        <f t="shared" si="49"/>
        <v>Finance inputs</v>
      </c>
      <c r="BC195" s="34" t="str">
        <f t="shared" si="47"/>
        <v>Other finance inputs</v>
      </c>
    </row>
    <row r="196" spans="2:55" x14ac:dyDescent="0.35">
      <c r="BA196" s="34"/>
    </row>
    <row r="197" spans="2:55" ht="17.5" thickBot="1" x14ac:dyDescent="0.4">
      <c r="B197" s="8" t="s">
        <v>262</v>
      </c>
      <c r="BA197" s="34"/>
    </row>
    <row r="198" spans="2:55" ht="16.5" thickTop="1" x14ac:dyDescent="0.35">
      <c r="E198" s="33" t="s">
        <v>88</v>
      </c>
      <c r="F198" s="126">
        <f>LicenseeSelect!F83</f>
        <v>0</v>
      </c>
      <c r="G198" s="33" t="str">
        <f>nominal</f>
        <v>£m nominal</v>
      </c>
      <c r="H198" s="126" t="str">
        <f>LicenseeSelect!H83</f>
        <v>ANDt</v>
      </c>
      <c r="AU198" s="87">
        <f>LicenseeSelect!AU83</f>
        <v>0</v>
      </c>
      <c r="AV198" s="36">
        <f>LicenseeSelect!AV83</f>
        <v>0</v>
      </c>
      <c r="AW198" s="36">
        <f>LicenseeSelect!AW83</f>
        <v>0</v>
      </c>
      <c r="AX198" s="36">
        <f>LicenseeSelect!AX83</f>
        <v>0</v>
      </c>
      <c r="AY198" s="36">
        <f>LicenseeSelect!AY83</f>
        <v>0</v>
      </c>
      <c r="BA198" s="34" t="str">
        <f ca="1">$A$1</f>
        <v>Transform</v>
      </c>
      <c r="BB198" s="34" t="str">
        <f>$A$136</f>
        <v>Finance inputs</v>
      </c>
      <c r="BC198" s="34" t="str">
        <f>$B$197</f>
        <v>Tax allowance</v>
      </c>
    </row>
    <row r="199" spans="2:55" x14ac:dyDescent="0.35">
      <c r="E199" s="33" t="s">
        <v>90</v>
      </c>
      <c r="F199" s="126">
        <f>LicenseeSelect!F84</f>
        <v>0</v>
      </c>
      <c r="G199" s="33" t="str">
        <f>nominal</f>
        <v>£m nominal</v>
      </c>
      <c r="H199" s="126" t="str">
        <f>LicenseeSelect!H84</f>
        <v>TDNIt</v>
      </c>
      <c r="AU199" s="87">
        <f>LicenseeSelect!AU84</f>
        <v>0</v>
      </c>
      <c r="AV199" s="36">
        <f>LicenseeSelect!AV84</f>
        <v>0</v>
      </c>
      <c r="AW199" s="36">
        <f>LicenseeSelect!AW84</f>
        <v>0</v>
      </c>
      <c r="AX199" s="36">
        <f>LicenseeSelect!AX84</f>
        <v>0</v>
      </c>
      <c r="AY199" s="36">
        <f>LicenseeSelect!AY84</f>
        <v>0</v>
      </c>
      <c r="BA199" s="34" t="str">
        <f ca="1">$A$1</f>
        <v>Transform</v>
      </c>
      <c r="BB199" s="34" t="str">
        <f>$A$136</f>
        <v>Finance inputs</v>
      </c>
      <c r="BC199" s="34" t="str">
        <f>$B$197</f>
        <v>Tax allowance</v>
      </c>
    </row>
    <row r="200" spans="2:55" x14ac:dyDescent="0.35">
      <c r="E200" s="33" t="s">
        <v>92</v>
      </c>
      <c r="F200" s="126" t="str">
        <f>LicenseeSelect!F85</f>
        <v>SpC 2.2</v>
      </c>
      <c r="G200" s="33" t="str">
        <f>nominal</f>
        <v>£m nominal</v>
      </c>
      <c r="H200" s="126" t="str">
        <f>LicenseeSelect!H85</f>
        <v>TAXAt</v>
      </c>
      <c r="AU200" s="87">
        <f>LicenseeSelect!AU85</f>
        <v>0</v>
      </c>
      <c r="AV200" s="36">
        <f>LicenseeSelect!AV85</f>
        <v>0</v>
      </c>
      <c r="AW200" s="36">
        <f>LicenseeSelect!AW85</f>
        <v>0</v>
      </c>
      <c r="AX200" s="36">
        <f>LicenseeSelect!AX85</f>
        <v>0</v>
      </c>
      <c r="AY200" s="36">
        <f>LicenseeSelect!AY85</f>
        <v>0</v>
      </c>
      <c r="BA200" s="34" t="str">
        <f ca="1">$A$1</f>
        <v>Transform</v>
      </c>
      <c r="BB200" s="34" t="str">
        <f>$A$136</f>
        <v>Finance inputs</v>
      </c>
      <c r="BC200" s="34" t="str">
        <f>$B$197</f>
        <v>Tax allowance</v>
      </c>
    </row>
    <row r="201" spans="2:55" x14ac:dyDescent="0.35">
      <c r="E201" s="33" t="s">
        <v>95</v>
      </c>
      <c r="F201" s="126">
        <f>LicenseeSelect!F86</f>
        <v>0</v>
      </c>
      <c r="G201" s="33" t="str">
        <f>price_label</f>
        <v>£m 23/24 prices</v>
      </c>
      <c r="H201" s="126" t="str">
        <f>LicenseeSelect!H86</f>
        <v>TTEt</v>
      </c>
      <c r="AU201" s="87">
        <f>LicenseeSelect!AU86</f>
        <v>0</v>
      </c>
      <c r="AV201" s="36">
        <f>LicenseeSelect!AV86</f>
        <v>0</v>
      </c>
      <c r="AW201" s="36">
        <f>LicenseeSelect!AW86</f>
        <v>0</v>
      </c>
      <c r="AX201" s="36">
        <f>LicenseeSelect!AX86</f>
        <v>0</v>
      </c>
      <c r="AY201" s="36">
        <f>LicenseeSelect!AY86</f>
        <v>0</v>
      </c>
      <c r="BA201" s="34" t="str">
        <f ca="1">$A$1</f>
        <v>Transform</v>
      </c>
      <c r="BB201" s="34" t="str">
        <f>$A$136</f>
        <v>Finance inputs</v>
      </c>
      <c r="BC201" s="34" t="str">
        <f>$B$197</f>
        <v>Tax allowance</v>
      </c>
    </row>
    <row r="202" spans="2:55" x14ac:dyDescent="0.35">
      <c r="E202" s="33" t="s">
        <v>106</v>
      </c>
      <c r="F202" s="126">
        <f>LicenseeSelect!F95</f>
        <v>0</v>
      </c>
      <c r="G202" s="33" t="str">
        <f t="shared" si="16"/>
        <v>£m nominal</v>
      </c>
      <c r="H202" s="126" t="str">
        <f>LicenseeSelect!H95</f>
        <v>OTLt</v>
      </c>
      <c r="AU202" s="87">
        <f>LicenseeSelect!AU95</f>
        <v>0</v>
      </c>
      <c r="AV202"/>
      <c r="AW202"/>
      <c r="AX202"/>
      <c r="AY202"/>
      <c r="BA202" s="34" t="str">
        <f t="shared" ca="1" si="17"/>
        <v>Transform</v>
      </c>
      <c r="BB202" s="34" t="str">
        <f t="shared" si="18"/>
        <v>Tax pools</v>
      </c>
    </row>
    <row r="203" spans="2:55" x14ac:dyDescent="0.35">
      <c r="BA203" s="34"/>
    </row>
    <row r="204" spans="2:55" x14ac:dyDescent="0.35">
      <c r="E204" s="33" t="s">
        <v>182</v>
      </c>
      <c r="F204" s="126">
        <f>LicenseeSelect!F551</f>
        <v>0</v>
      </c>
      <c r="G204" s="33" t="s">
        <v>109</v>
      </c>
      <c r="H204" s="126">
        <f>LicenseeSelect!H551</f>
        <v>0</v>
      </c>
      <c r="AU204" s="162">
        <f>LicenseeSelect!AU551</f>
        <v>0.6</v>
      </c>
      <c r="AV204" s="41">
        <f>LicenseeSelect!AV551</f>
        <v>0.6</v>
      </c>
      <c r="AW204" s="41">
        <f>LicenseeSelect!AW551</f>
        <v>0.6</v>
      </c>
      <c r="AX204" s="41">
        <f>LicenseeSelect!AX551</f>
        <v>0.6</v>
      </c>
      <c r="AY204" s="41">
        <f>LicenseeSelect!AY551</f>
        <v>0.6</v>
      </c>
      <c r="BA204" s="34" t="str">
        <f ca="1">$A$1</f>
        <v>Transform</v>
      </c>
      <c r="BB204" s="34" t="str">
        <f>$A$136</f>
        <v>Finance inputs</v>
      </c>
      <c r="BC204" s="34" t="str">
        <f>$B$197</f>
        <v>Tax allowance</v>
      </c>
    </row>
    <row r="205" spans="2:55" x14ac:dyDescent="0.35">
      <c r="E205" s="33" t="s">
        <v>183</v>
      </c>
      <c r="F205" s="126">
        <f>LicenseeSelect!F468</f>
        <v>0</v>
      </c>
      <c r="G205" s="33" t="str">
        <f>price_label</f>
        <v>£m 23/24 prices</v>
      </c>
      <c r="H205" s="126">
        <f>LicenseeSelect!H468</f>
        <v>0</v>
      </c>
      <c r="AU205" s="87">
        <f>LicenseeSelect!AU468</f>
        <v>1.5073476235385441</v>
      </c>
      <c r="AV205" s="36">
        <f>LicenseeSelect!AV468</f>
        <v>1.5777854665626652</v>
      </c>
      <c r="AW205" s="36">
        <f>LicenseeSelect!AW468</f>
        <v>1.6130806242112121</v>
      </c>
      <c r="AX205" s="36">
        <f>LicenseeSelect!AX468</f>
        <v>1.6124484596230519</v>
      </c>
      <c r="AY205" s="36">
        <f>LicenseeSelect!AY468</f>
        <v>1.6130229169488854</v>
      </c>
      <c r="BA205" s="34" t="str">
        <f ca="1">$A$1</f>
        <v>Transform</v>
      </c>
      <c r="BB205" s="34" t="str">
        <f>$A$136</f>
        <v>Finance inputs</v>
      </c>
      <c r="BC205" s="34" t="str">
        <f>$B$197</f>
        <v>Tax allowance</v>
      </c>
    </row>
    <row r="206" spans="2:55" x14ac:dyDescent="0.35">
      <c r="BA206" s="34"/>
    </row>
    <row r="207" spans="2:55" x14ac:dyDescent="0.35">
      <c r="E207" s="33" t="s">
        <v>210</v>
      </c>
      <c r="F207" s="126">
        <f>LicenseeSelect!F515</f>
        <v>0</v>
      </c>
      <c r="G207" s="33" t="s">
        <v>109</v>
      </c>
      <c r="H207" s="126" t="str">
        <f>LicenseeSelect!H515</f>
        <v>CTt</v>
      </c>
      <c r="AU207" s="162">
        <f>LicenseeSelect!AU515</f>
        <v>0.25</v>
      </c>
      <c r="AV207" s="41">
        <f>LicenseeSelect!AV515</f>
        <v>0.25</v>
      </c>
      <c r="AW207" s="41">
        <f>LicenseeSelect!AW515</f>
        <v>0.25</v>
      </c>
      <c r="AX207" s="41">
        <f>LicenseeSelect!AX515</f>
        <v>0.25</v>
      </c>
      <c r="AY207" s="41">
        <f>LicenseeSelect!AY515</f>
        <v>0.25</v>
      </c>
      <c r="BA207" s="34" t="str">
        <f ca="1">$A$1</f>
        <v>Transform</v>
      </c>
      <c r="BB207" s="34" t="str">
        <f>$A$136</f>
        <v>Finance inputs</v>
      </c>
      <c r="BC207" s="34" t="str">
        <f>$B$197</f>
        <v>Tax allowance</v>
      </c>
    </row>
    <row r="208" spans="2:55" x14ac:dyDescent="0.35">
      <c r="E208" s="33" t="s">
        <v>394</v>
      </c>
      <c r="F208" s="126">
        <f>LicenseeSelect!F541</f>
        <v>0</v>
      </c>
      <c r="G208" s="33" t="str">
        <f>nominal</f>
        <v>£m nominal</v>
      </c>
      <c r="H208" s="126">
        <f>LicenseeSelect!H541</f>
        <v>0</v>
      </c>
      <c r="I208" s="36">
        <f>LicenseeSelect!I541</f>
        <v>5</v>
      </c>
      <c r="BA208" s="34" t="str">
        <f ca="1">$A$1</f>
        <v>Transform</v>
      </c>
      <c r="BB208" s="34" t="str">
        <f>$A$136</f>
        <v>Finance inputs</v>
      </c>
      <c r="BC208" s="34" t="str">
        <f>$B$197</f>
        <v>Tax allowance</v>
      </c>
    </row>
    <row r="209" spans="1:55" x14ac:dyDescent="0.35">
      <c r="E209" s="33" t="s">
        <v>393</v>
      </c>
      <c r="F209" s="126">
        <f>LicenseeSelect!F542</f>
        <v>0</v>
      </c>
      <c r="G209" s="33" t="s">
        <v>109</v>
      </c>
      <c r="H209" s="126">
        <f>LicenseeSelect!H542</f>
        <v>0</v>
      </c>
      <c r="I209" s="41">
        <f>LicenseeSelect!I542</f>
        <v>0.5</v>
      </c>
      <c r="BA209" s="34" t="str">
        <f ca="1">$A$1</f>
        <v>Transform</v>
      </c>
      <c r="BB209" s="34" t="str">
        <f>$A$136</f>
        <v>Finance inputs</v>
      </c>
      <c r="BC209" s="34" t="str">
        <f>$B$197</f>
        <v>Tax allowance</v>
      </c>
    </row>
    <row r="210" spans="1:55" x14ac:dyDescent="0.35">
      <c r="BA210" s="34"/>
    </row>
    <row r="211" spans="1:55" ht="20" thickBot="1" x14ac:dyDescent="0.4">
      <c r="A211" s="7" t="s">
        <v>49</v>
      </c>
      <c r="BA211" s="34"/>
    </row>
    <row r="212" spans="1:55" ht="16.5" thickTop="1" x14ac:dyDescent="0.35">
      <c r="E212" s="33" t="s">
        <v>409</v>
      </c>
      <c r="F212" s="126">
        <f>LicenseeSelect!F465</f>
        <v>0</v>
      </c>
      <c r="G212" s="33" t="str">
        <f>price_label</f>
        <v>£m 23/24 prices</v>
      </c>
      <c r="H212" s="126" t="str">
        <f>LicenseeSelect!H465</f>
        <v>BPIt</v>
      </c>
      <c r="AU212" s="87">
        <f>LicenseeSelect!AU465</f>
        <v>-0.8</v>
      </c>
      <c r="AV212" s="36">
        <f>LicenseeSelect!AV465</f>
        <v>-0.80500000000000005</v>
      </c>
      <c r="AW212" s="36">
        <f>LicenseeSelect!AW465</f>
        <v>-0.80700000000000005</v>
      </c>
      <c r="AX212" s="36">
        <f>LicenseeSelect!AX465</f>
        <v>-0.80400000000000005</v>
      </c>
      <c r="AY212" s="36">
        <f>LicenseeSelect!AY465</f>
        <v>-0.79700000000000004</v>
      </c>
      <c r="BA212" s="34" t="str">
        <f ca="1">$A$1</f>
        <v>Transform</v>
      </c>
      <c r="BB212" s="34" t="str">
        <f>$A$211</f>
        <v>Incentive revenue</v>
      </c>
    </row>
    <row r="213" spans="1:55" x14ac:dyDescent="0.35"/>
    <row r="214" spans="1:55" x14ac:dyDescent="0.35">
      <c r="E214" s="33" t="s">
        <v>50</v>
      </c>
      <c r="F214" s="33" t="s">
        <v>51</v>
      </c>
      <c r="G214" s="33" t="str">
        <f t="shared" ref="G214:G220" si="50">price_label</f>
        <v>£m 23/24 prices</v>
      </c>
      <c r="H214" s="126" t="str">
        <f>LicenseeSelect!H39</f>
        <v>CSt</v>
      </c>
      <c r="AU214" s="87">
        <f>LicenseeSelect!AU39</f>
        <v>0</v>
      </c>
      <c r="AV214" s="36">
        <f>LicenseeSelect!AV39</f>
        <v>0</v>
      </c>
      <c r="AW214" s="36">
        <f>LicenseeSelect!AW39</f>
        <v>0</v>
      </c>
      <c r="AX214" s="36">
        <f>LicenseeSelect!AX39</f>
        <v>0</v>
      </c>
      <c r="AY214" s="36">
        <f>LicenseeSelect!AY39</f>
        <v>0</v>
      </c>
      <c r="BA214" s="34" t="str">
        <f t="shared" ref="BA214:BA220" ca="1" si="51">$A$1</f>
        <v>Transform</v>
      </c>
      <c r="BB214" s="34" t="str">
        <f t="shared" ref="BB214:BB220" si="52">$A$211</f>
        <v>Incentive revenue</v>
      </c>
    </row>
    <row r="215" spans="1:55" x14ac:dyDescent="0.35">
      <c r="E215" s="33" t="s">
        <v>53</v>
      </c>
      <c r="F215" s="33" t="s">
        <v>54</v>
      </c>
      <c r="G215" s="33" t="str">
        <f t="shared" si="50"/>
        <v>£m 23/24 prices</v>
      </c>
      <c r="H215" s="126" t="str">
        <f>LicenseeSelect!H40</f>
        <v>CMt</v>
      </c>
      <c r="AU215" s="87">
        <f>LicenseeSelect!AU40</f>
        <v>0</v>
      </c>
      <c r="AV215" s="36">
        <f>LicenseeSelect!AV40</f>
        <v>0</v>
      </c>
      <c r="AW215" s="36">
        <f>LicenseeSelect!AW40</f>
        <v>0</v>
      </c>
      <c r="AX215" s="36">
        <f>LicenseeSelect!AX40</f>
        <v>0</v>
      </c>
      <c r="AY215" s="36">
        <f>LicenseeSelect!AY40</f>
        <v>0</v>
      </c>
      <c r="BA215" s="34" t="str">
        <f t="shared" ca="1" si="51"/>
        <v>Transform</v>
      </c>
      <c r="BB215" s="34" t="str">
        <f t="shared" si="52"/>
        <v>Incentive revenue</v>
      </c>
    </row>
    <row r="216" spans="1:55" x14ac:dyDescent="0.35">
      <c r="E216" s="33" t="s">
        <v>56</v>
      </c>
      <c r="F216" s="33" t="s">
        <v>60</v>
      </c>
      <c r="G216" s="33" t="str">
        <f t="shared" si="50"/>
        <v>£m 23/24 prices</v>
      </c>
      <c r="H216" s="126" t="str">
        <f>LicenseeSelect!H41</f>
        <v>UIPt</v>
      </c>
      <c r="AU216" s="87">
        <f>LicenseeSelect!AU41</f>
        <v>0</v>
      </c>
      <c r="AV216" s="36">
        <f>LicenseeSelect!AV41</f>
        <v>0</v>
      </c>
      <c r="AW216" s="36">
        <f>LicenseeSelect!AW41</f>
        <v>0</v>
      </c>
      <c r="AX216" s="36">
        <f>LicenseeSelect!AX41</f>
        <v>0</v>
      </c>
      <c r="AY216" s="36">
        <f>LicenseeSelect!AY41</f>
        <v>0</v>
      </c>
      <c r="BA216" s="34" t="str">
        <f t="shared" ca="1" si="51"/>
        <v>Transform</v>
      </c>
      <c r="BB216" s="34" t="str">
        <f t="shared" si="52"/>
        <v>Incentive revenue</v>
      </c>
    </row>
    <row r="217" spans="1:55" x14ac:dyDescent="0.35">
      <c r="E217" s="33" t="s">
        <v>59</v>
      </c>
      <c r="F217" s="33" t="s">
        <v>60</v>
      </c>
      <c r="G217" s="33" t="str">
        <f t="shared" si="50"/>
        <v>£m 23/24 prices</v>
      </c>
      <c r="H217" s="126" t="str">
        <f>LicenseeSelect!H42</f>
        <v>UIPt</v>
      </c>
      <c r="AU217" s="87">
        <f>LicenseeSelect!AU42</f>
        <v>0</v>
      </c>
      <c r="AV217" s="36">
        <f>LicenseeSelect!AV42</f>
        <v>0</v>
      </c>
      <c r="AW217" s="36">
        <f>LicenseeSelect!AW42</f>
        <v>0</v>
      </c>
      <c r="AX217" s="36">
        <f>LicenseeSelect!AX42</f>
        <v>0</v>
      </c>
      <c r="AY217" s="36">
        <f>LicenseeSelect!AY42</f>
        <v>0</v>
      </c>
      <c r="BA217" s="34" t="str">
        <f t="shared" ca="1" si="51"/>
        <v>Transform</v>
      </c>
      <c r="BB217" s="34" t="str">
        <f t="shared" si="52"/>
        <v>Incentive revenue</v>
      </c>
    </row>
    <row r="218" spans="1:55" x14ac:dyDescent="0.35">
      <c r="E218" s="33" t="s">
        <v>61</v>
      </c>
      <c r="F218" s="33" t="s">
        <v>57</v>
      </c>
      <c r="G218" s="33" t="str">
        <f t="shared" si="50"/>
        <v>£m 23/24 prices</v>
      </c>
      <c r="H218" s="126" t="str">
        <f>LicenseeSelect!H43</f>
        <v>CSWt</v>
      </c>
      <c r="AU218" s="87">
        <f>LicenseeSelect!AU43</f>
        <v>0</v>
      </c>
      <c r="AV218" s="36">
        <f>LicenseeSelect!AV43</f>
        <v>0</v>
      </c>
      <c r="AW218" s="36">
        <f>LicenseeSelect!AW43</f>
        <v>0</v>
      </c>
      <c r="AX218" s="36">
        <f>LicenseeSelect!AX43</f>
        <v>0</v>
      </c>
      <c r="AY218" s="36">
        <f>LicenseeSelect!AY43</f>
        <v>0</v>
      </c>
      <c r="BA218" s="34" t="str">
        <f t="shared" ca="1" si="51"/>
        <v>Transform</v>
      </c>
      <c r="BB218" s="34" t="str">
        <f t="shared" si="52"/>
        <v>Incentive revenue</v>
      </c>
    </row>
    <row r="219" spans="1:55" x14ac:dyDescent="0.35">
      <c r="E219" s="33" t="s">
        <v>892</v>
      </c>
      <c r="F219" s="33" t="s">
        <v>62</v>
      </c>
      <c r="G219" s="33" t="str">
        <f t="shared" si="50"/>
        <v>£m 23/24 prices</v>
      </c>
      <c r="H219" s="126" t="s">
        <v>893</v>
      </c>
      <c r="AU219" s="87">
        <f>LicenseeSelect!AU44</f>
        <v>0</v>
      </c>
      <c r="AV219" s="36">
        <f>LicenseeSelect!AV44</f>
        <v>0</v>
      </c>
      <c r="AW219" s="36">
        <f>LicenseeSelect!AW44</f>
        <v>0</v>
      </c>
      <c r="AX219" s="36">
        <f>LicenseeSelect!AX44</f>
        <v>0</v>
      </c>
      <c r="AY219" s="36">
        <f>LicenseeSelect!AY44</f>
        <v>0</v>
      </c>
      <c r="BA219" s="34"/>
    </row>
    <row r="220" spans="1:55" x14ac:dyDescent="0.35">
      <c r="E220" s="33" t="s">
        <v>245</v>
      </c>
      <c r="G220" s="33" t="str">
        <f t="shared" si="50"/>
        <v>£m 23/24 prices</v>
      </c>
      <c r="AU220" s="165">
        <f>SUM(AU214:AU219)</f>
        <v>0</v>
      </c>
      <c r="AV220" s="165">
        <f t="shared" ref="AV220:AY220" si="53">SUM(AV214:AV219)</f>
        <v>0</v>
      </c>
      <c r="AW220" s="165">
        <f t="shared" si="53"/>
        <v>0</v>
      </c>
      <c r="AX220" s="165">
        <f t="shared" si="53"/>
        <v>0</v>
      </c>
      <c r="AY220" s="165">
        <f t="shared" si="53"/>
        <v>0</v>
      </c>
      <c r="BA220" s="34" t="str">
        <f t="shared" ca="1" si="51"/>
        <v>Transform</v>
      </c>
      <c r="BB220" s="34" t="str">
        <f t="shared" si="52"/>
        <v>Incentive revenue</v>
      </c>
    </row>
    <row r="221" spans="1:55" x14ac:dyDescent="0.35">
      <c r="BA221" s="34"/>
    </row>
    <row r="222" spans="1:55" ht="20" thickBot="1" x14ac:dyDescent="0.4">
      <c r="A222" s="7" t="s">
        <v>202</v>
      </c>
      <c r="BA222" s="34"/>
    </row>
    <row r="223" spans="1:55" ht="16.5" thickTop="1" x14ac:dyDescent="0.35">
      <c r="E223" s="33" t="s">
        <v>202</v>
      </c>
      <c r="F223" s="126">
        <f>LicenseeSelect!F498</f>
        <v>0</v>
      </c>
      <c r="G223" s="33" t="str">
        <f>price_label</f>
        <v>£m 23/24 prices</v>
      </c>
      <c r="H223" s="126">
        <f>LicenseeSelect!H498</f>
        <v>0</v>
      </c>
      <c r="I223"/>
      <c r="AU223" s="87">
        <f>LicenseeSelect!AU498</f>
        <v>-8.183739375</v>
      </c>
      <c r="AV223" s="36">
        <f>LicenseeSelect!AV498</f>
        <v>-8.5845247937500009</v>
      </c>
      <c r="AW223" s="36">
        <f>LicenseeSelect!AW498</f>
        <v>-9.0437251534374994</v>
      </c>
      <c r="AX223" s="36">
        <f>LicenseeSelect!AX498</f>
        <v>-9.5108419273093805</v>
      </c>
      <c r="AY223" s="36">
        <f>LicenseeSelect!AY498</f>
        <v>-10.0058532618868</v>
      </c>
      <c r="BA223" s="34" t="str">
        <f ca="1">$A$1</f>
        <v>Transform</v>
      </c>
      <c r="BB223" s="34" t="str">
        <f>A222</f>
        <v>Cross-subsidy adjustment</v>
      </c>
    </row>
    <row r="224" spans="1:55" x14ac:dyDescent="0.35"/>
    <row r="225" spans="1:54" ht="20" thickBot="1" x14ac:dyDescent="0.4">
      <c r="A225" s="7" t="s">
        <v>265</v>
      </c>
      <c r="BA225" s="34"/>
    </row>
    <row r="226" spans="1:54" customFormat="1" ht="15" thickTop="1" x14ac:dyDescent="0.35">
      <c r="E226" t="s">
        <v>652</v>
      </c>
      <c r="F226" s="127">
        <f>LicenseeSelect!F562</f>
        <v>0</v>
      </c>
      <c r="G226" t="s">
        <v>109</v>
      </c>
      <c r="H226" s="127">
        <f>LicenseeSelect!H562</f>
        <v>0</v>
      </c>
      <c r="I226" s="45">
        <f>LicenseeSelect!I562</f>
        <v>0.03</v>
      </c>
      <c r="AT226" s="61"/>
      <c r="BA226" s="34" t="str">
        <f ca="1">$A$1</f>
        <v>Transform</v>
      </c>
      <c r="BB226" s="34" t="str">
        <f>$A$225</f>
        <v>Operational performance and return adjustments</v>
      </c>
    </row>
    <row r="227" spans="1:54" customFormat="1" ht="14.5" x14ac:dyDescent="0.35">
      <c r="E227" t="s">
        <v>653</v>
      </c>
      <c r="F227" s="127">
        <f>LicenseeSelect!F563</f>
        <v>0</v>
      </c>
      <c r="G227" t="s">
        <v>109</v>
      </c>
      <c r="H227" s="127">
        <f>LicenseeSelect!H563</f>
        <v>0</v>
      </c>
      <c r="I227" s="45">
        <f>LicenseeSelect!I563</f>
        <v>0.04</v>
      </c>
      <c r="AT227" s="61"/>
      <c r="BA227" s="34" t="str">
        <f t="shared" ref="BA227:BA229" ca="1" si="54">$A$1</f>
        <v>Transform</v>
      </c>
      <c r="BB227" s="34" t="str">
        <f t="shared" ref="BB227:BB229" si="55">$A$225</f>
        <v>Operational performance and return adjustments</v>
      </c>
    </row>
    <row r="228" spans="1:54" customFormat="1" ht="14.5" x14ac:dyDescent="0.35">
      <c r="E228" t="s">
        <v>654</v>
      </c>
      <c r="F228" s="127">
        <f>LicenseeSelect!F564</f>
        <v>0</v>
      </c>
      <c r="G228" t="s">
        <v>109</v>
      </c>
      <c r="H228" s="127">
        <f>LicenseeSelect!H564</f>
        <v>0</v>
      </c>
      <c r="I228" s="45">
        <f>LicenseeSelect!I564</f>
        <v>0.5</v>
      </c>
      <c r="AT228" s="61"/>
      <c r="BA228" s="34" t="str">
        <f t="shared" ca="1" si="54"/>
        <v>Transform</v>
      </c>
      <c r="BB228" s="34" t="str">
        <f t="shared" si="55"/>
        <v>Operational performance and return adjustments</v>
      </c>
    </row>
    <row r="229" spans="1:54" customFormat="1" ht="14.5" x14ac:dyDescent="0.35">
      <c r="E229" t="s">
        <v>655</v>
      </c>
      <c r="F229" s="127">
        <f>LicenseeSelect!F565</f>
        <v>0</v>
      </c>
      <c r="G229" t="s">
        <v>109</v>
      </c>
      <c r="H229" s="127">
        <f>LicenseeSelect!H565</f>
        <v>0</v>
      </c>
      <c r="I229" s="45">
        <f>LicenseeSelect!I565</f>
        <v>0.9</v>
      </c>
      <c r="AT229" s="61"/>
      <c r="BA229" s="34" t="str">
        <f t="shared" ca="1" si="54"/>
        <v>Transform</v>
      </c>
      <c r="BB229" s="34" t="str">
        <f t="shared" si="55"/>
        <v>Operational performance and return adjustments</v>
      </c>
    </row>
    <row r="230" spans="1:54" customFormat="1" ht="14.5" x14ac:dyDescent="0.35">
      <c r="F230" s="127"/>
      <c r="H230" s="127"/>
      <c r="AT230" s="61"/>
    </row>
    <row r="231" spans="1:54" customFormat="1" ht="20" thickBot="1" x14ac:dyDescent="0.5">
      <c r="A231" s="13" t="s">
        <v>835</v>
      </c>
      <c r="F231" s="127"/>
      <c r="H231" s="127"/>
      <c r="AT231" s="61"/>
    </row>
    <row r="232" spans="1:54" customFormat="1" ht="15" thickTop="1" x14ac:dyDescent="0.35">
      <c r="E232" t="s">
        <v>833</v>
      </c>
      <c r="F232" s="127">
        <f>LicenseeSelect!F590</f>
        <v>0</v>
      </c>
      <c r="G232" t="s">
        <v>236</v>
      </c>
      <c r="H232" s="127">
        <f>LicenseeSelect!H590</f>
        <v>0</v>
      </c>
      <c r="AT232" s="61"/>
      <c r="AU232" s="170">
        <f>LicenseeSelect!AU590</f>
        <v>1</v>
      </c>
      <c r="AV232" s="86">
        <f>LicenseeSelect!AV590</f>
        <v>1</v>
      </c>
      <c r="AW232" s="86">
        <f>LicenseeSelect!AW590</f>
        <v>1</v>
      </c>
      <c r="AX232" s="86">
        <f>LicenseeSelect!AX590</f>
        <v>1</v>
      </c>
      <c r="AY232" s="86">
        <f>LicenseeSelect!AY590</f>
        <v>0</v>
      </c>
    </row>
    <row r="233" spans="1:54" customFormat="1" ht="14.5" x14ac:dyDescent="0.35">
      <c r="E233" t="s">
        <v>834</v>
      </c>
      <c r="F233" s="127">
        <f>LicenseeSelect!F591</f>
        <v>0</v>
      </c>
      <c r="G233" t="s">
        <v>236</v>
      </c>
      <c r="H233" s="127">
        <f>LicenseeSelect!H591</f>
        <v>0</v>
      </c>
      <c r="AT233" s="61"/>
      <c r="AU233" s="170">
        <f>LicenseeSelect!AU591</f>
        <v>0</v>
      </c>
      <c r="AV233" s="86">
        <f>LicenseeSelect!AV591</f>
        <v>0</v>
      </c>
      <c r="AW233" s="86">
        <f>LicenseeSelect!AW591</f>
        <v>0</v>
      </c>
      <c r="AX233" s="86">
        <f>LicenseeSelect!AX591</f>
        <v>0</v>
      </c>
      <c r="AY233" s="86">
        <f>LicenseeSelect!AY591</f>
        <v>1</v>
      </c>
    </row>
    <row r="234" spans="1:54" customFormat="1" ht="14.5" x14ac:dyDescent="0.35">
      <c r="E234" t="s">
        <v>832</v>
      </c>
      <c r="F234" s="127">
        <f>LicenseeSelect!F55</f>
        <v>0</v>
      </c>
      <c r="G234" t="str">
        <f>price_label</f>
        <v>£m 23/24 prices</v>
      </c>
      <c r="H234" s="127">
        <f>LicenseeSelect!H55</f>
        <v>0</v>
      </c>
      <c r="AT234" s="61"/>
      <c r="AU234" s="154">
        <f>LicenseeSelect!AU55</f>
        <v>-23.616291412904136</v>
      </c>
      <c r="AV234" s="27">
        <f>LicenseeSelect!AV55</f>
        <v>-6</v>
      </c>
      <c r="AW234" s="27">
        <f>LicenseeSelect!AW55</f>
        <v>11.1</v>
      </c>
      <c r="AX234" s="27">
        <f>LicenseeSelect!AX55</f>
        <v>11.1</v>
      </c>
      <c r="AY234" s="27">
        <f>LicenseeSelect!AY55</f>
        <v>0</v>
      </c>
    </row>
    <row r="235" spans="1:54" customFormat="1" ht="14.5" x14ac:dyDescent="0.35">
      <c r="E235" t="s">
        <v>255</v>
      </c>
      <c r="F235" s="127">
        <f>F171</f>
        <v>0</v>
      </c>
      <c r="G235" t="s">
        <v>186</v>
      </c>
      <c r="H235" s="127">
        <f>H171</f>
        <v>0</v>
      </c>
      <c r="AT235" s="61"/>
      <c r="AU235" s="158">
        <f>AU171</f>
        <v>4.2758400000000002E-2</v>
      </c>
      <c r="AV235" s="45">
        <f>AV171</f>
        <v>4.3298400000000001E-2</v>
      </c>
      <c r="AW235" s="45">
        <f>AW171</f>
        <v>4.3778400000000009E-2</v>
      </c>
      <c r="AX235" s="45">
        <f>AX171</f>
        <v>4.4438400000000003E-2</v>
      </c>
      <c r="AY235" s="45">
        <f>AY171</f>
        <v>4.5158400000000001E-2</v>
      </c>
    </row>
    <row r="236" spans="1:54" customFormat="1" ht="14.5" x14ac:dyDescent="0.35">
      <c r="F236" s="127"/>
      <c r="H236" s="127"/>
      <c r="AT236" s="61"/>
    </row>
    <row r="237" spans="1:54" customFormat="1" ht="14.5" x14ac:dyDescent="0.35">
      <c r="E237" t="s">
        <v>836</v>
      </c>
      <c r="F237" s="127"/>
      <c r="G237" t="str">
        <f>price_label</f>
        <v>£m 23/24 prices</v>
      </c>
      <c r="H237" s="127"/>
      <c r="AT237" s="61"/>
      <c r="AU237" s="152">
        <f>AT241</f>
        <v>0</v>
      </c>
      <c r="AV237" s="12">
        <f t="shared" ref="AV237:AY237" si="56">AU241</f>
        <v>-23.616291412904136</v>
      </c>
      <c r="AW237" s="12">
        <f t="shared" si="56"/>
        <v>-30.626086247653657</v>
      </c>
      <c r="AX237" s="12">
        <f t="shared" si="56"/>
        <v>-20.852146780439064</v>
      </c>
      <c r="AY237" s="12">
        <f t="shared" si="56"/>
        <v>-10.665020403051839</v>
      </c>
    </row>
    <row r="238" spans="1:54" customFormat="1" ht="14.5" x14ac:dyDescent="0.35">
      <c r="E238" t="s">
        <v>837</v>
      </c>
      <c r="F238" s="127"/>
      <c r="G238" t="str">
        <f>price_label</f>
        <v>£m 23/24 prices</v>
      </c>
      <c r="H238" s="127"/>
      <c r="AT238" s="61"/>
      <c r="AU238" s="152">
        <f>AT241*AT235</f>
        <v>0</v>
      </c>
      <c r="AV238" s="12">
        <f t="shared" ref="AV238:AY238" si="57">AU241*AU235</f>
        <v>-1.0097948347495203</v>
      </c>
      <c r="AW238" s="12">
        <f t="shared" si="57"/>
        <v>-1.3260605327854071</v>
      </c>
      <c r="AX238" s="12">
        <f t="shared" si="57"/>
        <v>-0.91287362261277372</v>
      </c>
      <c r="AY238" s="12">
        <f t="shared" si="57"/>
        <v>-0.47393644267897889</v>
      </c>
    </row>
    <row r="239" spans="1:54" customFormat="1" ht="14.5" x14ac:dyDescent="0.35">
      <c r="E239" t="s">
        <v>838</v>
      </c>
      <c r="F239" s="127"/>
      <c r="G239" t="str">
        <f>price_label</f>
        <v>£m 23/24 prices</v>
      </c>
      <c r="H239" s="127"/>
      <c r="AT239" s="61"/>
      <c r="AU239" s="152">
        <f>AU234*AU232</f>
        <v>-23.616291412904136</v>
      </c>
      <c r="AV239" s="12">
        <f t="shared" ref="AV239:AY239" si="58">AV234*AV232</f>
        <v>-6</v>
      </c>
      <c r="AW239" s="12">
        <f t="shared" si="58"/>
        <v>11.1</v>
      </c>
      <c r="AX239" s="12">
        <f t="shared" si="58"/>
        <v>11.1</v>
      </c>
      <c r="AY239" s="12">
        <f t="shared" si="58"/>
        <v>0</v>
      </c>
    </row>
    <row r="240" spans="1:54" customFormat="1" ht="14.5" x14ac:dyDescent="0.35">
      <c r="E240" t="s">
        <v>839</v>
      </c>
      <c r="F240" s="127"/>
      <c r="G240" t="str">
        <f>price_label</f>
        <v>£m 23/24 prices</v>
      </c>
      <c r="H240" s="127"/>
      <c r="AT240" s="61"/>
      <c r="AU240" s="152">
        <f>-SUM(AU237:AU238)*AU233</f>
        <v>0</v>
      </c>
      <c r="AV240" s="12">
        <f t="shared" ref="AV240:AY240" si="59">-SUM(AV237:AV238)*AV233</f>
        <v>0</v>
      </c>
      <c r="AW240" s="12">
        <f t="shared" si="59"/>
        <v>0</v>
      </c>
      <c r="AX240" s="12">
        <f t="shared" si="59"/>
        <v>0</v>
      </c>
      <c r="AY240" s="12">
        <f t="shared" si="59"/>
        <v>11.138956845730817</v>
      </c>
    </row>
    <row r="241" spans="1:55" customFormat="1" ht="14.5" x14ac:dyDescent="0.35">
      <c r="E241" t="s">
        <v>840</v>
      </c>
      <c r="F241" s="127"/>
      <c r="G241" t="str">
        <f>price_label</f>
        <v>£m 23/24 prices</v>
      </c>
      <c r="H241" s="127"/>
      <c r="AT241" s="61"/>
      <c r="AU241" s="152">
        <f>SUM(AU237:AU240)</f>
        <v>-23.616291412904136</v>
      </c>
      <c r="AV241" s="12">
        <f t="shared" ref="AV241:AY241" si="60">SUM(AV237:AV240)</f>
        <v>-30.626086247653657</v>
      </c>
      <c r="AW241" s="12">
        <f t="shared" si="60"/>
        <v>-20.852146780439064</v>
      </c>
      <c r="AX241" s="12">
        <f t="shared" si="60"/>
        <v>-10.665020403051839</v>
      </c>
      <c r="AY241" s="12">
        <f t="shared" si="60"/>
        <v>0</v>
      </c>
    </row>
    <row r="242" spans="1:55" customFormat="1" ht="14.5" x14ac:dyDescent="0.35">
      <c r="F242" s="127"/>
      <c r="H242" s="127"/>
      <c r="AT242" s="61"/>
    </row>
    <row r="243" spans="1:55" customFormat="1" ht="14.5" x14ac:dyDescent="0.35">
      <c r="E243" t="s">
        <v>841</v>
      </c>
      <c r="F243" s="127"/>
      <c r="G243" t="str">
        <f>price_label</f>
        <v>£m 23/24 prices</v>
      </c>
      <c r="H243" s="127"/>
      <c r="AT243" s="61"/>
      <c r="AU243" s="152">
        <f>SUM(AU239:AU240)</f>
        <v>-23.616291412904136</v>
      </c>
      <c r="AV243" s="12">
        <f t="shared" ref="AV243:AY243" si="61">SUM(AV239:AV240)</f>
        <v>-6</v>
      </c>
      <c r="AW243" s="12">
        <f t="shared" si="61"/>
        <v>11.1</v>
      </c>
      <c r="AX243" s="12">
        <f t="shared" si="61"/>
        <v>11.1</v>
      </c>
      <c r="AY243" s="12">
        <f t="shared" si="61"/>
        <v>11.138956845730817</v>
      </c>
    </row>
    <row r="244" spans="1:55" customFormat="1" ht="14.5" x14ac:dyDescent="0.35">
      <c r="F244" s="127"/>
      <c r="H244" s="127"/>
      <c r="AT244" s="61"/>
    </row>
    <row r="245" spans="1:55" ht="20" thickBot="1" x14ac:dyDescent="0.4">
      <c r="A245" s="7" t="s">
        <v>76</v>
      </c>
      <c r="BA245" s="34"/>
    </row>
    <row r="246" spans="1:55" ht="18" thickTop="1" thickBot="1" x14ac:dyDescent="0.4">
      <c r="B246" s="8" t="s">
        <v>263</v>
      </c>
      <c r="AZ246"/>
      <c r="BA246" s="34"/>
    </row>
    <row r="247" spans="1:55" customFormat="1" ht="15" thickTop="1" x14ac:dyDescent="0.35">
      <c r="E247" t="s">
        <v>512</v>
      </c>
      <c r="F247" s="127">
        <f>LicenseeSelect!F58</f>
        <v>0</v>
      </c>
      <c r="G247" t="str">
        <f>LicenseeSelect!G58</f>
        <v>£m nominal</v>
      </c>
      <c r="H247" s="127">
        <f>LicenseeSelect!H58</f>
        <v>0</v>
      </c>
      <c r="J247" s="33" t="s">
        <v>13</v>
      </c>
      <c r="AT247" s="72">
        <f>LicenseeSelect!AT58</f>
        <v>0</v>
      </c>
      <c r="AU247" s="154">
        <f>LicenseeSelect!AU58</f>
        <v>0</v>
      </c>
      <c r="AV247" s="27">
        <f>LicenseeSelect!AV58</f>
        <v>0</v>
      </c>
      <c r="AW247" s="27">
        <f>LicenseeSelect!AW58</f>
        <v>0</v>
      </c>
      <c r="AX247" s="27">
        <f>LicenseeSelect!AX58</f>
        <v>0</v>
      </c>
      <c r="AY247" s="27">
        <f>LicenseeSelect!AY58</f>
        <v>0</v>
      </c>
      <c r="BA247" s="34" t="str">
        <f t="shared" ref="BA247:BA261" ca="1" si="62">$A$1</f>
        <v>Transform</v>
      </c>
      <c r="BB247" s="88" t="str">
        <f>$A$245</f>
        <v>Legacy adjustments</v>
      </c>
      <c r="BC247" s="88" t="str">
        <f>$B$246</f>
        <v>Inputs for true ups to allowed revenue</v>
      </c>
    </row>
    <row r="248" spans="1:55" customFormat="1" ht="14.5" x14ac:dyDescent="0.35">
      <c r="E248" t="s">
        <v>628</v>
      </c>
      <c r="F248" s="127">
        <f>LicenseeSelect!F59</f>
        <v>0</v>
      </c>
      <c r="G248" t="str">
        <f>LicenseeSelect!G59</f>
        <v>£m nominal</v>
      </c>
      <c r="H248" s="127">
        <f>LicenseeSelect!H59</f>
        <v>0</v>
      </c>
      <c r="J248" s="33" t="s">
        <v>13</v>
      </c>
      <c r="AT248" s="72">
        <f>LicenseeSelect!AT59</f>
        <v>0</v>
      </c>
      <c r="BA248" s="34" t="str">
        <f t="shared" ca="1" si="62"/>
        <v>Transform</v>
      </c>
      <c r="BB248" s="88" t="str">
        <f t="shared" ref="BB248:BB250" si="63">$A$245</f>
        <v>Legacy adjustments</v>
      </c>
      <c r="BC248" s="88" t="str">
        <f t="shared" ref="BC248:BC250" si="64">$B$246</f>
        <v>Inputs for true ups to allowed revenue</v>
      </c>
    </row>
    <row r="249" spans="1:55" customFormat="1" ht="14.5" x14ac:dyDescent="0.35">
      <c r="E249" t="s">
        <v>513</v>
      </c>
      <c r="F249" s="127">
        <f>LicenseeSelect!F60</f>
        <v>0</v>
      </c>
      <c r="G249" t="str">
        <f>LicenseeSelect!G60</f>
        <v>£m nominal</v>
      </c>
      <c r="H249" s="127">
        <f>LicenseeSelect!H60</f>
        <v>0</v>
      </c>
      <c r="AT249" s="61"/>
      <c r="AU249" s="154">
        <f>LicenseeSelect!AU60</f>
        <v>0</v>
      </c>
      <c r="AV249" s="27">
        <f>LicenseeSelect!AV60</f>
        <v>0</v>
      </c>
      <c r="AW249" s="27">
        <f>LicenseeSelect!AW60</f>
        <v>0</v>
      </c>
      <c r="AX249" s="27">
        <f>LicenseeSelect!AX60</f>
        <v>0</v>
      </c>
      <c r="AY249" s="27">
        <f>LicenseeSelect!AY60</f>
        <v>0</v>
      </c>
      <c r="BA249" s="34"/>
      <c r="BB249" s="88"/>
      <c r="BC249" s="88"/>
    </row>
    <row r="250" spans="1:55" customFormat="1" ht="14.5" x14ac:dyDescent="0.35">
      <c r="E250" t="s">
        <v>514</v>
      </c>
      <c r="F250" s="127">
        <f>LicenseeSelect!F61</f>
        <v>0</v>
      </c>
      <c r="G250" t="str">
        <f>price_label</f>
        <v>£m 23/24 prices</v>
      </c>
      <c r="H250" s="127">
        <f>LicenseeSelect!H61</f>
        <v>0</v>
      </c>
      <c r="J250" s="33" t="s">
        <v>13</v>
      </c>
      <c r="AT250" s="72">
        <f>LicenseeSelect!AT61</f>
        <v>0</v>
      </c>
      <c r="AU250" s="154">
        <f>LicenseeSelect!AU61</f>
        <v>0</v>
      </c>
      <c r="AV250" s="27">
        <f>LicenseeSelect!AV61</f>
        <v>0</v>
      </c>
      <c r="AW250" s="27">
        <f>LicenseeSelect!AW61</f>
        <v>0</v>
      </c>
      <c r="AX250" s="27">
        <f>LicenseeSelect!AX61</f>
        <v>0</v>
      </c>
      <c r="AY250" s="27">
        <f>LicenseeSelect!AY61</f>
        <v>0</v>
      </c>
      <c r="BA250" s="34" t="str">
        <f t="shared" ca="1" si="62"/>
        <v>Transform</v>
      </c>
      <c r="BB250" s="88" t="str">
        <f t="shared" si="63"/>
        <v>Legacy adjustments</v>
      </c>
      <c r="BC250" s="88" t="str">
        <f t="shared" si="64"/>
        <v>Inputs for true ups to allowed revenue</v>
      </c>
    </row>
    <row r="251" spans="1:55" customFormat="1" ht="14.5" x14ac:dyDescent="0.35">
      <c r="E251" t="s">
        <v>800</v>
      </c>
      <c r="F251" s="127">
        <f>LicenseeSelect!F62</f>
        <v>0</v>
      </c>
      <c r="G251" t="str">
        <f>LicenseeSelect!G62</f>
        <v>£m 23/24 prices</v>
      </c>
      <c r="H251" s="127">
        <f>LicenseeSelect!H62</f>
        <v>0</v>
      </c>
      <c r="J251" t="s">
        <v>13</v>
      </c>
      <c r="AT251" s="72">
        <f>LicenseeSelect!AT62</f>
        <v>391.28112266764794</v>
      </c>
      <c r="BA251" s="34" t="str">
        <f t="shared" ca="1" si="62"/>
        <v>Transform</v>
      </c>
      <c r="BB251" s="88" t="str">
        <f>$A$245</f>
        <v>Legacy adjustments</v>
      </c>
      <c r="BC251" s="88" t="str">
        <f>$B$246</f>
        <v>Inputs for true ups to allowed revenue</v>
      </c>
    </row>
    <row r="252" spans="1:55" customFormat="1" ht="14.5" x14ac:dyDescent="0.35">
      <c r="E252" t="s">
        <v>801</v>
      </c>
      <c r="F252" s="127">
        <f>LicenseeSelect!F63</f>
        <v>0</v>
      </c>
      <c r="G252" t="str">
        <f>LicenseeSelect!G63</f>
        <v>£m nominal</v>
      </c>
      <c r="H252" s="127">
        <f>LicenseeSelect!H63</f>
        <v>0</v>
      </c>
      <c r="J252" s="33" t="s">
        <v>13</v>
      </c>
      <c r="AT252" s="72">
        <f>LicenseeSelect!AT63</f>
        <v>0</v>
      </c>
      <c r="BA252" s="34"/>
      <c r="BB252" s="88"/>
      <c r="BC252" s="88"/>
    </row>
    <row r="253" spans="1:55" customFormat="1" ht="14.5" x14ac:dyDescent="0.35">
      <c r="E253" t="s">
        <v>802</v>
      </c>
      <c r="F253" s="127">
        <f>LicenseeSelect!F64</f>
        <v>0</v>
      </c>
      <c r="G253" t="str">
        <f>LicenseeSelect!G64</f>
        <v>£m nominal</v>
      </c>
      <c r="H253" s="127">
        <f>LicenseeSelect!H64</f>
        <v>0</v>
      </c>
      <c r="J253" s="33" t="s">
        <v>13</v>
      </c>
      <c r="AT253" s="72">
        <f>LicenseeSelect!AT64</f>
        <v>0</v>
      </c>
      <c r="BA253" s="34"/>
      <c r="BB253" s="88"/>
      <c r="BC253" s="88"/>
    </row>
    <row r="254" spans="1:55" customFormat="1" ht="14.5" x14ac:dyDescent="0.35">
      <c r="E254" t="s">
        <v>803</v>
      </c>
      <c r="F254" s="127">
        <f>LicenseeSelect!F65</f>
        <v>0</v>
      </c>
      <c r="G254" t="str">
        <f>LicenseeSelect!G65</f>
        <v>£m nominal</v>
      </c>
      <c r="H254" s="127">
        <f>LicenseeSelect!H65</f>
        <v>0</v>
      </c>
      <c r="J254" s="33" t="s">
        <v>13</v>
      </c>
      <c r="AT254" s="72">
        <f>LicenseeSelect!AT65</f>
        <v>0</v>
      </c>
      <c r="AU254" s="154">
        <f>LicenseeSelect!AU65</f>
        <v>0</v>
      </c>
      <c r="AV254" s="27">
        <f>LicenseeSelect!AV65</f>
        <v>0</v>
      </c>
      <c r="AW254" s="27">
        <f>LicenseeSelect!AW65</f>
        <v>0</v>
      </c>
      <c r="AX254" s="27">
        <f>LicenseeSelect!AX65</f>
        <v>0</v>
      </c>
      <c r="AY254" s="27">
        <f>LicenseeSelect!AY65</f>
        <v>0</v>
      </c>
      <c r="BA254" s="34" t="str">
        <f t="shared" ca="1" si="62"/>
        <v>Transform</v>
      </c>
      <c r="BB254" s="88" t="str">
        <f>$A$245</f>
        <v>Legacy adjustments</v>
      </c>
      <c r="BC254" s="88" t="str">
        <f>$B$246</f>
        <v>Inputs for true ups to allowed revenue</v>
      </c>
    </row>
    <row r="255" spans="1:55" customFormat="1" ht="14.5" x14ac:dyDescent="0.35">
      <c r="E255" t="s">
        <v>804</v>
      </c>
      <c r="F255" s="127">
        <f>LicenseeSelect!F66</f>
        <v>0</v>
      </c>
      <c r="G255" t="str">
        <f>LicenseeSelect!G66</f>
        <v>£m nominal</v>
      </c>
      <c r="H255" s="127">
        <f>LicenseeSelect!H66</f>
        <v>0</v>
      </c>
      <c r="J255" s="33" t="s">
        <v>13</v>
      </c>
      <c r="AT255" s="72">
        <f>LicenseeSelect!AT66</f>
        <v>0</v>
      </c>
      <c r="AU255" s="154">
        <f>LicenseeSelect!AU66</f>
        <v>0</v>
      </c>
      <c r="AV255" s="27">
        <f>LicenseeSelect!AV66</f>
        <v>0</v>
      </c>
      <c r="AW255" s="27">
        <f>LicenseeSelect!AW66</f>
        <v>0</v>
      </c>
      <c r="AX255" s="27">
        <f>LicenseeSelect!AX66</f>
        <v>0</v>
      </c>
      <c r="AY255" s="27">
        <f>LicenseeSelect!AY66</f>
        <v>0</v>
      </c>
      <c r="BA255" s="34" t="str">
        <f t="shared" ca="1" si="62"/>
        <v>Transform</v>
      </c>
      <c r="BB255" s="88" t="str">
        <f>$A$245</f>
        <v>Legacy adjustments</v>
      </c>
      <c r="BC255" s="88" t="str">
        <f>$B$246</f>
        <v>Inputs for true ups to allowed revenue</v>
      </c>
    </row>
    <row r="256" spans="1:55" customFormat="1" ht="14.5" x14ac:dyDescent="0.35">
      <c r="F256" s="127"/>
      <c r="H256" s="127"/>
      <c r="AT256" s="61"/>
      <c r="BB256" s="1"/>
      <c r="BC256" s="1"/>
    </row>
    <row r="257" spans="2:55" customFormat="1" ht="14.5" x14ac:dyDescent="0.35">
      <c r="E257" t="s">
        <v>521</v>
      </c>
      <c r="F257" s="127">
        <f>LicenseeSelect!F576</f>
        <v>0</v>
      </c>
      <c r="G257" t="str">
        <f>LicenseeSelect!G576</f>
        <v>%</v>
      </c>
      <c r="H257" s="127">
        <f>LicenseeSelect!H576</f>
        <v>0</v>
      </c>
      <c r="I257" s="45">
        <f>LicenseeSelect!I576</f>
        <v>0.08</v>
      </c>
      <c r="AT257" s="61"/>
      <c r="BA257" s="34" t="str">
        <f t="shared" ca="1" si="62"/>
        <v>Transform</v>
      </c>
      <c r="BB257" s="88" t="str">
        <f t="shared" ref="BB257:BB261" si="65">$A$245</f>
        <v>Legacy adjustments</v>
      </c>
      <c r="BC257" s="88" t="str">
        <f t="shared" ref="BC257:BC261" si="66">$B$246</f>
        <v>Inputs for true ups to allowed revenue</v>
      </c>
    </row>
    <row r="258" spans="2:55" customFormat="1" ht="14.5" x14ac:dyDescent="0.35">
      <c r="E258" t="s">
        <v>515</v>
      </c>
      <c r="F258" s="127">
        <f>LicenseeSelect!F530</f>
        <v>0</v>
      </c>
      <c r="G258" t="str">
        <f>LicenseeSelect!G530</f>
        <v>scalar</v>
      </c>
      <c r="H258" s="127">
        <f>LicenseeSelect!H530</f>
        <v>0</v>
      </c>
      <c r="J258" s="33" t="s">
        <v>13</v>
      </c>
      <c r="AT258" s="61"/>
      <c r="AV258" s="27">
        <f>LicenseeSelect!AV530</f>
        <v>0</v>
      </c>
      <c r="AW258" s="27">
        <f>LicenseeSelect!AW530</f>
        <v>0</v>
      </c>
      <c r="AX258" s="27">
        <f>LicenseeSelect!AX530</f>
        <v>0</v>
      </c>
      <c r="AY258" s="27">
        <f>LicenseeSelect!AY530</f>
        <v>0</v>
      </c>
      <c r="BA258" s="34" t="str">
        <f t="shared" ca="1" si="62"/>
        <v>Transform</v>
      </c>
      <c r="BB258" s="88" t="str">
        <f t="shared" si="65"/>
        <v>Legacy adjustments</v>
      </c>
      <c r="BC258" s="88" t="str">
        <f t="shared" si="66"/>
        <v>Inputs for true ups to allowed revenue</v>
      </c>
    </row>
    <row r="259" spans="2:55" customFormat="1" ht="14.5" x14ac:dyDescent="0.35">
      <c r="E259" t="s">
        <v>522</v>
      </c>
      <c r="F259" s="127">
        <f>LicenseeSelect!F577</f>
        <v>0</v>
      </c>
      <c r="G259" t="str">
        <f>LicenseeSelect!G577</f>
        <v>%</v>
      </c>
      <c r="H259" s="127">
        <f>LicenseeSelect!H577</f>
        <v>0</v>
      </c>
      <c r="I259" s="45">
        <f>LicenseeSelect!I577</f>
        <v>1.15E-2</v>
      </c>
      <c r="AT259" s="61"/>
      <c r="BA259" s="34" t="str">
        <f t="shared" ca="1" si="62"/>
        <v>Transform</v>
      </c>
      <c r="BB259" s="88" t="str">
        <f t="shared" si="65"/>
        <v>Legacy adjustments</v>
      </c>
      <c r="BC259" s="88" t="str">
        <f t="shared" si="66"/>
        <v>Inputs for true ups to allowed revenue</v>
      </c>
    </row>
    <row r="260" spans="2:55" customFormat="1" ht="14.5" x14ac:dyDescent="0.35">
      <c r="E260" t="s">
        <v>516</v>
      </c>
      <c r="F260" s="127">
        <f>LicenseeSelect!F531</f>
        <v>0</v>
      </c>
      <c r="G260" t="str">
        <f>LicenseeSelect!G531</f>
        <v>scalar</v>
      </c>
      <c r="H260" s="127">
        <f>LicenseeSelect!H531</f>
        <v>0</v>
      </c>
      <c r="J260" s="33" t="s">
        <v>13</v>
      </c>
      <c r="AT260" s="61"/>
      <c r="AV260" s="27">
        <f>LicenseeSelect!AV531</f>
        <v>0</v>
      </c>
      <c r="AW260" s="27">
        <f>LicenseeSelect!AW531</f>
        <v>0</v>
      </c>
      <c r="AX260" s="27">
        <f>LicenseeSelect!AX531</f>
        <v>0</v>
      </c>
      <c r="AY260" s="27">
        <f>LicenseeSelect!AY531</f>
        <v>0</v>
      </c>
      <c r="BA260" s="34" t="str">
        <f t="shared" ca="1" si="62"/>
        <v>Transform</v>
      </c>
      <c r="BB260" s="88" t="str">
        <f t="shared" si="65"/>
        <v>Legacy adjustments</v>
      </c>
      <c r="BC260" s="88" t="str">
        <f t="shared" si="66"/>
        <v>Inputs for true ups to allowed revenue</v>
      </c>
    </row>
    <row r="261" spans="2:55" customFormat="1" ht="14.5" x14ac:dyDescent="0.35">
      <c r="E261" t="s">
        <v>523</v>
      </c>
      <c r="F261" s="127">
        <f>LicenseeSelect!F578</f>
        <v>0</v>
      </c>
      <c r="G261" t="str">
        <f>LicenseeSelect!G578</f>
        <v>%</v>
      </c>
      <c r="H261" s="127">
        <f>LicenseeSelect!H578</f>
        <v>0</v>
      </c>
      <c r="I261" s="45">
        <f>LicenseeSelect!I578</f>
        <v>1.15E-2</v>
      </c>
      <c r="AT261" s="61"/>
      <c r="BA261" s="34" t="str">
        <f t="shared" ca="1" si="62"/>
        <v>Transform</v>
      </c>
      <c r="BB261" s="88" t="str">
        <f t="shared" si="65"/>
        <v>Legacy adjustments</v>
      </c>
      <c r="BC261" s="88" t="str">
        <f t="shared" si="66"/>
        <v>Inputs for true ups to allowed revenue</v>
      </c>
    </row>
    <row r="262" spans="2:55" customFormat="1" ht="14.5" x14ac:dyDescent="0.35">
      <c r="F262" s="127"/>
      <c r="H262" s="127"/>
      <c r="AT262" s="61"/>
      <c r="BB262" s="1"/>
      <c r="BC262" s="1"/>
    </row>
    <row r="263" spans="2:55" customFormat="1" ht="17.5" thickBot="1" x14ac:dyDescent="0.4">
      <c r="B263" s="8" t="s">
        <v>76</v>
      </c>
      <c r="F263" s="127"/>
      <c r="H263" s="127"/>
      <c r="AT263" s="61"/>
      <c r="BB263" s="1"/>
      <c r="BC263" s="1"/>
    </row>
    <row r="264" spans="2:55" customFormat="1" ht="15" thickTop="1" x14ac:dyDescent="0.35">
      <c r="E264" t="s">
        <v>517</v>
      </c>
      <c r="F264" s="127">
        <f>LicenseeSelect!F69</f>
        <v>0</v>
      </c>
      <c r="G264" t="str">
        <f>LicenseeSelect!G69</f>
        <v>£m nominal</v>
      </c>
      <c r="H264" s="127" t="str">
        <f>LicenseeSelect!H69</f>
        <v>LADJt</v>
      </c>
      <c r="AT264" s="61"/>
      <c r="AU264" s="154">
        <f>LicenseeSelect!AU69</f>
        <v>1.7638135340208436</v>
      </c>
      <c r="BA264" s="34" t="str">
        <f t="shared" ref="BA264:BA282" ca="1" si="67">$A$1</f>
        <v>Transform</v>
      </c>
      <c r="BB264" s="88" t="str">
        <f t="shared" ref="BB264:BB282" si="68">$A$245</f>
        <v>Legacy adjustments</v>
      </c>
      <c r="BC264" s="88" t="str">
        <f>$B$263</f>
        <v>Legacy adjustments</v>
      </c>
    </row>
    <row r="265" spans="2:55" customFormat="1" ht="14.5" x14ac:dyDescent="0.35">
      <c r="E265" t="s">
        <v>632</v>
      </c>
      <c r="F265" s="127"/>
      <c r="G265" t="str">
        <f>LicenseeSelect!G70</f>
        <v>£m nominal</v>
      </c>
      <c r="H265" s="127"/>
      <c r="I265" s="86">
        <f>LicenseeSelect!I579</f>
        <v>5</v>
      </c>
      <c r="AT265" s="61"/>
      <c r="AU265" s="154">
        <f>IF($I265=1,AU264,$AU264/$I265)</f>
        <v>0.35276270680416871</v>
      </c>
      <c r="AV265" s="27">
        <f t="shared" ref="AV265:AY265" si="69">IF($I265=1,AV264,$AU264/$I265)</f>
        <v>0.35276270680416871</v>
      </c>
      <c r="AW265" s="27">
        <f t="shared" si="69"/>
        <v>0.35276270680416871</v>
      </c>
      <c r="AX265" s="27">
        <f t="shared" si="69"/>
        <v>0.35276270680416871</v>
      </c>
      <c r="AY265" s="27">
        <f t="shared" si="69"/>
        <v>0.35276270680416871</v>
      </c>
      <c r="BA265" s="34" t="str">
        <f t="shared" ca="1" si="67"/>
        <v>Transform</v>
      </c>
      <c r="BB265" s="88" t="str">
        <f t="shared" si="68"/>
        <v>Legacy adjustments</v>
      </c>
      <c r="BC265" s="88" t="str">
        <f>$B$263</f>
        <v>Legacy adjustments</v>
      </c>
    </row>
    <row r="266" spans="2:55" customFormat="1" ht="14.5" x14ac:dyDescent="0.35">
      <c r="E266" t="s">
        <v>518</v>
      </c>
      <c r="F266" s="127">
        <f>LicenseeSelect!F70</f>
        <v>0</v>
      </c>
      <c r="G266" t="str">
        <f>LicenseeSelect!G70</f>
        <v>£m nominal</v>
      </c>
      <c r="H266" s="127" t="str">
        <f>LicenseeSelect!H70</f>
        <v>Kt</v>
      </c>
      <c r="AT266" s="61"/>
      <c r="AU266" s="154">
        <f>LicenseeSelect!AU70</f>
        <v>1.1775514439758099</v>
      </c>
      <c r="BA266" s="34" t="str">
        <f t="shared" ca="1" si="67"/>
        <v>Transform</v>
      </c>
      <c r="BB266" s="88" t="str">
        <f t="shared" si="68"/>
        <v>Legacy adjustments</v>
      </c>
      <c r="BC266" s="88" t="str">
        <f t="shared" ref="BC266:BC282" si="70">$B$263</f>
        <v>Legacy adjustments</v>
      </c>
    </row>
    <row r="267" spans="2:55" customFormat="1" ht="14.5" x14ac:dyDescent="0.35">
      <c r="E267" t="s">
        <v>633</v>
      </c>
      <c r="F267" s="127"/>
      <c r="G267" t="str">
        <f>nominal</f>
        <v>£m nominal</v>
      </c>
      <c r="H267" s="127"/>
      <c r="I267" s="86">
        <f>LicenseeSelect!I580</f>
        <v>5</v>
      </c>
      <c r="AT267" s="61"/>
      <c r="AU267" s="154">
        <f t="shared" ref="AU267:AY267" si="71">IF($I267=1,AU266,$AU266/$I267)</f>
        <v>0.23551028879516198</v>
      </c>
      <c r="AV267" s="27">
        <f t="shared" si="71"/>
        <v>0.23551028879516198</v>
      </c>
      <c r="AW267" s="27">
        <f t="shared" si="71"/>
        <v>0.23551028879516198</v>
      </c>
      <c r="AX267" s="27">
        <f t="shared" si="71"/>
        <v>0.23551028879516198</v>
      </c>
      <c r="AY267" s="27">
        <f t="shared" si="71"/>
        <v>0.23551028879516198</v>
      </c>
      <c r="BA267" s="34" t="str">
        <f t="shared" ca="1" si="67"/>
        <v>Transform</v>
      </c>
      <c r="BB267" s="88" t="str">
        <f t="shared" si="68"/>
        <v>Legacy adjustments</v>
      </c>
      <c r="BC267" s="88" t="str">
        <f t="shared" si="70"/>
        <v>Legacy adjustments</v>
      </c>
    </row>
    <row r="268" spans="2:55" customFormat="1" ht="14.5" x14ac:dyDescent="0.35">
      <c r="E268" s="79" t="s">
        <v>510</v>
      </c>
      <c r="F268" s="127"/>
      <c r="G268" t="str">
        <f>G181</f>
        <v>nominal %</v>
      </c>
      <c r="H268" s="127"/>
      <c r="AT268" s="61"/>
      <c r="AU268" s="158">
        <f>AU181</f>
        <v>5.8939742471644241E-2</v>
      </c>
      <c r="AV268" s="45">
        <f>AV181</f>
        <v>6.5557612297404921E-2</v>
      </c>
      <c r="AW268" s="45">
        <f>AW181</f>
        <v>6.5960515348524901E-2</v>
      </c>
      <c r="AX268" s="45">
        <f>AX181</f>
        <v>6.6544033722574947E-2</v>
      </c>
      <c r="AY268" s="45">
        <f>AY181</f>
        <v>6.7430420728115337E-2</v>
      </c>
      <c r="BA268" s="34" t="str">
        <f t="shared" ca="1" si="67"/>
        <v>Transform</v>
      </c>
      <c r="BB268" s="88" t="str">
        <f t="shared" si="68"/>
        <v>Legacy adjustments</v>
      </c>
      <c r="BC268" s="88" t="str">
        <f t="shared" si="70"/>
        <v>Legacy adjustments</v>
      </c>
    </row>
    <row r="269" spans="2:55" customFormat="1" ht="14.5" x14ac:dyDescent="0.35">
      <c r="E269" t="s">
        <v>530</v>
      </c>
      <c r="F269" s="127"/>
      <c r="G269" t="s">
        <v>77</v>
      </c>
      <c r="H269" s="127"/>
      <c r="AT269" s="61"/>
      <c r="AU269" s="152" cm="1">
        <f t="array" ref="AU269">PRODUCT(1+$AT268:AT268)</f>
        <v>1</v>
      </c>
      <c r="AV269" s="12" cm="1">
        <f t="array" ref="AV269">PRODUCT(1+$AT268:AU268)</f>
        <v>1.0589397424716442</v>
      </c>
      <c r="AW269" s="12" cm="1">
        <f t="array" ref="AW269">PRODUCT(1+$AT268:AV268)</f>
        <v>1.128361303554914</v>
      </c>
      <c r="AX269" s="12" cm="1">
        <f t="array" ref="AX269">PRODUCT(1+$AT268:AW268)</f>
        <v>1.2027885966367295</v>
      </c>
      <c r="AY269" s="12" cm="1">
        <f t="array" ref="AY269">PRODUCT(1+$AT268:AX268)</f>
        <v>1.2828270015724526</v>
      </c>
      <c r="BA269" s="34" t="str">
        <f t="shared" ca="1" si="67"/>
        <v>Transform</v>
      </c>
      <c r="BB269" s="88" t="str">
        <f t="shared" si="68"/>
        <v>Legacy adjustments</v>
      </c>
      <c r="BC269" s="88" t="str">
        <f t="shared" si="70"/>
        <v>Legacy adjustments</v>
      </c>
    </row>
    <row r="270" spans="2:55" customFormat="1" ht="14.5" x14ac:dyDescent="0.35">
      <c r="E270" t="s">
        <v>634</v>
      </c>
      <c r="F270" s="127"/>
      <c r="G270" t="str">
        <f>nominal</f>
        <v>£m nominal</v>
      </c>
      <c r="H270" s="127"/>
      <c r="AT270" s="61"/>
      <c r="AU270" s="152">
        <f>SUM(AU265,AU267)*AU$269</f>
        <v>0.58827299559933066</v>
      </c>
      <c r="AV270" s="12">
        <f t="shared" ref="AV270:AY270" si="72">SUM(AV265,AV267)*AV$269</f>
        <v>0.62294565446297789</v>
      </c>
      <c r="AW270" s="12">
        <f t="shared" si="72"/>
        <v>0.66378448416061497</v>
      </c>
      <c r="AX270" s="12">
        <f t="shared" si="72"/>
        <v>0.70756805081620389</v>
      </c>
      <c r="AY270" s="12">
        <f t="shared" si="72"/>
        <v>0.75465248305073396</v>
      </c>
      <c r="BA270" s="34" t="str">
        <f t="shared" ca="1" si="67"/>
        <v>Transform</v>
      </c>
      <c r="BB270" s="88" t="str">
        <f t="shared" si="68"/>
        <v>Legacy adjustments</v>
      </c>
      <c r="BC270" s="88" t="str">
        <f t="shared" si="70"/>
        <v>Legacy adjustments</v>
      </c>
    </row>
    <row r="271" spans="2:55" customFormat="1" ht="14.5" x14ac:dyDescent="0.35">
      <c r="F271" s="127"/>
      <c r="H271" s="127"/>
      <c r="AT271" s="61"/>
      <c r="BB271" s="1"/>
      <c r="BC271" s="1"/>
    </row>
    <row r="272" spans="2:55" customFormat="1" ht="14.5" x14ac:dyDescent="0.35">
      <c r="E272" t="s">
        <v>601</v>
      </c>
      <c r="F272" s="127">
        <f>LicenseeSelect!F71</f>
        <v>0</v>
      </c>
      <c r="G272" t="str">
        <f>nominal</f>
        <v>£m nominal</v>
      </c>
      <c r="H272" s="127">
        <f>LicenseeSelect!H71</f>
        <v>0</v>
      </c>
      <c r="AT272" s="61"/>
      <c r="AU272" s="154">
        <f>LicenseeSelect!AU71</f>
        <v>0</v>
      </c>
      <c r="BA272" s="34" t="str">
        <f t="shared" ca="1" si="67"/>
        <v>Transform</v>
      </c>
      <c r="BB272" s="88" t="str">
        <f t="shared" si="68"/>
        <v>Legacy adjustments</v>
      </c>
      <c r="BC272" s="88" t="str">
        <f t="shared" si="70"/>
        <v>Legacy adjustments</v>
      </c>
    </row>
    <row r="273" spans="1:55" customFormat="1" ht="14.5" x14ac:dyDescent="0.35">
      <c r="E273" t="s">
        <v>635</v>
      </c>
      <c r="F273" s="127"/>
      <c r="G273" t="str">
        <f t="shared" ref="G273:G276" si="73">nominal</f>
        <v>£m nominal</v>
      </c>
      <c r="H273" s="127"/>
      <c r="AT273" s="61"/>
      <c r="AU273" s="154">
        <f>IF($I$265=1,$AU$272/5,AU272)</f>
        <v>0</v>
      </c>
      <c r="AV273" s="27">
        <f t="shared" ref="AV273:AY273" si="74">IF($I$265=1,$AU$272/5,AV272)</f>
        <v>0</v>
      </c>
      <c r="AW273" s="27">
        <f t="shared" si="74"/>
        <v>0</v>
      </c>
      <c r="AX273" s="27">
        <f t="shared" si="74"/>
        <v>0</v>
      </c>
      <c r="AY273" s="27">
        <f t="shared" si="74"/>
        <v>0</v>
      </c>
      <c r="BA273" s="34" t="str">
        <f t="shared" ca="1" si="67"/>
        <v>Transform</v>
      </c>
      <c r="BB273" s="88" t="str">
        <f t="shared" si="68"/>
        <v>Legacy adjustments</v>
      </c>
      <c r="BC273" s="88" t="str">
        <f t="shared" si="70"/>
        <v>Legacy adjustments</v>
      </c>
    </row>
    <row r="274" spans="1:55" customFormat="1" ht="14.5" x14ac:dyDescent="0.35">
      <c r="E274" t="s">
        <v>603</v>
      </c>
      <c r="F274" s="127">
        <f>LicenseeSelect!F72</f>
        <v>0</v>
      </c>
      <c r="G274" t="str">
        <f t="shared" si="73"/>
        <v>£m nominal</v>
      </c>
      <c r="H274" s="127">
        <f>LicenseeSelect!H72</f>
        <v>0</v>
      </c>
      <c r="AT274" s="61"/>
      <c r="AU274" s="154">
        <f>LicenseeSelect!AU72</f>
        <v>0</v>
      </c>
      <c r="BA274" s="34" t="str">
        <f t="shared" ca="1" si="67"/>
        <v>Transform</v>
      </c>
      <c r="BB274" s="88" t="str">
        <f t="shared" si="68"/>
        <v>Legacy adjustments</v>
      </c>
      <c r="BC274" s="88" t="str">
        <f t="shared" si="70"/>
        <v>Legacy adjustments</v>
      </c>
    </row>
    <row r="275" spans="1:55" customFormat="1" ht="14.5" x14ac:dyDescent="0.35">
      <c r="E275" t="s">
        <v>637</v>
      </c>
      <c r="F275" s="127"/>
      <c r="G275" t="str">
        <f t="shared" si="73"/>
        <v>£m nominal</v>
      </c>
      <c r="H275" s="127"/>
      <c r="AT275" s="61"/>
      <c r="AU275" s="154">
        <f>IF($I$267=1,$AU$274/5,AU274)</f>
        <v>0</v>
      </c>
      <c r="AV275" s="27">
        <f t="shared" ref="AV275:AY275" si="75">IF($I$267=1,$AU$274/5,AV274)</f>
        <v>0</v>
      </c>
      <c r="AW275" s="27">
        <f t="shared" si="75"/>
        <v>0</v>
      </c>
      <c r="AX275" s="27">
        <f t="shared" si="75"/>
        <v>0</v>
      </c>
      <c r="AY275" s="27">
        <f t="shared" si="75"/>
        <v>0</v>
      </c>
      <c r="BA275" s="34" t="str">
        <f t="shared" ca="1" si="67"/>
        <v>Transform</v>
      </c>
      <c r="BB275" s="88" t="str">
        <f t="shared" si="68"/>
        <v>Legacy adjustments</v>
      </c>
      <c r="BC275" s="88" t="str">
        <f t="shared" si="70"/>
        <v>Legacy adjustments</v>
      </c>
    </row>
    <row r="276" spans="1:55" customFormat="1" ht="14.5" x14ac:dyDescent="0.35">
      <c r="E276" t="s">
        <v>638</v>
      </c>
      <c r="F276" s="127"/>
      <c r="G276" t="str">
        <f t="shared" si="73"/>
        <v>£m nominal</v>
      </c>
      <c r="H276" s="127"/>
      <c r="AT276" s="61"/>
      <c r="AU276" s="152">
        <f>SUM(AU273,AU275)*AU$269</f>
        <v>0</v>
      </c>
      <c r="AV276" s="12">
        <f t="shared" ref="AV276:AY276" si="76">SUM(AV273,AV275)*AV$269</f>
        <v>0</v>
      </c>
      <c r="AW276" s="12">
        <f t="shared" si="76"/>
        <v>0</v>
      </c>
      <c r="AX276" s="12">
        <f t="shared" si="76"/>
        <v>0</v>
      </c>
      <c r="AY276" s="12">
        <f t="shared" si="76"/>
        <v>0</v>
      </c>
      <c r="BA276" s="34" t="str">
        <f t="shared" ca="1" si="67"/>
        <v>Transform</v>
      </c>
      <c r="BB276" s="88" t="str">
        <f t="shared" si="68"/>
        <v>Legacy adjustments</v>
      </c>
      <c r="BC276" s="88" t="str">
        <f t="shared" si="70"/>
        <v>Legacy adjustments</v>
      </c>
    </row>
    <row r="277" spans="1:55" customFormat="1" ht="14.5" x14ac:dyDescent="0.35">
      <c r="F277" s="127"/>
      <c r="H277" s="127"/>
      <c r="AT277" s="61"/>
      <c r="BB277" s="1"/>
      <c r="BC277" s="1"/>
    </row>
    <row r="278" spans="1:55" customFormat="1" ht="14.5" x14ac:dyDescent="0.35">
      <c r="E278" t="s">
        <v>602</v>
      </c>
      <c r="F278" s="127">
        <f>LicenseeSelect!F73</f>
        <v>0</v>
      </c>
      <c r="G278" t="str">
        <f>nominal</f>
        <v>£m nominal</v>
      </c>
      <c r="H278" s="127">
        <f>LicenseeSelect!H73</f>
        <v>0</v>
      </c>
      <c r="AT278" s="61"/>
      <c r="AU278" s="154">
        <f>LicenseeSelect!AU73</f>
        <v>0</v>
      </c>
      <c r="BA278" s="34" t="str">
        <f t="shared" ca="1" si="67"/>
        <v>Transform</v>
      </c>
      <c r="BB278" s="88" t="str">
        <f t="shared" si="68"/>
        <v>Legacy adjustments</v>
      </c>
      <c r="BC278" s="88" t="str">
        <f t="shared" si="70"/>
        <v>Legacy adjustments</v>
      </c>
    </row>
    <row r="279" spans="1:55" customFormat="1" ht="14.5" x14ac:dyDescent="0.35">
      <c r="E279" t="s">
        <v>636</v>
      </c>
      <c r="F279" s="127">
        <f>IF($I$265=1,$AU$278/5,F278)</f>
        <v>0</v>
      </c>
      <c r="G279" t="str">
        <f t="shared" ref="G279:G282" si="77">nominal</f>
        <v>£m nominal</v>
      </c>
      <c r="H279" s="127">
        <f>IF($I$265=1,$AU$278/5,H278)</f>
        <v>0</v>
      </c>
      <c r="AT279" s="61"/>
      <c r="AU279" s="154"/>
      <c r="AV279" s="27">
        <f t="shared" ref="AV279:AY279" si="78">IF($I$265=1,$AU$278/5,AV278)</f>
        <v>0</v>
      </c>
      <c r="AW279" s="27">
        <f t="shared" si="78"/>
        <v>0</v>
      </c>
      <c r="AX279" s="27">
        <f t="shared" si="78"/>
        <v>0</v>
      </c>
      <c r="AY279" s="27">
        <f t="shared" si="78"/>
        <v>0</v>
      </c>
      <c r="BA279" s="34" t="str">
        <f t="shared" ca="1" si="67"/>
        <v>Transform</v>
      </c>
      <c r="BB279" s="88" t="str">
        <f t="shared" si="68"/>
        <v>Legacy adjustments</v>
      </c>
      <c r="BC279" s="88" t="str">
        <f t="shared" si="70"/>
        <v>Legacy adjustments</v>
      </c>
    </row>
    <row r="280" spans="1:55" customFormat="1" ht="14.5" x14ac:dyDescent="0.35">
      <c r="E280" t="s">
        <v>604</v>
      </c>
      <c r="F280" s="127">
        <f>LicenseeSelect!F74</f>
        <v>0</v>
      </c>
      <c r="G280" t="str">
        <f t="shared" si="77"/>
        <v>£m nominal</v>
      </c>
      <c r="H280" s="127">
        <f>LicenseeSelect!H74</f>
        <v>0</v>
      </c>
      <c r="AT280" s="61"/>
      <c r="AU280" s="154">
        <f>LicenseeSelect!AU74</f>
        <v>0</v>
      </c>
      <c r="BA280" s="34" t="str">
        <f t="shared" ca="1" si="67"/>
        <v>Transform</v>
      </c>
      <c r="BB280" s="88" t="str">
        <f t="shared" si="68"/>
        <v>Legacy adjustments</v>
      </c>
      <c r="BC280" s="88" t="str">
        <f t="shared" si="70"/>
        <v>Legacy adjustments</v>
      </c>
    </row>
    <row r="281" spans="1:55" customFormat="1" ht="14.5" x14ac:dyDescent="0.35">
      <c r="E281" t="s">
        <v>639</v>
      </c>
      <c r="F281" s="127"/>
      <c r="G281" t="str">
        <f t="shared" si="77"/>
        <v>£m nominal</v>
      </c>
      <c r="H281" s="127"/>
      <c r="AT281" s="61"/>
      <c r="AU281" s="154"/>
      <c r="AV281" s="27">
        <f t="shared" ref="AV281:AY281" si="79">IF($I$267=1,$AU$280/5,AV280)</f>
        <v>0</v>
      </c>
      <c r="AW281" s="27">
        <f t="shared" si="79"/>
        <v>0</v>
      </c>
      <c r="AX281" s="27">
        <f t="shared" si="79"/>
        <v>0</v>
      </c>
      <c r="AY281" s="27">
        <f t="shared" si="79"/>
        <v>0</v>
      </c>
      <c r="BA281" s="34" t="str">
        <f t="shared" ca="1" si="67"/>
        <v>Transform</v>
      </c>
      <c r="BB281" s="88" t="str">
        <f t="shared" si="68"/>
        <v>Legacy adjustments</v>
      </c>
      <c r="BC281" s="88" t="str">
        <f t="shared" si="70"/>
        <v>Legacy adjustments</v>
      </c>
    </row>
    <row r="282" spans="1:55" customFormat="1" ht="14.5" x14ac:dyDescent="0.35">
      <c r="E282" t="s">
        <v>640</v>
      </c>
      <c r="F282" s="127"/>
      <c r="G282" t="str">
        <f t="shared" si="77"/>
        <v>£m nominal</v>
      </c>
      <c r="H282" s="127"/>
      <c r="AT282" s="61"/>
      <c r="AU282" s="152">
        <f>SUM(AU279,AU281)*AU$269</f>
        <v>0</v>
      </c>
      <c r="AV282" s="12">
        <f t="shared" ref="AV282:AY282" si="80">SUM(AV279,AV281)*AV$269</f>
        <v>0</v>
      </c>
      <c r="AW282" s="12">
        <f t="shared" si="80"/>
        <v>0</v>
      </c>
      <c r="AX282" s="12">
        <f t="shared" si="80"/>
        <v>0</v>
      </c>
      <c r="AY282" s="12">
        <f t="shared" si="80"/>
        <v>0</v>
      </c>
      <c r="BA282" s="34" t="str">
        <f t="shared" ca="1" si="67"/>
        <v>Transform</v>
      </c>
      <c r="BB282" s="88" t="str">
        <f t="shared" si="68"/>
        <v>Legacy adjustments</v>
      </c>
      <c r="BC282" s="88" t="str">
        <f t="shared" si="70"/>
        <v>Legacy adjustments</v>
      </c>
    </row>
    <row r="283" spans="1:55" x14ac:dyDescent="0.35">
      <c r="BA283" s="34"/>
    </row>
    <row r="284" spans="1:55" customFormat="1" ht="20" thickBot="1" x14ac:dyDescent="0.5">
      <c r="A284" s="13" t="s">
        <v>386</v>
      </c>
      <c r="F284" s="127"/>
      <c r="H284" s="127"/>
      <c r="AT284" s="61"/>
      <c r="BB284" s="1"/>
      <c r="BC284" s="1"/>
    </row>
    <row r="285" spans="1:55" x14ac:dyDescent="0.35"/>
    <row r="286" spans="1:55" x14ac:dyDescent="0.35"/>
    <row r="287" spans="1:55" x14ac:dyDescent="0.35"/>
    <row r="288" spans="1:55" x14ac:dyDescent="0.35"/>
  </sheetData>
  <dataConsolidate/>
  <conditionalFormatting sqref="H1">
    <cfRule type="cellIs" dxfId="13" priority="1" operator="equal">
      <formula>"ERROR"</formula>
    </cfRule>
  </conditionalFormatting>
  <pageMargins left="0.23622047244094491" right="0.23622047244094491" top="0.74803149606299213" bottom="0.74803149606299213" header="0.31496062992125984" footer="0.31496062992125984"/>
  <pageSetup paperSize="8" fitToHeight="0" orientation="portrait" r:id="rId1"/>
  <headerFooter>
    <oddHeader>&amp;L&amp;"Aptos"&amp;10&amp;K000000 Classified as Internal&amp;1#_x000D_</oddHeader>
    <oddFooter>&amp;LDraft at &amp;D&amp;R"&amp;A" sheet&amp;R"&amp;A" sheet&amp;R"&amp;A" sheet&amp;R"&amp;A" sheet&amp;R"&amp;A" sheet&amp;R"&amp;A" sheet&amp;R"&amp;A" sheet&amp;R"&amp;A" sheet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D367E-F2A0-4B0D-A62D-B81F13F6DB94}">
  <sheetPr codeName="Sheet5">
    <tabColor rgb="FFBAA0CC"/>
    <pageSetUpPr autoPageBreaks="0"/>
  </sheetPr>
  <dimension ref="A1:BG89"/>
  <sheetViews>
    <sheetView zoomScaleNormal="100" workbookViewId="0">
      <pane xSplit="46" ySplit="4" topLeftCell="AU5" activePane="bottomRight" state="frozen"/>
      <selection pane="topRight" activeCell="AU1" sqref="AU1"/>
      <selection pane="bottomLeft" activeCell="A5" sqref="A5"/>
      <selection pane="bottomRight"/>
    </sheetView>
  </sheetViews>
  <sheetFormatPr defaultColWidth="0" defaultRowHeight="16" zeroHeight="1" outlineLevelRow="1" outlineLevelCol="1" x14ac:dyDescent="0.35"/>
  <cols>
    <col min="1" max="3" width="1.90625" customWidth="1"/>
    <col min="4" max="4" width="15.6328125" customWidth="1"/>
    <col min="5" max="5" width="65.6328125" customWidth="1"/>
    <col min="6" max="6" width="8.6328125" customWidth="1"/>
    <col min="7" max="7" width="17.6328125" customWidth="1"/>
    <col min="8" max="8" width="9.6328125" customWidth="1"/>
    <col min="9" max="9" width="11.6328125" customWidth="1"/>
    <col min="10" max="10" width="2.08984375" customWidth="1"/>
    <col min="11" max="45" width="11.6328125" hidden="1" customWidth="1" outlineLevel="1"/>
    <col min="46" max="46" width="11.6328125" style="61" hidden="1" customWidth="1" outlineLevel="1"/>
    <col min="47" max="47" width="11.6328125" customWidth="1" collapsed="1"/>
    <col min="48" max="51" width="11.6328125" customWidth="1"/>
    <col min="52" max="52" width="18.6328125" customWidth="1"/>
    <col min="53" max="55" width="10.6328125" style="1" customWidth="1"/>
    <col min="56" max="57" width="10.6328125" customWidth="1"/>
    <col min="58" max="58" width="1.6328125" style="6" customWidth="1"/>
    <col min="59" max="59" width="12.08984375" style="6" hidden="1" customWidth="1"/>
  </cols>
  <sheetData>
    <row r="1" spans="1:55" s="90" customFormat="1" x14ac:dyDescent="0.35">
      <c r="A1" s="95" t="str" cm="1">
        <f t="array" aca="1" ref="A1" ca="1">MID(CELL("filename",$A$1),FIND("]",CELL("filename",$A$1))+1,255)</f>
        <v>Totex</v>
      </c>
      <c r="E1" s="107"/>
      <c r="G1" s="90" t="s">
        <v>572</v>
      </c>
      <c r="H1" s="27" t="e">
        <f>Checks!I7</f>
        <v>#REF!</v>
      </c>
      <c r="AT1" s="96"/>
    </row>
    <row r="2" spans="1:55" s="90" customFormat="1" ht="15" customHeight="1" x14ac:dyDescent="0.35">
      <c r="AT2" s="96"/>
    </row>
    <row r="3" spans="1:55" s="90" customFormat="1" ht="15" customHeight="1" x14ac:dyDescent="0.35">
      <c r="E3" s="90" t="s">
        <v>1</v>
      </c>
      <c r="F3" s="90" t="s">
        <v>2</v>
      </c>
      <c r="G3" s="90" t="s">
        <v>3</v>
      </c>
      <c r="H3" s="90" t="s">
        <v>4</v>
      </c>
      <c r="I3" s="90" t="s">
        <v>5</v>
      </c>
      <c r="AT3" s="96"/>
      <c r="AU3" s="90" t="s">
        <v>6</v>
      </c>
    </row>
    <row r="4" spans="1:55" s="90" customFormat="1" ht="15" customHeight="1" x14ac:dyDescent="0.35">
      <c r="D4" s="92" t="s">
        <v>459</v>
      </c>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92" t="s">
        <v>591</v>
      </c>
      <c r="BB4" s="92" t="s">
        <v>592</v>
      </c>
      <c r="BC4" s="92" t="s">
        <v>593</v>
      </c>
    </row>
    <row r="5" spans="1:55" x14ac:dyDescent="0.35">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70"/>
      <c r="AU5" s="2"/>
      <c r="AV5" s="2"/>
      <c r="AW5" s="2"/>
      <c r="AX5" s="2"/>
      <c r="AY5" s="2"/>
    </row>
    <row r="6" spans="1:55" ht="20" outlineLevel="1" thickBot="1" x14ac:dyDescent="0.5">
      <c r="A6" s="13" t="s">
        <v>484</v>
      </c>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row>
    <row r="7" spans="1:55" ht="16.5" outlineLevel="1" thickTop="1" x14ac:dyDescent="0.35">
      <c r="D7" s="1" t="str" cm="1">
        <f t="array" aca="1" ref="D7" ca="1">IFERROR(MID(_xlfn.FORMULATEXT(I7),FIND("=",_xlfn.FORMULATEXT(I7))+1,FIND("!",_xlfn.FORMULATEXT(I7))-2),MID(_xlfn.FORMULATEXT(INDEX(L7:AV7,MATCH(FALSE,ISBLANK(L7:AV7),0))),FIND("=",_xlfn.FORMULATEXT(INDEX(L7:AV7,MATCH(FALSE,ISBLANK(L7:AV7),0))))+1,FIND("!",_xlfn.FORMULATEXT(INDEX(L7:AV7,MATCH(FALSE,ISBLANK(L7:AV7),0))))-2))</f>
        <v>Transform</v>
      </c>
      <c r="E7" t="s">
        <v>819</v>
      </c>
      <c r="G7" t="str">
        <f>price_label</f>
        <v>£m 23/24 prices</v>
      </c>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U7" s="148">
        <f>Transform!AU29</f>
        <v>3.5402390683891056</v>
      </c>
      <c r="AV7" s="50">
        <f>Transform!AV29</f>
        <v>3.0501931150341823</v>
      </c>
      <c r="AW7" s="50">
        <f>Transform!AW29</f>
        <v>2.5895698466230046</v>
      </c>
      <c r="AX7" s="50">
        <f>Transform!AX29</f>
        <v>2.5871066352145871</v>
      </c>
      <c r="AY7" s="50">
        <f>Transform!AY29</f>
        <v>2.6839984496996454</v>
      </c>
    </row>
    <row r="8" spans="1:55" outlineLevel="1" x14ac:dyDescent="0.35">
      <c r="D8" s="1" t="str" cm="1">
        <f t="array" aca="1" ref="D8" ca="1">IFERROR(MID(_xlfn.FORMULATEXT(I8),FIND("=",_xlfn.FORMULATEXT(I8))+1,FIND("!",_xlfn.FORMULATEXT(I8))-2),MID(_xlfn.FORMULATEXT(INDEX(L8:AV8,MATCH(FALSE,ISBLANK(L8:AV8),0))),FIND("=",_xlfn.FORMULATEXT(INDEX(L8:AV8,MATCH(FALSE,ISBLANK(L8:AV8),0))))+1,FIND("!",_xlfn.FORMULATEXT(INDEX(L8:AV8,MATCH(FALSE,ISBLANK(L8:AV8),0))))-2))</f>
        <v>Transform</v>
      </c>
      <c r="E8" t="s">
        <v>820</v>
      </c>
      <c r="G8" t="str">
        <f>price_label</f>
        <v>£m 23/24 prices</v>
      </c>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U8" s="148">
        <f>Transform!AU30</f>
        <v>36.722051194398162</v>
      </c>
      <c r="AV8" s="50">
        <f>Transform!AV30</f>
        <v>39.871822655688462</v>
      </c>
      <c r="AW8" s="50">
        <f>Transform!AW30</f>
        <v>39.267847096578222</v>
      </c>
      <c r="AX8" s="50">
        <f>Transform!AX30</f>
        <v>30.038708454622835</v>
      </c>
      <c r="AY8" s="50">
        <f>Transform!AY30</f>
        <v>25.188320891193055</v>
      </c>
    </row>
    <row r="9" spans="1:55" outlineLevel="1" x14ac:dyDescent="0.35">
      <c r="D9" s="1" t="str" cm="1">
        <f t="array" aca="1" ref="D9" ca="1">IFERROR(MID(_xlfn.FORMULATEXT(I9),FIND("=",_xlfn.FORMULATEXT(I9))+1,FIND("!",_xlfn.FORMULATEXT(I9))-2),MID(_xlfn.FORMULATEXT(INDEX(L9:AV9,MATCH(FALSE,ISBLANK(L9:AV9),0))),FIND("=",_xlfn.FORMULATEXT(INDEX(L9:AV9,MATCH(FALSE,ISBLANK(L9:AV9),0))))+1,FIND("!",_xlfn.FORMULATEXT(INDEX(L9:AV9,MATCH(FALSE,ISBLANK(L9:AV9),0))))-2))</f>
        <v>Transform</v>
      </c>
      <c r="E9" t="s">
        <v>821</v>
      </c>
      <c r="G9" t="str">
        <f>price_label</f>
        <v>£m 23/24 prices</v>
      </c>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U9" s="148">
        <f>Transform!AU31</f>
        <v>13.777629902832262</v>
      </c>
      <c r="AV9" s="50">
        <f>Transform!AV31</f>
        <v>13.61145589245713</v>
      </c>
      <c r="AW9" s="50">
        <f>Transform!AW31</f>
        <v>14.142057363017287</v>
      </c>
      <c r="AX9" s="50">
        <f>Transform!AX31</f>
        <v>15.20684071411436</v>
      </c>
      <c r="AY9" s="50">
        <f>Transform!AY31</f>
        <v>13.011966642298292</v>
      </c>
    </row>
    <row r="10" spans="1:55" outlineLevel="1" x14ac:dyDescent="0.35">
      <c r="D10" s="1" t="str" cm="1">
        <f t="array" aca="1" ref="D10" ca="1">IFERROR(MID(_xlfn.FORMULATEXT(I10),FIND("=",_xlfn.FORMULATEXT(I10))+1,FIND("!",_xlfn.FORMULATEXT(I10))-2),MID(_xlfn.FORMULATEXT(INDEX(L10:AV10,MATCH(FALSE,ISBLANK(L10:AV10),0))),FIND("=",_xlfn.FORMULATEXT(INDEX(L10:AV10,MATCH(FALSE,ISBLANK(L10:AV10),0))))+1,FIND("!",_xlfn.FORMULATEXT(INDEX(L10:AV10,MATCH(FALSE,ISBLANK(L10:AV10),0))))-2))</f>
        <v>Transform</v>
      </c>
      <c r="E10" t="s">
        <v>822</v>
      </c>
      <c r="G10" t="str">
        <f>price_label</f>
        <v>£m 23/24 prices</v>
      </c>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U10" s="148">
        <f>Transform!AU32</f>
        <v>86.277023320972546</v>
      </c>
      <c r="AV10" s="50">
        <f>Transform!AV32</f>
        <v>86.758188369471014</v>
      </c>
      <c r="AW10" s="50">
        <f>Transform!AW32</f>
        <v>86.427928116231257</v>
      </c>
      <c r="AX10" s="50">
        <f>Transform!AX32</f>
        <v>85.410347364856705</v>
      </c>
      <c r="AY10" s="50">
        <f>Transform!AY32</f>
        <v>84.505706887154588</v>
      </c>
    </row>
    <row r="11" spans="1:55" outlineLevel="1" x14ac:dyDescent="0.35">
      <c r="D11" s="1" t="str" cm="1">
        <f t="array" aca="1" ref="D11" ca="1">IFERROR(MID(_xlfn.FORMULATEXT(I11),FIND("=",_xlfn.FORMULATEXT(I11))+1,FIND("!",_xlfn.FORMULATEXT(I11))-2),MID(_xlfn.FORMULATEXT(INDEX(L11:AV11,MATCH(FALSE,ISBLANK(L11:AV11),0))),FIND("=",_xlfn.FORMULATEXT(INDEX(L11:AV11,MATCH(FALSE,ISBLANK(L11:AV11),0))))+1,FIND("!",_xlfn.FORMULATEXT(INDEX(L11:AV11,MATCH(FALSE,ISBLANK(L11:AV11),0))))-2))</f>
        <v>Transform</v>
      </c>
      <c r="E11" t="s">
        <v>823</v>
      </c>
      <c r="G11" t="str">
        <f>price_label</f>
        <v>£m 23/24 prices</v>
      </c>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U11" s="148">
        <f>Transform!AU33</f>
        <v>1.6905313381244582</v>
      </c>
      <c r="AV11" s="50">
        <f>Transform!AV33</f>
        <v>2.1547820980217836</v>
      </c>
      <c r="AW11" s="50">
        <f>Transform!AW33</f>
        <v>2.0752876571834236</v>
      </c>
      <c r="AX11" s="50">
        <f>Transform!AX33</f>
        <v>2.0346926700608918</v>
      </c>
      <c r="AY11" s="50">
        <f>Transform!AY33</f>
        <v>2.0142145553303692</v>
      </c>
    </row>
    <row r="12" spans="1:55" outlineLevel="1" x14ac:dyDescent="0.35">
      <c r="D12" s="1"/>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U12" s="51"/>
      <c r="AV12" s="51"/>
      <c r="AW12" s="51"/>
      <c r="AX12" s="51"/>
      <c r="AY12" s="51"/>
    </row>
    <row r="13" spans="1:55" outlineLevel="1" x14ac:dyDescent="0.35">
      <c r="D13" s="1" t="str" cm="1">
        <f t="array" aca="1" ref="D13" ca="1">IFERROR(MID(_xlfn.FORMULATEXT(I13),FIND("=",_xlfn.FORMULATEXT(I13))+1,FIND("!",_xlfn.FORMULATEXT(I13))-2),MID(_xlfn.FORMULATEXT(INDEX(L13:AV13,MATCH(FALSE,ISBLANK(L13:AV13),0))),FIND("=",_xlfn.FORMULATEXT(INDEX(L13:AV13,MATCH(FALSE,ISBLANK(L13:AV13),0))))+1,FIND("!",_xlfn.FORMULATEXT(INDEX(L13:AV13,MATCH(FALSE,ISBLANK(L13:AV13),0))))-2))</f>
        <v>VariantAllowances</v>
      </c>
      <c r="E13" t="s">
        <v>788</v>
      </c>
      <c r="G13" t="str">
        <f>price_label</f>
        <v>£m 23/24 prices</v>
      </c>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U13" s="148">
        <f>VariantAllowances!AU641</f>
        <v>7.4064723445268724E-2</v>
      </c>
      <c r="AV13" s="50">
        <f>VariantAllowances!AV641</f>
        <v>7.7825583141130916E-2</v>
      </c>
      <c r="AW13" s="50">
        <f>VariantAllowances!AW641</f>
        <v>8.0944393462765121E-2</v>
      </c>
      <c r="AX13" s="50">
        <f>VariantAllowances!AX641</f>
        <v>9.9810014404022138E-2</v>
      </c>
      <c r="AY13" s="50">
        <f>VariantAllowances!AY641</f>
        <v>0.13142354494296965</v>
      </c>
    </row>
    <row r="14" spans="1:55" outlineLevel="1" x14ac:dyDescent="0.35">
      <c r="D14" s="1" t="str" cm="1">
        <f t="array" aca="1" ref="D14" ca="1">IFERROR(MID(_xlfn.FORMULATEXT(I14),FIND("=",_xlfn.FORMULATEXT(I14))+1,FIND("!",_xlfn.FORMULATEXT(I14))-2),MID(_xlfn.FORMULATEXT(INDEX(L14:AV14,MATCH(FALSE,ISBLANK(L14:AV14),0))),FIND("=",_xlfn.FORMULATEXT(INDEX(L14:AV14,MATCH(FALSE,ISBLANK(L14:AV14),0))))+1,FIND("!",_xlfn.FORMULATEXT(INDEX(L14:AV14,MATCH(FALSE,ISBLANK(L14:AV14),0))))-2))</f>
        <v>VariantAllowances</v>
      </c>
      <c r="E14" t="s">
        <v>789</v>
      </c>
      <c r="G14" t="str">
        <f>price_label</f>
        <v>£m 23/24 prices</v>
      </c>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U14" s="148">
        <f>VariantAllowances!AU642</f>
        <v>17.231325900507343</v>
      </c>
      <c r="AV14" s="50">
        <f>VariantAllowances!AV642</f>
        <v>22.300423114991023</v>
      </c>
      <c r="AW14" s="50">
        <f>VariantAllowances!AW642</f>
        <v>25.944561337810285</v>
      </c>
      <c r="AX14" s="50">
        <f>VariantAllowances!AX642</f>
        <v>18.970859386852098</v>
      </c>
      <c r="AY14" s="50">
        <f>VariantAllowances!AY642</f>
        <v>15.540131157533951</v>
      </c>
    </row>
    <row r="15" spans="1:55" outlineLevel="1" x14ac:dyDescent="0.35">
      <c r="D15" s="1" t="str" cm="1">
        <f t="array" aca="1" ref="D15" ca="1">IFERROR(MID(_xlfn.FORMULATEXT(I15),FIND("=",_xlfn.FORMULATEXT(I15))+1,FIND("!",_xlfn.FORMULATEXT(I15))-2),MID(_xlfn.FORMULATEXT(INDEX(L15:AV15,MATCH(FALSE,ISBLANK(L15:AV15),0))),FIND("=",_xlfn.FORMULATEXT(INDEX(L15:AV15,MATCH(FALSE,ISBLANK(L15:AV15),0))))+1,FIND("!",_xlfn.FORMULATEXT(INDEX(L15:AV15,MATCH(FALSE,ISBLANK(L15:AV15),0))))-2))</f>
        <v>VariantAllowances</v>
      </c>
      <c r="E15" t="s">
        <v>790</v>
      </c>
      <c r="G15" t="str">
        <f>price_label</f>
        <v>£m 23/24 prices</v>
      </c>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U15" s="148">
        <f>VariantAllowances!AU643</f>
        <v>10.192053048813161</v>
      </c>
      <c r="AV15" s="50">
        <f>VariantAllowances!AV643</f>
        <v>8.1443590659592484</v>
      </c>
      <c r="AW15" s="50">
        <f>VariantAllowances!AW643</f>
        <v>7.2978494250718651</v>
      </c>
      <c r="AX15" s="50">
        <f>VariantAllowances!AX643</f>
        <v>6.3704119089637619</v>
      </c>
      <c r="AY15" s="50">
        <f>VariantAllowances!AY643</f>
        <v>6.4815592950643097</v>
      </c>
    </row>
    <row r="16" spans="1:55" outlineLevel="1" x14ac:dyDescent="0.35">
      <c r="D16" s="1" t="str" cm="1">
        <f t="array" aca="1" ref="D16" ca="1">IFERROR(MID(_xlfn.FORMULATEXT(I16),FIND("=",_xlfn.FORMULATEXT(I16))+1,FIND("!",_xlfn.FORMULATEXT(I16))-2),MID(_xlfn.FORMULATEXT(INDEX(L16:AV16,MATCH(FALSE,ISBLANK(L16:AV16),0))),FIND("=",_xlfn.FORMULATEXT(INDEX(L16:AV16,MATCH(FALSE,ISBLANK(L16:AV16),0))))+1,FIND("!",_xlfn.FORMULATEXT(INDEX(L16:AV16,MATCH(FALSE,ISBLANK(L16:AV16),0))))-2))</f>
        <v>VariantAllowances</v>
      </c>
      <c r="E16" t="s">
        <v>791</v>
      </c>
      <c r="G16" t="str">
        <f>price_label</f>
        <v>£m 23/24 prices</v>
      </c>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U16" s="148">
        <f>VariantAllowances!AU644</f>
        <v>2.6207579764504887</v>
      </c>
      <c r="AV16" s="50">
        <f>VariantAllowances!AV644</f>
        <v>3.1026356316705472</v>
      </c>
      <c r="AW16" s="50">
        <f>VariantAllowances!AW644</f>
        <v>3.6637528213593593</v>
      </c>
      <c r="AX16" s="50">
        <f>VariantAllowances!AX644</f>
        <v>4.3310507667042382</v>
      </c>
      <c r="AY16" s="50">
        <f>VariantAllowances!AY644</f>
        <v>5.2496507487709421</v>
      </c>
    </row>
    <row r="17" spans="1:59" outlineLevel="1" x14ac:dyDescent="0.35">
      <c r="D17" s="1" t="str" cm="1">
        <f t="array" aca="1" ref="D17" ca="1">IFERROR(MID(_xlfn.FORMULATEXT(I17),FIND("=",_xlfn.FORMULATEXT(I17))+1,FIND("!",_xlfn.FORMULATEXT(I17))-2),MID(_xlfn.FORMULATEXT(INDEX(L17:AV17,MATCH(FALSE,ISBLANK(L17:AV17),0))),FIND("=",_xlfn.FORMULATEXT(INDEX(L17:AV17,MATCH(FALSE,ISBLANK(L17:AV17),0))))+1,FIND("!",_xlfn.FORMULATEXT(INDEX(L17:AV17,MATCH(FALSE,ISBLANK(L17:AV17),0))))-2))</f>
        <v>VariantAllowances</v>
      </c>
      <c r="E17" t="s">
        <v>792</v>
      </c>
      <c r="G17" t="str">
        <f>price_label</f>
        <v>£m 23/24 prices</v>
      </c>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U17" s="148">
        <f>VariantAllowances!AU645</f>
        <v>80.87056499746096</v>
      </c>
      <c r="AV17" s="50">
        <f>VariantAllowances!AV645</f>
        <v>82.738976320299599</v>
      </c>
      <c r="AW17" s="50">
        <f>VariantAllowances!AW645</f>
        <v>79.624244364870805</v>
      </c>
      <c r="AX17" s="50">
        <f>VariantAllowances!AX645</f>
        <v>76.002852548901771</v>
      </c>
      <c r="AY17" s="50">
        <f>VariantAllowances!AY645</f>
        <v>73.678777457950133</v>
      </c>
    </row>
    <row r="18" spans="1:59" outlineLevel="1" x14ac:dyDescent="0.35"/>
    <row r="19" spans="1:59" outlineLevel="1" x14ac:dyDescent="0.35">
      <c r="D19" s="1" t="str" cm="1">
        <f t="array" aca="1" ref="D19" ca="1">IFERROR(MID(_xlfn.FORMULATEXT(I19),FIND("=",_xlfn.FORMULATEXT(I19))+1,FIND("!",_xlfn.FORMULATEXT(I19))-2),MID(_xlfn.FORMULATEXT(INDEX(L19:AV19,MATCH(FALSE,ISBLANK(L19:AV19),0))),FIND("=",_xlfn.FORMULATEXT(INDEX(L19:AV19,MATCH(FALSE,ISBLANK(L19:AV19),0))))+1,FIND("!",_xlfn.FORMULATEXT(INDEX(L19:AV19,MATCH(FALSE,ISBLANK(L19:AV19),0))))-2))</f>
        <v>VariantAllowances</v>
      </c>
      <c r="E19" t="s">
        <v>793</v>
      </c>
      <c r="G19" t="str">
        <f>price_label</f>
        <v>£m 23/24 prices</v>
      </c>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U19" s="148">
        <f>VariantAllowances!AU648</f>
        <v>4</v>
      </c>
      <c r="AV19" s="50">
        <f>VariantAllowances!AV648</f>
        <v>4</v>
      </c>
      <c r="AW19" s="50">
        <f>VariantAllowances!AW648</f>
        <v>4</v>
      </c>
      <c r="AX19" s="50">
        <f>VariantAllowances!AX648</f>
        <v>4</v>
      </c>
      <c r="AY19" s="50">
        <f>VariantAllowances!AY648</f>
        <v>4</v>
      </c>
      <c r="BA19" s="34"/>
      <c r="BC19" s="17"/>
    </row>
    <row r="20" spans="1:59" outlineLevel="1" x14ac:dyDescent="0.35">
      <c r="D20" s="1" t="str" cm="1">
        <f t="array" aca="1" ref="D20" ca="1">IFERROR(MID(_xlfn.FORMULATEXT(I20),FIND("=",_xlfn.FORMULATEXT(I20))+1,FIND("!",_xlfn.FORMULATEXT(I20))-2),MID(_xlfn.FORMULATEXT(INDEX(L20:AV20,MATCH(FALSE,ISBLANK(L20:AV20),0))),FIND("=",_xlfn.FORMULATEXT(INDEX(L20:AV20,MATCH(FALSE,ISBLANK(L20:AV20),0))))+1,FIND("!",_xlfn.FORMULATEXT(INDEX(L20:AV20,MATCH(FALSE,ISBLANK(L20:AV20),0))))-2))</f>
        <v>VariantAllowances</v>
      </c>
      <c r="E20" t="s">
        <v>794</v>
      </c>
      <c r="G20" t="str">
        <f>price_label</f>
        <v>£m 23/24 prices</v>
      </c>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U20" s="148">
        <f>VariantAllowances!AU649</f>
        <v>2.2318499579877287</v>
      </c>
      <c r="AV20" s="50">
        <f>VariantAllowances!AV649</f>
        <v>2.239342930796151</v>
      </c>
      <c r="AW20" s="50">
        <f>VariantAllowances!AW649</f>
        <v>2.2372527984131145</v>
      </c>
      <c r="AX20" s="50">
        <f>VariantAllowances!AX649</f>
        <v>5.3156192486347376</v>
      </c>
      <c r="AY20" s="50">
        <f>VariantAllowances!AY649</f>
        <v>5.3013564078728628</v>
      </c>
      <c r="BA20" s="34"/>
      <c r="BC20" s="17"/>
    </row>
    <row r="21" spans="1:59" outlineLevel="1" x14ac:dyDescent="0.35">
      <c r="D21" s="1" t="str" cm="1">
        <f t="array" aca="1" ref="D21" ca="1">IFERROR(MID(_xlfn.FORMULATEXT(I21),FIND("=",_xlfn.FORMULATEXT(I21))+1,FIND("!",_xlfn.FORMULATEXT(I21))-2),MID(_xlfn.FORMULATEXT(INDEX(L21:AV21,MATCH(FALSE,ISBLANK(L21:AV21),0))),FIND("=",_xlfn.FORMULATEXT(INDEX(L21:AV21,MATCH(FALSE,ISBLANK(L21:AV21),0))))+1,FIND("!",_xlfn.FORMULATEXT(INDEX(L21:AV21,MATCH(FALSE,ISBLANK(L21:AV21),0))))-2))</f>
        <v>VariantAllowances</v>
      </c>
      <c r="E21" t="s">
        <v>795</v>
      </c>
      <c r="G21" t="str">
        <f>price_label</f>
        <v>£m 23/24 prices</v>
      </c>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U21" s="148">
        <f>VariantAllowances!AU650</f>
        <v>0.10206121530286198</v>
      </c>
      <c r="AV21" s="50">
        <f>VariantAllowances!AV650</f>
        <v>0.12990934690692862</v>
      </c>
      <c r="AW21" s="50">
        <f>VariantAllowances!AW650</f>
        <v>0.14575828722957393</v>
      </c>
      <c r="AX21" s="50">
        <f>VariantAllowances!AX650</f>
        <v>3.2607343619369966</v>
      </c>
      <c r="AY21" s="50">
        <f>VariantAllowances!AY650</f>
        <v>3.2759283772781451</v>
      </c>
      <c r="BA21" s="34"/>
      <c r="BC21" s="17"/>
    </row>
    <row r="22" spans="1:59" outlineLevel="1" x14ac:dyDescent="0.35">
      <c r="D22" s="1" t="str" cm="1">
        <f t="array" aca="1" ref="D22" ca="1">IFERROR(MID(_xlfn.FORMULATEXT(I22),FIND("=",_xlfn.FORMULATEXT(I22))+1,FIND("!",_xlfn.FORMULATEXT(I22))-2),MID(_xlfn.FORMULATEXT(INDEX(L22:AV22,MATCH(FALSE,ISBLANK(L22:AV22),0))),FIND("=",_xlfn.FORMULATEXT(INDEX(L22:AV22,MATCH(FALSE,ISBLANK(L22:AV22),0))))+1,FIND("!",_xlfn.FORMULATEXT(INDEX(L22:AV22,MATCH(FALSE,ISBLANK(L22:AV22),0))))-2))</f>
        <v>VariantAllowances</v>
      </c>
      <c r="E22" t="s">
        <v>796</v>
      </c>
      <c r="G22" t="str">
        <f>price_label</f>
        <v>£m 23/24 prices</v>
      </c>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U22" s="148">
        <f>VariantAllowances!AU651</f>
        <v>0.99139983195091386</v>
      </c>
      <c r="AV22" s="50">
        <f>VariantAllowances!AV651</f>
        <v>1.0213717231846045</v>
      </c>
      <c r="AW22" s="50">
        <f>VariantAllowances!AW651</f>
        <v>1.013011193652458</v>
      </c>
      <c r="AX22" s="50">
        <f>VariantAllowances!AX651</f>
        <v>0.92864857803526746</v>
      </c>
      <c r="AY22" s="50">
        <f>VariantAllowances!AY651</f>
        <v>0.87159721498776899</v>
      </c>
      <c r="BA22" s="34"/>
      <c r="BC22" s="17"/>
    </row>
    <row r="23" spans="1:59" outlineLevel="1" x14ac:dyDescent="0.35">
      <c r="D23" s="1" t="str" cm="1">
        <f t="array" aca="1" ref="D23" ca="1">IFERROR(MID(_xlfn.FORMULATEXT(I23),FIND("=",_xlfn.FORMULATEXT(I23))+1,FIND("!",_xlfn.FORMULATEXT(I23))-2),MID(_xlfn.FORMULATEXT(INDEX(L23:AV23,MATCH(FALSE,ISBLANK(L23:AV23),0))),FIND("=",_xlfn.FORMULATEXT(INDEX(L23:AV23,MATCH(FALSE,ISBLANK(L23:AV23),0))))+1,FIND("!",_xlfn.FORMULATEXT(INDEX(L23:AV23,MATCH(FALSE,ISBLANK(L23:AV23),0))))-2))</f>
        <v>VariantAllowances</v>
      </c>
      <c r="E23" t="s">
        <v>797</v>
      </c>
      <c r="G23" t="str">
        <f>price_label</f>
        <v>£m 23/24 prices</v>
      </c>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U23" s="148">
        <f>VariantAllowances!AU652</f>
        <v>0</v>
      </c>
      <c r="AV23" s="50">
        <f>VariantAllowances!AV652</f>
        <v>3.1877999999999997</v>
      </c>
      <c r="AW23" s="50">
        <f>VariantAllowances!AW652</f>
        <v>3.1877999999999997</v>
      </c>
      <c r="AX23" s="50">
        <f>VariantAllowances!AX652</f>
        <v>3.1877999999999997</v>
      </c>
      <c r="AY23" s="50">
        <f>VariantAllowances!AY652</f>
        <v>3.1877999999999997</v>
      </c>
      <c r="BA23" s="34"/>
      <c r="BC23" s="17"/>
    </row>
    <row r="24" spans="1:59" ht="14.5" outlineLevel="1" x14ac:dyDescent="0.35">
      <c r="BA24"/>
      <c r="BB24"/>
      <c r="BC24"/>
      <c r="BF24"/>
      <c r="BG24"/>
    </row>
    <row r="25" spans="1:59" outlineLevel="1" x14ac:dyDescent="0.35">
      <c r="A25" s="3"/>
      <c r="D25" s="1" t="str" cm="1">
        <f t="array" aca="1" ref="D25" ca="1">IFERROR(MID(_xlfn.FORMULATEXT(I25),FIND("=",_xlfn.FORMULATEXT(I25))+1,FIND("!",_xlfn.FORMULATEXT(I25))-2),MID(_xlfn.FORMULATEXT(INDEX(L25:AV25,MATCH(FALSE,ISBLANK(L25:AV25),0))),FIND("=",_xlfn.FORMULATEXT(INDEX(L25:AV25,MATCH(FALSE,ISBLANK(L25:AV25),0))))+1,FIND("!",_xlfn.FORMULATEXT(INDEX(L25:AV25,MATCH(FALSE,ISBLANK(L25:AV25),0))))-2))</f>
        <v>Transform</v>
      </c>
      <c r="E25" t="s">
        <v>401</v>
      </c>
      <c r="G25" t="s">
        <v>236</v>
      </c>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U25" s="159">
        <f>Transform!AU7</f>
        <v>0</v>
      </c>
      <c r="AV25" s="19">
        <f>Transform!AV7</f>
        <v>0</v>
      </c>
      <c r="AW25" s="19">
        <f>Transform!AW7</f>
        <v>0</v>
      </c>
      <c r="AX25" s="19">
        <f>Transform!AX7</f>
        <v>0</v>
      </c>
      <c r="AY25" s="19">
        <f>Transform!AY7</f>
        <v>0</v>
      </c>
    </row>
    <row r="26" spans="1:59" outlineLevel="1" x14ac:dyDescent="0.35">
      <c r="A26" s="3"/>
      <c r="D26" s="1" t="str" cm="1">
        <f t="array" aca="1" ref="D26" ca="1">IFERROR(MID(_xlfn.FORMULATEXT(I26),FIND("=",_xlfn.FORMULATEXT(I26))+1,FIND("!",_xlfn.FORMULATEXT(I26))-2),MID(_xlfn.FORMULATEXT(INDEX(L26:AV26,MATCH(FALSE,ISBLANK(L26:AV26),0))),FIND("=",_xlfn.FORMULATEXT(INDEX(L26:AV26,MATCH(FALSE,ISBLANK(L26:AV26),0))))+1,FIND("!",_xlfn.FORMULATEXT(INDEX(L26:AV26,MATCH(FALSE,ISBLANK(L26:AV26),0))))-2))</f>
        <v>Transform</v>
      </c>
      <c r="E26" t="s">
        <v>645</v>
      </c>
      <c r="G26" t="s">
        <v>236</v>
      </c>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U26" s="159">
        <f>Transform!AU8</f>
        <v>1</v>
      </c>
      <c r="AV26" s="19">
        <f>Transform!AV8</f>
        <v>1</v>
      </c>
      <c r="AW26" s="19">
        <f>Transform!AW8</f>
        <v>1</v>
      </c>
      <c r="AX26" s="19">
        <f>Transform!AX8</f>
        <v>1</v>
      </c>
      <c r="AY26" s="19">
        <f>Transform!AY8</f>
        <v>1</v>
      </c>
    </row>
    <row r="27" spans="1:59" outlineLevel="1" x14ac:dyDescent="0.35">
      <c r="A27" s="3"/>
      <c r="D27" s="1"/>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row>
    <row r="28" spans="1:59" outlineLevel="1" x14ac:dyDescent="0.35">
      <c r="D28" s="1" t="str" cm="1">
        <f t="array" aca="1" ref="D28" ca="1">IFERROR(MID(_xlfn.FORMULATEXT(I28),FIND("=",_xlfn.FORMULATEXT(I28))+1,FIND("!",_xlfn.FORMULATEXT(I28))-2),MID(_xlfn.FORMULATEXT(INDEX(L28:AV28,MATCH(FALSE,ISBLANK(L28:AV28),0))),FIND("=",_xlfn.FORMULATEXT(INDEX(L28:AV28,MATCH(FALSE,ISBLANK(L28:AV28),0))))+1,FIND("!",_xlfn.FORMULATEXT(INDEX(L28:AV28,MATCH(FALSE,ISBLANK(L28:AV28),0))))-2))</f>
        <v>Transform</v>
      </c>
      <c r="E28" t="s">
        <v>765</v>
      </c>
      <c r="G28" t="str">
        <f>price_label</f>
        <v>£m 23/24 prices</v>
      </c>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U28" s="148">
        <f>Transform!AU12</f>
        <v>0</v>
      </c>
      <c r="AV28" s="50">
        <f>Transform!AV12</f>
        <v>0</v>
      </c>
      <c r="AW28" s="50">
        <f>Transform!AW12</f>
        <v>0</v>
      </c>
      <c r="AX28" s="50">
        <f>Transform!AX12</f>
        <v>0</v>
      </c>
      <c r="AY28" s="50">
        <f>Transform!AY12</f>
        <v>0</v>
      </c>
    </row>
    <row r="29" spans="1:59" outlineLevel="1" x14ac:dyDescent="0.35">
      <c r="D29" s="1" t="str" cm="1">
        <f t="array" aca="1" ref="D29" ca="1">IFERROR(MID(_xlfn.FORMULATEXT(I29),FIND("=",_xlfn.FORMULATEXT(I29))+1,FIND("!",_xlfn.FORMULATEXT(I29))-2),MID(_xlfn.FORMULATEXT(INDEX(L29:AV29,MATCH(FALSE,ISBLANK(L29:AV29),0))),FIND("=",_xlfn.FORMULATEXT(INDEX(L29:AV29,MATCH(FALSE,ISBLANK(L29:AV29),0))))+1,FIND("!",_xlfn.FORMULATEXT(INDEX(L29:AV29,MATCH(FALSE,ISBLANK(L29:AV29),0))))-2))</f>
        <v>Transform</v>
      </c>
      <c r="E29" t="s">
        <v>766</v>
      </c>
      <c r="G29" t="str">
        <f>price_label</f>
        <v>£m 23/24 prices</v>
      </c>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U29" s="148">
        <f>Transform!AU13</f>
        <v>0</v>
      </c>
      <c r="AV29" s="50">
        <f>Transform!AV13</f>
        <v>0</v>
      </c>
      <c r="AW29" s="50">
        <f>Transform!AW13</f>
        <v>0</v>
      </c>
      <c r="AX29" s="50">
        <f>Transform!AX13</f>
        <v>0</v>
      </c>
      <c r="AY29" s="50">
        <f>Transform!AY13</f>
        <v>0</v>
      </c>
    </row>
    <row r="30" spans="1:59" outlineLevel="1" x14ac:dyDescent="0.35">
      <c r="D30" s="1" t="str" cm="1">
        <f t="array" aca="1" ref="D30" ca="1">IFERROR(MID(_xlfn.FORMULATEXT(I30),FIND("=",_xlfn.FORMULATEXT(I30))+1,FIND("!",_xlfn.FORMULATEXT(I30))-2),MID(_xlfn.FORMULATEXT(INDEX(L30:AV30,MATCH(FALSE,ISBLANK(L30:AV30),0))),FIND("=",_xlfn.FORMULATEXT(INDEX(L30:AV30,MATCH(FALSE,ISBLANK(L30:AV30),0))))+1,FIND("!",_xlfn.FORMULATEXT(INDEX(L30:AV30,MATCH(FALSE,ISBLANK(L30:AV30),0))))-2))</f>
        <v>Transform</v>
      </c>
      <c r="E30" t="s">
        <v>767</v>
      </c>
      <c r="G30" t="str">
        <f>price_label</f>
        <v>£m 23/24 prices</v>
      </c>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U30" s="148">
        <f>Transform!AU14</f>
        <v>0</v>
      </c>
      <c r="AV30" s="50">
        <f>Transform!AV14</f>
        <v>0</v>
      </c>
      <c r="AW30" s="50">
        <f>Transform!AW14</f>
        <v>0</v>
      </c>
      <c r="AX30" s="50">
        <f>Transform!AX14</f>
        <v>0</v>
      </c>
      <c r="AY30" s="50">
        <f>Transform!AY14</f>
        <v>0</v>
      </c>
    </row>
    <row r="31" spans="1:59" outlineLevel="1" x14ac:dyDescent="0.35">
      <c r="D31" s="1" t="str" cm="1">
        <f t="array" aca="1" ref="D31" ca="1">IFERROR(MID(_xlfn.FORMULATEXT(I31),FIND("=",_xlfn.FORMULATEXT(I31))+1,FIND("!",_xlfn.FORMULATEXT(I31))-2),MID(_xlfn.FORMULATEXT(INDEX(L31:AV31,MATCH(FALSE,ISBLANK(L31:AV31),0))),FIND("=",_xlfn.FORMULATEXT(INDEX(L31:AV31,MATCH(FALSE,ISBLANK(L31:AV31),0))))+1,FIND("!",_xlfn.FORMULATEXT(INDEX(L31:AV31,MATCH(FALSE,ISBLANK(L31:AV31),0))))-2))</f>
        <v>Transform</v>
      </c>
      <c r="E31" t="s">
        <v>768</v>
      </c>
      <c r="G31" t="str">
        <f>price_label</f>
        <v>£m 23/24 prices</v>
      </c>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U31" s="148">
        <f>Transform!AU15</f>
        <v>0</v>
      </c>
      <c r="AV31" s="50">
        <f>Transform!AV15</f>
        <v>0</v>
      </c>
      <c r="AW31" s="50">
        <f>Transform!AW15</f>
        <v>0</v>
      </c>
      <c r="AX31" s="50">
        <f>Transform!AX15</f>
        <v>0</v>
      </c>
      <c r="AY31" s="50">
        <f>Transform!AY15</f>
        <v>0</v>
      </c>
    </row>
    <row r="32" spans="1:59" outlineLevel="1" x14ac:dyDescent="0.35">
      <c r="D32" s="1" t="str" cm="1">
        <f t="array" aca="1" ref="D32" ca="1">IFERROR(MID(_xlfn.FORMULATEXT(I32),FIND("=",_xlfn.FORMULATEXT(I32))+1,FIND("!",_xlfn.FORMULATEXT(I32))-2),MID(_xlfn.FORMULATEXT(INDEX(L32:AV32,MATCH(FALSE,ISBLANK(L32:AV32),0))),FIND("=",_xlfn.FORMULATEXT(INDEX(L32:AV32,MATCH(FALSE,ISBLANK(L32:AV32),0))))+1,FIND("!",_xlfn.FORMULATEXT(INDEX(L32:AV32,MATCH(FALSE,ISBLANK(L32:AV32),0))))-2))</f>
        <v>Transform</v>
      </c>
      <c r="E32" t="s">
        <v>769</v>
      </c>
      <c r="G32" t="str">
        <f>price_label</f>
        <v>£m 23/24 prices</v>
      </c>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U32" s="148">
        <f>Transform!AU16</f>
        <v>0</v>
      </c>
      <c r="AV32" s="50">
        <f>Transform!AV16</f>
        <v>0</v>
      </c>
      <c r="AW32" s="50">
        <f>Transform!AW16</f>
        <v>0</v>
      </c>
      <c r="AX32" s="50">
        <f>Transform!AX16</f>
        <v>0</v>
      </c>
      <c r="AY32" s="50">
        <f>Transform!AY16</f>
        <v>0</v>
      </c>
    </row>
    <row r="33" spans="1:55" outlineLevel="1" x14ac:dyDescent="0.35">
      <c r="D33" s="1" t="str" cm="1">
        <f t="array" aca="1" ref="D33" ca="1">IFERROR(MID(_xlfn.FORMULATEXT(I33),FIND("=",_xlfn.FORMULATEXT(I33))+1,FIND("!",_xlfn.FORMULATEXT(I33))-2),MID(_xlfn.FORMULATEXT(INDEX(L33:AV33,MATCH(FALSE,ISBLANK(L33:AV33),0))),FIND("=",_xlfn.FORMULATEXT(INDEX(L33:AV33,MATCH(FALSE,ISBLANK(L33:AV33),0))))+1,FIND("!",_xlfn.FORMULATEXT(INDEX(L33:AV33,MATCH(FALSE,ISBLANK(L33:AV33),0))))-2))</f>
        <v>Transform</v>
      </c>
      <c r="E33" t="s">
        <v>195</v>
      </c>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U33" s="148">
        <f>Transform!AU25</f>
        <v>0.59012268374037224</v>
      </c>
      <c r="AV33" s="50">
        <f>Transform!AV25</f>
        <v>0.59012268374037224</v>
      </c>
      <c r="AW33" s="50">
        <f>Transform!AW25</f>
        <v>0.59012268374037224</v>
      </c>
      <c r="AX33" s="50">
        <f>Transform!AX25</f>
        <v>0.59012268374037224</v>
      </c>
      <c r="AY33" s="50">
        <f>Transform!AY25</f>
        <v>0.59012268374037224</v>
      </c>
      <c r="BA33" s="34"/>
      <c r="BC33" s="17"/>
    </row>
    <row r="34" spans="1:55" outlineLevel="1" x14ac:dyDescent="0.35">
      <c r="D34" s="1"/>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U34" s="51"/>
      <c r="AV34" s="51"/>
      <c r="AW34" s="51"/>
      <c r="AX34" s="51"/>
      <c r="AY34" s="51"/>
    </row>
    <row r="35" spans="1:55" outlineLevel="1" x14ac:dyDescent="0.35">
      <c r="D35" s="1" t="str" cm="1">
        <f t="array" aca="1" ref="D35" ca="1">IFERROR(MID(_xlfn.FORMULATEXT(I35),FIND("=",_xlfn.FORMULATEXT(I35))+1,FIND("!",_xlfn.FORMULATEXT(I35))-2),MID(_xlfn.FORMULATEXT(INDEX(L35:AV35,MATCH(FALSE,ISBLANK(L35:AV35),0))),FIND("=",_xlfn.FORMULATEXT(INDEX(L35:AV35,MATCH(FALSE,ISBLANK(L35:AV35),0))))+1,FIND("!",_xlfn.FORMULATEXT(INDEX(L35:AV35,MATCH(FALSE,ISBLANK(L35:AV35),0))))-2))</f>
        <v>Transform</v>
      </c>
      <c r="E35" t="s">
        <v>775</v>
      </c>
      <c r="G35" t="str">
        <f>price_label</f>
        <v>£m 23/24 prices</v>
      </c>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U35" s="148">
        <f>Transform!AU19</f>
        <v>0</v>
      </c>
      <c r="AV35" s="50">
        <f>Transform!AV19</f>
        <v>0</v>
      </c>
      <c r="AW35" s="50">
        <f>Transform!AW19</f>
        <v>0</v>
      </c>
      <c r="AX35" s="50">
        <f>Transform!AX19</f>
        <v>0</v>
      </c>
      <c r="AY35" s="50">
        <f>Transform!AY19</f>
        <v>0</v>
      </c>
    </row>
    <row r="36" spans="1:55" outlineLevel="1" x14ac:dyDescent="0.35">
      <c r="D36" s="1" t="str" cm="1">
        <f t="array" aca="1" ref="D36" ca="1">IFERROR(MID(_xlfn.FORMULATEXT(I36),FIND("=",_xlfn.FORMULATEXT(I36))+1,FIND("!",_xlfn.FORMULATEXT(I36))-2),MID(_xlfn.FORMULATEXT(INDEX(L36:AV36,MATCH(FALSE,ISBLANK(L36:AV36),0))),FIND("=",_xlfn.FORMULATEXT(INDEX(L36:AV36,MATCH(FALSE,ISBLANK(L36:AV36),0))))+1,FIND("!",_xlfn.FORMULATEXT(INDEX(L36:AV36,MATCH(FALSE,ISBLANK(L36:AV36),0))))-2))</f>
        <v>Transform</v>
      </c>
      <c r="E36" t="s">
        <v>776</v>
      </c>
      <c r="G36" t="str">
        <f>price_label</f>
        <v>£m 23/24 prices</v>
      </c>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U36" s="148">
        <f>Transform!AU20</f>
        <v>0</v>
      </c>
      <c r="AV36" s="50">
        <f>Transform!AV20</f>
        <v>0</v>
      </c>
      <c r="AW36" s="50">
        <f>Transform!AW20</f>
        <v>0</v>
      </c>
      <c r="AX36" s="50">
        <f>Transform!AX20</f>
        <v>0</v>
      </c>
      <c r="AY36" s="50">
        <f>Transform!AY20</f>
        <v>0</v>
      </c>
    </row>
    <row r="37" spans="1:55" outlineLevel="1" x14ac:dyDescent="0.35">
      <c r="D37" s="1" t="str" cm="1">
        <f t="array" aca="1" ref="D37" ca="1">IFERROR(MID(_xlfn.FORMULATEXT(I37),FIND("=",_xlfn.FORMULATEXT(I37))+1,FIND("!",_xlfn.FORMULATEXT(I37))-2),MID(_xlfn.FORMULATEXT(INDEX(L37:AV37,MATCH(FALSE,ISBLANK(L37:AV37),0))),FIND("=",_xlfn.FORMULATEXT(INDEX(L37:AV37,MATCH(FALSE,ISBLANK(L37:AV37),0))))+1,FIND("!",_xlfn.FORMULATEXT(INDEX(L37:AV37,MATCH(FALSE,ISBLANK(L37:AV37),0))))-2))</f>
        <v>Transform</v>
      </c>
      <c r="E37" t="s">
        <v>777</v>
      </c>
      <c r="G37" t="str">
        <f>price_label</f>
        <v>£m 23/24 prices</v>
      </c>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U37" s="148">
        <f>Transform!AU21</f>
        <v>0</v>
      </c>
      <c r="AV37" s="50">
        <f>Transform!AV21</f>
        <v>0</v>
      </c>
      <c r="AW37" s="50">
        <f>Transform!AW21</f>
        <v>0</v>
      </c>
      <c r="AX37" s="50">
        <f>Transform!AX21</f>
        <v>0</v>
      </c>
      <c r="AY37" s="50">
        <f>Transform!AY21</f>
        <v>0</v>
      </c>
    </row>
    <row r="38" spans="1:55" outlineLevel="1" x14ac:dyDescent="0.35">
      <c r="D38" s="1" t="str" cm="1">
        <f t="array" aca="1" ref="D38" ca="1">IFERROR(MID(_xlfn.FORMULATEXT(I38),FIND("=",_xlfn.FORMULATEXT(I38))+1,FIND("!",_xlfn.FORMULATEXT(I38))-2),MID(_xlfn.FORMULATEXT(INDEX(L38:AV38,MATCH(FALSE,ISBLANK(L38:AV38),0))),FIND("=",_xlfn.FORMULATEXT(INDEX(L38:AV38,MATCH(FALSE,ISBLANK(L38:AV38),0))))+1,FIND("!",_xlfn.FORMULATEXT(INDEX(L38:AV38,MATCH(FALSE,ISBLANK(L38:AV38),0))))-2))</f>
        <v>Transform</v>
      </c>
      <c r="E38" t="s">
        <v>778</v>
      </c>
      <c r="G38" t="str">
        <f>price_label</f>
        <v>£m 23/24 prices</v>
      </c>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U38" s="148">
        <f>Transform!AU22</f>
        <v>0</v>
      </c>
      <c r="AV38" s="50">
        <f>Transform!AV22</f>
        <v>0</v>
      </c>
      <c r="AW38" s="50">
        <f>Transform!AW22</f>
        <v>0</v>
      </c>
      <c r="AX38" s="50">
        <f>Transform!AX22</f>
        <v>0</v>
      </c>
      <c r="AY38" s="50">
        <f>Transform!AY22</f>
        <v>0</v>
      </c>
    </row>
    <row r="39" spans="1:55" outlineLevel="1" x14ac:dyDescent="0.35">
      <c r="D39" s="1" t="str" cm="1">
        <f t="array" aca="1" ref="D39" ca="1">IFERROR(MID(_xlfn.FORMULATEXT(I39),FIND("=",_xlfn.FORMULATEXT(I39))+1,FIND("!",_xlfn.FORMULATEXT(I39))-2),MID(_xlfn.FORMULATEXT(INDEX(L39:AV39,MATCH(FALSE,ISBLANK(L39:AV39),0))),FIND("=",_xlfn.FORMULATEXT(INDEX(L39:AV39,MATCH(FALSE,ISBLANK(L39:AV39),0))))+1,FIND("!",_xlfn.FORMULATEXT(INDEX(L39:AV39,MATCH(FALSE,ISBLANK(L39:AV39),0))))-2))</f>
        <v>Transform</v>
      </c>
      <c r="E39" t="s">
        <v>779</v>
      </c>
      <c r="G39" t="str">
        <f>price_label</f>
        <v>£m 23/24 prices</v>
      </c>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U39" s="148">
        <f>Transform!AU23</f>
        <v>0</v>
      </c>
      <c r="AV39" s="50">
        <f>Transform!AV23</f>
        <v>0</v>
      </c>
      <c r="AW39" s="50">
        <f>Transform!AW23</f>
        <v>0</v>
      </c>
      <c r="AX39" s="50">
        <f>Transform!AX23</f>
        <v>0</v>
      </c>
      <c r="AY39" s="50">
        <f>Transform!AY23</f>
        <v>0</v>
      </c>
    </row>
    <row r="40" spans="1:55" outlineLevel="1" x14ac:dyDescent="0.35">
      <c r="E40" s="4"/>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U40" s="51"/>
      <c r="AV40" s="51"/>
      <c r="AW40" s="51"/>
      <c r="AX40" s="51"/>
      <c r="AY40" s="51"/>
      <c r="BA40" s="34"/>
    </row>
    <row r="41" spans="1:55" ht="20" thickBot="1" x14ac:dyDescent="0.5">
      <c r="A41" s="13" t="s">
        <v>274</v>
      </c>
      <c r="B41" s="3"/>
      <c r="E41" s="4"/>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U41" s="14"/>
      <c r="AV41" s="14"/>
      <c r="AW41" s="14"/>
      <c r="AX41" s="14"/>
      <c r="AY41" s="14"/>
      <c r="AZ41" s="314"/>
      <c r="BA41" s="34"/>
    </row>
    <row r="42" spans="1:55" ht="18" thickTop="1" thickBot="1" x14ac:dyDescent="0.45">
      <c r="B42" s="15" t="s">
        <v>275</v>
      </c>
      <c r="E42" s="4"/>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U42" s="51"/>
      <c r="AV42" s="51"/>
      <c r="AW42" s="51"/>
      <c r="AX42" s="51"/>
      <c r="AY42" s="51"/>
      <c r="BA42" s="34"/>
    </row>
    <row r="43" spans="1:55" ht="16.5" thickTop="1" x14ac:dyDescent="0.35">
      <c r="A43" s="3"/>
      <c r="E43" s="4" t="s">
        <v>168</v>
      </c>
      <c r="G43" t="s">
        <v>240</v>
      </c>
      <c r="AU43" s="152">
        <f t="shared" ref="AU43:AY47" si="0">SUM(AU7,AU13)</f>
        <v>3.6143037918343746</v>
      </c>
      <c r="AV43" s="12">
        <f t="shared" si="0"/>
        <v>3.1280186981753131</v>
      </c>
      <c r="AW43" s="12">
        <f t="shared" si="0"/>
        <v>2.6705142400857698</v>
      </c>
      <c r="AX43" s="12">
        <f t="shared" si="0"/>
        <v>2.6869166496186092</v>
      </c>
      <c r="AY43" s="12">
        <f t="shared" si="0"/>
        <v>2.8154219946426151</v>
      </c>
      <c r="BA43" s="34" t="str">
        <f ca="1">$A$1</f>
        <v>Totex</v>
      </c>
      <c r="BB43" s="1" t="str">
        <f>$A$41</f>
        <v>Allowed totex</v>
      </c>
      <c r="BC43" s="1" t="str">
        <f>$B$42</f>
        <v>Cap Rate 1</v>
      </c>
    </row>
    <row r="44" spans="1:55" x14ac:dyDescent="0.35">
      <c r="E44" s="4" t="s">
        <v>169</v>
      </c>
      <c r="G44" t="s">
        <v>240</v>
      </c>
      <c r="AU44" s="152">
        <f t="shared" si="0"/>
        <v>53.953377094905505</v>
      </c>
      <c r="AV44" s="12">
        <f t="shared" si="0"/>
        <v>62.172245770679481</v>
      </c>
      <c r="AW44" s="12">
        <f t="shared" si="0"/>
        <v>65.212408434388507</v>
      </c>
      <c r="AX44" s="12">
        <f t="shared" si="0"/>
        <v>49.009567841474933</v>
      </c>
      <c r="AY44" s="12">
        <f t="shared" si="0"/>
        <v>40.728452048727007</v>
      </c>
      <c r="BA44" s="34" t="str">
        <f t="shared" ref="BA44:BA85" ca="1" si="1">$A$1</f>
        <v>Totex</v>
      </c>
      <c r="BB44" s="1" t="str">
        <f t="shared" ref="BB44:BB47" si="2">$A$41</f>
        <v>Allowed totex</v>
      </c>
      <c r="BC44" s="1" t="str">
        <f t="shared" ref="BC44:BC47" si="3">$B$42</f>
        <v>Cap Rate 1</v>
      </c>
    </row>
    <row r="45" spans="1:55" x14ac:dyDescent="0.35">
      <c r="E45" s="4" t="s">
        <v>170</v>
      </c>
      <c r="G45" t="s">
        <v>240</v>
      </c>
      <c r="AU45" s="152">
        <f t="shared" si="0"/>
        <v>23.969682951645424</v>
      </c>
      <c r="AV45" s="12">
        <f t="shared" si="0"/>
        <v>21.75581495841638</v>
      </c>
      <c r="AW45" s="12">
        <f t="shared" si="0"/>
        <v>21.439906788089154</v>
      </c>
      <c r="AX45" s="12">
        <f t="shared" si="0"/>
        <v>21.577252623078124</v>
      </c>
      <c r="AY45" s="12">
        <f t="shared" si="0"/>
        <v>19.493525937362602</v>
      </c>
      <c r="BA45" s="34" t="str">
        <f t="shared" ca="1" si="1"/>
        <v>Totex</v>
      </c>
      <c r="BB45" s="1" t="str">
        <f t="shared" si="2"/>
        <v>Allowed totex</v>
      </c>
      <c r="BC45" s="1" t="str">
        <f t="shared" si="3"/>
        <v>Cap Rate 1</v>
      </c>
    </row>
    <row r="46" spans="1:55" x14ac:dyDescent="0.35">
      <c r="E46" s="4" t="s">
        <v>171</v>
      </c>
      <c r="G46" t="s">
        <v>240</v>
      </c>
      <c r="AU46" s="152">
        <f t="shared" si="0"/>
        <v>88.897781297423037</v>
      </c>
      <c r="AV46" s="12">
        <f t="shared" si="0"/>
        <v>89.860824001141566</v>
      </c>
      <c r="AW46" s="12">
        <f t="shared" si="0"/>
        <v>90.09168093759061</v>
      </c>
      <c r="AX46" s="12">
        <f t="shared" si="0"/>
        <v>89.741398131560942</v>
      </c>
      <c r="AY46" s="12">
        <f t="shared" si="0"/>
        <v>89.755357635925535</v>
      </c>
      <c r="BA46" s="34" t="str">
        <f t="shared" ca="1" si="1"/>
        <v>Totex</v>
      </c>
      <c r="BB46" s="1" t="str">
        <f t="shared" si="2"/>
        <v>Allowed totex</v>
      </c>
      <c r="BC46" s="1" t="str">
        <f t="shared" si="3"/>
        <v>Cap Rate 1</v>
      </c>
    </row>
    <row r="47" spans="1:55" x14ac:dyDescent="0.35">
      <c r="E47" s="4" t="s">
        <v>172</v>
      </c>
      <c r="G47" t="s">
        <v>240</v>
      </c>
      <c r="AU47" s="152">
        <f t="shared" si="0"/>
        <v>82.561096335585418</v>
      </c>
      <c r="AV47" s="12">
        <f t="shared" si="0"/>
        <v>84.893758418321383</v>
      </c>
      <c r="AW47" s="12">
        <f t="shared" si="0"/>
        <v>81.699532022054228</v>
      </c>
      <c r="AX47" s="12">
        <f t="shared" si="0"/>
        <v>78.037545218962663</v>
      </c>
      <c r="AY47" s="12">
        <f t="shared" si="0"/>
        <v>75.692992013280502</v>
      </c>
      <c r="BA47" s="34" t="str">
        <f t="shared" ca="1" si="1"/>
        <v>Totex</v>
      </c>
      <c r="BB47" s="1" t="str">
        <f t="shared" si="2"/>
        <v>Allowed totex</v>
      </c>
      <c r="BC47" s="1" t="str">
        <f t="shared" si="3"/>
        <v>Cap Rate 1</v>
      </c>
    </row>
    <row r="48" spans="1:55" x14ac:dyDescent="0.35">
      <c r="E48" s="4"/>
      <c r="AU48" s="80"/>
      <c r="AV48" s="80"/>
      <c r="AW48" s="80"/>
      <c r="AX48" s="80"/>
      <c r="AY48" s="80"/>
      <c r="BA48" s="34"/>
    </row>
    <row r="49" spans="1:55" ht="17.5" thickBot="1" x14ac:dyDescent="0.45">
      <c r="B49" s="15" t="s">
        <v>276</v>
      </c>
      <c r="E49" s="4"/>
      <c r="AU49" s="51"/>
      <c r="AV49" s="51"/>
      <c r="AW49" s="51"/>
      <c r="AX49" s="51"/>
      <c r="AY49" s="51"/>
      <c r="BA49" s="34"/>
    </row>
    <row r="50" spans="1:55" ht="16.5" thickTop="1" x14ac:dyDescent="0.35">
      <c r="E50" s="4" t="s">
        <v>168</v>
      </c>
      <c r="G50" t="s">
        <v>240</v>
      </c>
      <c r="AU50" s="154">
        <f t="shared" ref="AU50:AY54" si="4">AU19</f>
        <v>4</v>
      </c>
      <c r="AV50" s="27">
        <f t="shared" si="4"/>
        <v>4</v>
      </c>
      <c r="AW50" s="27">
        <f t="shared" si="4"/>
        <v>4</v>
      </c>
      <c r="AX50" s="27">
        <f t="shared" si="4"/>
        <v>4</v>
      </c>
      <c r="AY50" s="27">
        <f t="shared" si="4"/>
        <v>4</v>
      </c>
      <c r="BA50" s="34" t="str">
        <f t="shared" ca="1" si="1"/>
        <v>Totex</v>
      </c>
      <c r="BB50" s="1" t="str">
        <f t="shared" ref="BB50:BB54" si="5">$A$41</f>
        <v>Allowed totex</v>
      </c>
      <c r="BC50" s="1" t="str">
        <f>$B$49</f>
        <v>Cap Rate 2</v>
      </c>
    </row>
    <row r="51" spans="1:55" x14ac:dyDescent="0.35">
      <c r="E51" s="4" t="s">
        <v>169</v>
      </c>
      <c r="G51" t="s">
        <v>240</v>
      </c>
      <c r="AU51" s="154">
        <f t="shared" si="4"/>
        <v>2.2318499579877287</v>
      </c>
      <c r="AV51" s="27">
        <f t="shared" si="4"/>
        <v>2.239342930796151</v>
      </c>
      <c r="AW51" s="27">
        <f t="shared" si="4"/>
        <v>2.2372527984131145</v>
      </c>
      <c r="AX51" s="27">
        <f t="shared" si="4"/>
        <v>5.3156192486347376</v>
      </c>
      <c r="AY51" s="27">
        <f t="shared" si="4"/>
        <v>5.3013564078728628</v>
      </c>
      <c r="BA51" s="34" t="str">
        <f t="shared" ca="1" si="1"/>
        <v>Totex</v>
      </c>
      <c r="BB51" s="1" t="str">
        <f t="shared" si="5"/>
        <v>Allowed totex</v>
      </c>
      <c r="BC51" s="1" t="str">
        <f t="shared" ref="BC51:BC54" si="6">$B$49</f>
        <v>Cap Rate 2</v>
      </c>
    </row>
    <row r="52" spans="1:55" x14ac:dyDescent="0.35">
      <c r="E52" s="4" t="s">
        <v>170</v>
      </c>
      <c r="G52" t="s">
        <v>240</v>
      </c>
      <c r="AU52" s="154">
        <f t="shared" si="4"/>
        <v>0.10206121530286198</v>
      </c>
      <c r="AV52" s="27">
        <f t="shared" si="4"/>
        <v>0.12990934690692862</v>
      </c>
      <c r="AW52" s="27">
        <f t="shared" si="4"/>
        <v>0.14575828722957393</v>
      </c>
      <c r="AX52" s="27">
        <f t="shared" si="4"/>
        <v>3.2607343619369966</v>
      </c>
      <c r="AY52" s="27">
        <f t="shared" si="4"/>
        <v>3.2759283772781451</v>
      </c>
      <c r="BA52" s="34" t="str">
        <f t="shared" ca="1" si="1"/>
        <v>Totex</v>
      </c>
      <c r="BB52" s="1" t="str">
        <f t="shared" si="5"/>
        <v>Allowed totex</v>
      </c>
      <c r="BC52" s="1" t="str">
        <f t="shared" si="6"/>
        <v>Cap Rate 2</v>
      </c>
    </row>
    <row r="53" spans="1:55" x14ac:dyDescent="0.35">
      <c r="E53" s="4" t="s">
        <v>171</v>
      </c>
      <c r="G53" t="s">
        <v>240</v>
      </c>
      <c r="AU53" s="154">
        <f t="shared" si="4"/>
        <v>0.99139983195091386</v>
      </c>
      <c r="AV53" s="27">
        <f t="shared" si="4"/>
        <v>1.0213717231846045</v>
      </c>
      <c r="AW53" s="27">
        <f t="shared" si="4"/>
        <v>1.013011193652458</v>
      </c>
      <c r="AX53" s="27">
        <f t="shared" si="4"/>
        <v>0.92864857803526746</v>
      </c>
      <c r="AY53" s="27">
        <f t="shared" si="4"/>
        <v>0.87159721498776899</v>
      </c>
      <c r="BA53" s="34" t="str">
        <f t="shared" ca="1" si="1"/>
        <v>Totex</v>
      </c>
      <c r="BB53" s="1" t="str">
        <f t="shared" si="5"/>
        <v>Allowed totex</v>
      </c>
      <c r="BC53" s="1" t="str">
        <f t="shared" si="6"/>
        <v>Cap Rate 2</v>
      </c>
    </row>
    <row r="54" spans="1:55" x14ac:dyDescent="0.35">
      <c r="E54" s="4" t="s">
        <v>172</v>
      </c>
      <c r="G54" t="s">
        <v>240</v>
      </c>
      <c r="AU54" s="154">
        <f t="shared" si="4"/>
        <v>0</v>
      </c>
      <c r="AV54" s="27">
        <f t="shared" si="4"/>
        <v>3.1877999999999997</v>
      </c>
      <c r="AW54" s="27">
        <f t="shared" si="4"/>
        <v>3.1877999999999997</v>
      </c>
      <c r="AX54" s="27">
        <f t="shared" si="4"/>
        <v>3.1877999999999997</v>
      </c>
      <c r="AY54" s="27">
        <f t="shared" si="4"/>
        <v>3.1877999999999997</v>
      </c>
      <c r="BA54" s="34" t="str">
        <f t="shared" ca="1" si="1"/>
        <v>Totex</v>
      </c>
      <c r="BB54" s="1" t="str">
        <f t="shared" si="5"/>
        <v>Allowed totex</v>
      </c>
      <c r="BC54" s="1" t="str">
        <f t="shared" si="6"/>
        <v>Cap Rate 2</v>
      </c>
    </row>
    <row r="55" spans="1:55" x14ac:dyDescent="0.35">
      <c r="E55" s="4"/>
      <c r="AU55" s="51"/>
      <c r="AV55" s="51"/>
      <c r="AW55" s="51"/>
      <c r="AX55" s="51"/>
      <c r="AY55" s="51"/>
      <c r="BA55" s="34"/>
    </row>
    <row r="56" spans="1:55" ht="17.5" thickBot="1" x14ac:dyDescent="0.45">
      <c r="B56" s="15" t="s">
        <v>242</v>
      </c>
      <c r="E56" s="4"/>
      <c r="AU56" s="51"/>
      <c r="AV56" s="51"/>
      <c r="AW56" s="51"/>
      <c r="AX56" s="51"/>
      <c r="AY56" s="51"/>
      <c r="BA56" s="34"/>
    </row>
    <row r="57" spans="1:55" ht="16.5" thickTop="1" x14ac:dyDescent="0.35">
      <c r="E57" s="4" t="s">
        <v>168</v>
      </c>
      <c r="G57" t="str">
        <f t="shared" ref="G57:G62" si="7">price_label</f>
        <v>£m 23/24 prices</v>
      </c>
      <c r="AU57" s="152">
        <f t="shared" ref="AU57:AX57" si="8">SUM(AU43,AU50)</f>
        <v>7.6143037918343746</v>
      </c>
      <c r="AV57" s="12">
        <f t="shared" si="8"/>
        <v>7.1280186981753131</v>
      </c>
      <c r="AW57" s="12">
        <f t="shared" si="8"/>
        <v>6.6705142400857698</v>
      </c>
      <c r="AX57" s="12">
        <f t="shared" si="8"/>
        <v>6.6869166496186097</v>
      </c>
      <c r="AY57" s="12">
        <f>SUM(AY43,AY50)</f>
        <v>6.8154219946426151</v>
      </c>
      <c r="AZ57" s="1"/>
      <c r="BA57" s="34" t="str">
        <f t="shared" ca="1" si="1"/>
        <v>Totex</v>
      </c>
      <c r="BB57" s="1" t="str">
        <f t="shared" ref="BB57:BB62" si="9">$A$41</f>
        <v>Allowed totex</v>
      </c>
      <c r="BC57" s="1" t="str">
        <f>$B$56</f>
        <v>Total</v>
      </c>
    </row>
    <row r="58" spans="1:55" x14ac:dyDescent="0.35">
      <c r="E58" s="4" t="s">
        <v>169</v>
      </c>
      <c r="G58" t="str">
        <f t="shared" si="7"/>
        <v>£m 23/24 prices</v>
      </c>
      <c r="AU58" s="152">
        <f t="shared" ref="AU58:AY58" si="10">SUM(AU44,AU51)</f>
        <v>56.185227052893232</v>
      </c>
      <c r="AV58" s="12">
        <f t="shared" si="10"/>
        <v>64.411588701475637</v>
      </c>
      <c r="AW58" s="12">
        <f t="shared" si="10"/>
        <v>67.449661232801617</v>
      </c>
      <c r="AX58" s="12">
        <f t="shared" si="10"/>
        <v>54.325187090109672</v>
      </c>
      <c r="AY58" s="12">
        <f t="shared" si="10"/>
        <v>46.029808456599866</v>
      </c>
      <c r="AZ58" s="1"/>
      <c r="BA58" s="34" t="str">
        <f t="shared" ca="1" si="1"/>
        <v>Totex</v>
      </c>
      <c r="BB58" s="1" t="str">
        <f t="shared" si="9"/>
        <v>Allowed totex</v>
      </c>
      <c r="BC58" s="1" t="str">
        <f t="shared" ref="BC58:BC62" si="11">$B$56</f>
        <v>Total</v>
      </c>
    </row>
    <row r="59" spans="1:55" x14ac:dyDescent="0.35">
      <c r="E59" s="4" t="s">
        <v>170</v>
      </c>
      <c r="G59" t="str">
        <f t="shared" si="7"/>
        <v>£m 23/24 prices</v>
      </c>
      <c r="AU59" s="152">
        <f t="shared" ref="AU59:AY59" si="12">SUM(AU45,AU52)</f>
        <v>24.071744166948285</v>
      </c>
      <c r="AV59" s="12">
        <f t="shared" si="12"/>
        <v>21.885724305323308</v>
      </c>
      <c r="AW59" s="12">
        <f t="shared" si="12"/>
        <v>21.585665075318726</v>
      </c>
      <c r="AX59" s="12">
        <f t="shared" si="12"/>
        <v>24.837986985015121</v>
      </c>
      <c r="AY59" s="12">
        <f t="shared" si="12"/>
        <v>22.769454314640747</v>
      </c>
      <c r="AZ59" s="1"/>
      <c r="BA59" s="34" t="str">
        <f t="shared" ca="1" si="1"/>
        <v>Totex</v>
      </c>
      <c r="BB59" s="1" t="str">
        <f t="shared" si="9"/>
        <v>Allowed totex</v>
      </c>
      <c r="BC59" s="1" t="str">
        <f t="shared" si="11"/>
        <v>Total</v>
      </c>
    </row>
    <row r="60" spans="1:55" x14ac:dyDescent="0.35">
      <c r="E60" s="4" t="s">
        <v>171</v>
      </c>
      <c r="G60" t="str">
        <f t="shared" si="7"/>
        <v>£m 23/24 prices</v>
      </c>
      <c r="AU60" s="152">
        <f t="shared" ref="AU60:AY60" si="13">SUM(AU46,AU53)</f>
        <v>89.889181129373952</v>
      </c>
      <c r="AV60" s="12">
        <f t="shared" si="13"/>
        <v>90.882195724326166</v>
      </c>
      <c r="AW60" s="12">
        <f t="shared" si="13"/>
        <v>91.10469213124307</v>
      </c>
      <c r="AX60" s="12">
        <f t="shared" si="13"/>
        <v>90.670046709596207</v>
      </c>
      <c r="AY60" s="12">
        <f t="shared" si="13"/>
        <v>90.626954850913307</v>
      </c>
      <c r="AZ60" s="1"/>
      <c r="BA60" s="34" t="str">
        <f t="shared" ca="1" si="1"/>
        <v>Totex</v>
      </c>
      <c r="BB60" s="1" t="str">
        <f t="shared" si="9"/>
        <v>Allowed totex</v>
      </c>
      <c r="BC60" s="1" t="str">
        <f t="shared" si="11"/>
        <v>Total</v>
      </c>
    </row>
    <row r="61" spans="1:55" x14ac:dyDescent="0.35">
      <c r="E61" s="4" t="s">
        <v>172</v>
      </c>
      <c r="G61" t="str">
        <f t="shared" si="7"/>
        <v>£m 23/24 prices</v>
      </c>
      <c r="AU61" s="152">
        <f t="shared" ref="AU61:AY61" si="14">SUM(AU47,AU54)</f>
        <v>82.561096335585418</v>
      </c>
      <c r="AV61" s="12">
        <f t="shared" si="14"/>
        <v>88.081558418321379</v>
      </c>
      <c r="AW61" s="12">
        <f t="shared" si="14"/>
        <v>84.887332022054224</v>
      </c>
      <c r="AX61" s="12">
        <f t="shared" si="14"/>
        <v>81.225345218962659</v>
      </c>
      <c r="AY61" s="12">
        <f t="shared" si="14"/>
        <v>78.880792013280498</v>
      </c>
      <c r="AZ61" s="1"/>
      <c r="BA61" s="34" t="str">
        <f t="shared" ca="1" si="1"/>
        <v>Totex</v>
      </c>
      <c r="BB61" s="1" t="str">
        <f t="shared" si="9"/>
        <v>Allowed totex</v>
      </c>
      <c r="BC61" s="1" t="str">
        <f t="shared" si="11"/>
        <v>Total</v>
      </c>
    </row>
    <row r="62" spans="1:55" x14ac:dyDescent="0.35">
      <c r="E62" s="4" t="s">
        <v>242</v>
      </c>
      <c r="G62" t="str">
        <f t="shared" si="7"/>
        <v>£m 23/24 prices</v>
      </c>
      <c r="AU62" s="155">
        <f t="shared" ref="AU62:AY62" si="15">SUM(AU57:AU61)</f>
        <v>260.32155247663525</v>
      </c>
      <c r="AV62" s="52">
        <f t="shared" si="15"/>
        <v>272.3890858476218</v>
      </c>
      <c r="AW62" s="52">
        <f t="shared" si="15"/>
        <v>271.69786470150342</v>
      </c>
      <c r="AX62" s="52">
        <f t="shared" si="15"/>
        <v>257.7454826533023</v>
      </c>
      <c r="AY62" s="52">
        <f t="shared" si="15"/>
        <v>245.12243163007702</v>
      </c>
      <c r="AZ62" s="1"/>
      <c r="BA62" s="34" t="str">
        <f t="shared" ca="1" si="1"/>
        <v>Totex</v>
      </c>
      <c r="BB62" s="1" t="str">
        <f t="shared" si="9"/>
        <v>Allowed totex</v>
      </c>
      <c r="BC62" s="1" t="str">
        <f t="shared" si="11"/>
        <v>Total</v>
      </c>
    </row>
    <row r="63" spans="1:55" x14ac:dyDescent="0.35">
      <c r="E63" s="4"/>
      <c r="AU63" s="51"/>
      <c r="AV63" s="51"/>
      <c r="AW63" s="51"/>
      <c r="AX63" s="51"/>
      <c r="AY63" s="51"/>
      <c r="BA63" s="34"/>
    </row>
    <row r="64" spans="1:55" ht="20" thickBot="1" x14ac:dyDescent="0.5">
      <c r="A64" s="13" t="s">
        <v>9</v>
      </c>
      <c r="B64" s="3"/>
      <c r="E64" s="4"/>
      <c r="AU64" s="51"/>
      <c r="AV64" s="51"/>
      <c r="AW64" s="51"/>
      <c r="AX64" s="51"/>
      <c r="AY64" s="51"/>
      <c r="BA64" s="34"/>
    </row>
    <row r="65" spans="2:55" ht="18" thickTop="1" thickBot="1" x14ac:dyDescent="0.45">
      <c r="B65" s="15" t="s">
        <v>275</v>
      </c>
      <c r="E65" s="4"/>
      <c r="AU65" s="51"/>
      <c r="AV65" s="51"/>
      <c r="AW65" s="51"/>
      <c r="AX65" s="51"/>
      <c r="AY65" s="51"/>
      <c r="BA65" s="34"/>
    </row>
    <row r="66" spans="2:55" ht="16.5" thickTop="1" x14ac:dyDescent="0.35">
      <c r="E66" s="4" t="s">
        <v>168</v>
      </c>
      <c r="G66" t="str">
        <f>price_label</f>
        <v>£m 23/24 prices</v>
      </c>
      <c r="AU66" s="152">
        <f>AU28*AU$25+AU43*AU$26</f>
        <v>3.6143037918343746</v>
      </c>
      <c r="AV66" s="12">
        <f>AV28*AV$25+AV43*AV$26</f>
        <v>3.1280186981753131</v>
      </c>
      <c r="AW66" s="12">
        <f>AW28*AW$25+AW43*AW$26</f>
        <v>2.6705142400857698</v>
      </c>
      <c r="AX66" s="12">
        <f>AX28*AX$25+AX43*AX$26</f>
        <v>2.6869166496186092</v>
      </c>
      <c r="AY66" s="12">
        <f>AY28*AY$25+AY43*AY$26</f>
        <v>2.8154219946426151</v>
      </c>
      <c r="BA66" s="34" t="str">
        <f t="shared" ca="1" si="1"/>
        <v>Totex</v>
      </c>
      <c r="BB66" s="1" t="str">
        <f>$A$64</f>
        <v>Actual totex</v>
      </c>
      <c r="BC66" s="1" t="str">
        <f>$B$65</f>
        <v>Cap Rate 1</v>
      </c>
    </row>
    <row r="67" spans="2:55" x14ac:dyDescent="0.35">
      <c r="E67" s="4" t="s">
        <v>511</v>
      </c>
      <c r="G67" t="str">
        <f>price_label</f>
        <v>£m 23/24 prices</v>
      </c>
      <c r="AU67" s="152">
        <f>AU29*AU$25+AU44*AU$26-AU33</f>
        <v>53.36325441116513</v>
      </c>
      <c r="AV67" s="12">
        <f>AV29*AV$25+AV44*AV$26-AV33</f>
        <v>61.582123086939106</v>
      </c>
      <c r="AW67" s="12">
        <f>AW29*AW$25+AW44*AW$26-AW33</f>
        <v>64.622285750648132</v>
      </c>
      <c r="AX67" s="12">
        <f>AX29*AX$25+AX44*AX$26-AX33</f>
        <v>48.419445157734557</v>
      </c>
      <c r="AY67" s="12">
        <f>AY29*AY$25+AY44*AY$26-AY33</f>
        <v>40.138329364986632</v>
      </c>
      <c r="BA67" s="34" t="str">
        <f t="shared" ca="1" si="1"/>
        <v>Totex</v>
      </c>
      <c r="BB67" s="1" t="str">
        <f t="shared" ref="BB67:BB70" si="16">$A$64</f>
        <v>Actual totex</v>
      </c>
      <c r="BC67" s="1" t="str">
        <f t="shared" ref="BC67:BC70" si="17">$B$65</f>
        <v>Cap Rate 1</v>
      </c>
    </row>
    <row r="68" spans="2:55" x14ac:dyDescent="0.35">
      <c r="E68" s="4" t="s">
        <v>170</v>
      </c>
      <c r="G68" t="str">
        <f>price_label</f>
        <v>£m 23/24 prices</v>
      </c>
      <c r="AU68" s="152">
        <f t="shared" ref="AU68:AY70" si="18">AU30*AU$25+AU45*AU$26</f>
        <v>23.969682951645424</v>
      </c>
      <c r="AV68" s="12">
        <f t="shared" si="18"/>
        <v>21.75581495841638</v>
      </c>
      <c r="AW68" s="12">
        <f t="shared" si="18"/>
        <v>21.439906788089154</v>
      </c>
      <c r="AX68" s="12">
        <f t="shared" si="18"/>
        <v>21.577252623078124</v>
      </c>
      <c r="AY68" s="12">
        <f t="shared" si="18"/>
        <v>19.493525937362602</v>
      </c>
      <c r="BA68" s="34" t="str">
        <f t="shared" ca="1" si="1"/>
        <v>Totex</v>
      </c>
      <c r="BB68" s="1" t="str">
        <f t="shared" si="16"/>
        <v>Actual totex</v>
      </c>
      <c r="BC68" s="1" t="str">
        <f t="shared" si="17"/>
        <v>Cap Rate 1</v>
      </c>
    </row>
    <row r="69" spans="2:55" x14ac:dyDescent="0.35">
      <c r="E69" s="4" t="s">
        <v>171</v>
      </c>
      <c r="G69" t="str">
        <f>price_label</f>
        <v>£m 23/24 prices</v>
      </c>
      <c r="AU69" s="152">
        <f t="shared" si="18"/>
        <v>88.897781297423037</v>
      </c>
      <c r="AV69" s="12">
        <f t="shared" si="18"/>
        <v>89.860824001141566</v>
      </c>
      <c r="AW69" s="12">
        <f t="shared" si="18"/>
        <v>90.09168093759061</v>
      </c>
      <c r="AX69" s="12">
        <f t="shared" si="18"/>
        <v>89.741398131560942</v>
      </c>
      <c r="AY69" s="12">
        <f t="shared" si="18"/>
        <v>89.755357635925535</v>
      </c>
      <c r="BA69" s="34" t="str">
        <f t="shared" ca="1" si="1"/>
        <v>Totex</v>
      </c>
      <c r="BB69" s="1" t="str">
        <f t="shared" si="16"/>
        <v>Actual totex</v>
      </c>
      <c r="BC69" s="1" t="str">
        <f t="shared" si="17"/>
        <v>Cap Rate 1</v>
      </c>
    </row>
    <row r="70" spans="2:55" x14ac:dyDescent="0.35">
      <c r="E70" s="4" t="s">
        <v>172</v>
      </c>
      <c r="G70" t="str">
        <f>price_label</f>
        <v>£m 23/24 prices</v>
      </c>
      <c r="AU70" s="152">
        <f t="shared" si="18"/>
        <v>82.561096335585418</v>
      </c>
      <c r="AV70" s="12">
        <f t="shared" si="18"/>
        <v>84.893758418321383</v>
      </c>
      <c r="AW70" s="12">
        <f t="shared" si="18"/>
        <v>81.699532022054228</v>
      </c>
      <c r="AX70" s="12">
        <f t="shared" si="18"/>
        <v>78.037545218962663</v>
      </c>
      <c r="AY70" s="12">
        <f t="shared" si="18"/>
        <v>75.692992013280502</v>
      </c>
      <c r="BA70" s="34" t="str">
        <f t="shared" ca="1" si="1"/>
        <v>Totex</v>
      </c>
      <c r="BB70" s="1" t="str">
        <f t="shared" si="16"/>
        <v>Actual totex</v>
      </c>
      <c r="BC70" s="1" t="str">
        <f t="shared" si="17"/>
        <v>Cap Rate 1</v>
      </c>
    </row>
    <row r="71" spans="2:55" x14ac:dyDescent="0.35">
      <c r="E71" s="4"/>
      <c r="BA71" s="34"/>
    </row>
    <row r="72" spans="2:55" ht="17.5" thickBot="1" x14ac:dyDescent="0.45">
      <c r="B72" s="15" t="s">
        <v>276</v>
      </c>
      <c r="E72" s="4"/>
      <c r="AU72" s="51"/>
      <c r="AV72" s="51"/>
      <c r="AW72" s="51"/>
      <c r="AX72" s="51"/>
      <c r="AY72" s="51"/>
      <c r="BA72" s="34"/>
    </row>
    <row r="73" spans="2:55" ht="16.5" thickTop="1" x14ac:dyDescent="0.35">
      <c r="E73" s="4" t="s">
        <v>168</v>
      </c>
      <c r="G73" t="str">
        <f>price_label</f>
        <v>£m 23/24 prices</v>
      </c>
      <c r="AU73" s="152">
        <f t="shared" ref="AU73:AY77" si="19">AU35*AU$25+AU50*AU$26</f>
        <v>4</v>
      </c>
      <c r="AV73" s="12">
        <f t="shared" si="19"/>
        <v>4</v>
      </c>
      <c r="AW73" s="12">
        <f t="shared" si="19"/>
        <v>4</v>
      </c>
      <c r="AX73" s="12">
        <f t="shared" si="19"/>
        <v>4</v>
      </c>
      <c r="AY73" s="12">
        <f t="shared" si="19"/>
        <v>4</v>
      </c>
      <c r="BA73" s="34" t="str">
        <f t="shared" ca="1" si="1"/>
        <v>Totex</v>
      </c>
      <c r="BB73" s="1" t="str">
        <f t="shared" ref="BB73:BB77" si="20">$A$64</f>
        <v>Actual totex</v>
      </c>
      <c r="BC73" s="1" t="str">
        <f>$B$72</f>
        <v>Cap Rate 2</v>
      </c>
    </row>
    <row r="74" spans="2:55" x14ac:dyDescent="0.35">
      <c r="E74" s="4" t="s">
        <v>169</v>
      </c>
      <c r="G74" t="str">
        <f>price_label</f>
        <v>£m 23/24 prices</v>
      </c>
      <c r="AU74" s="152">
        <f t="shared" si="19"/>
        <v>2.2318499579877287</v>
      </c>
      <c r="AV74" s="12">
        <f t="shared" si="19"/>
        <v>2.239342930796151</v>
      </c>
      <c r="AW74" s="12">
        <f t="shared" si="19"/>
        <v>2.2372527984131145</v>
      </c>
      <c r="AX74" s="12">
        <f t="shared" si="19"/>
        <v>5.3156192486347376</v>
      </c>
      <c r="AY74" s="12">
        <f t="shared" si="19"/>
        <v>5.3013564078728628</v>
      </c>
      <c r="BA74" s="34" t="str">
        <f t="shared" ca="1" si="1"/>
        <v>Totex</v>
      </c>
      <c r="BB74" s="1" t="str">
        <f t="shared" si="20"/>
        <v>Actual totex</v>
      </c>
      <c r="BC74" s="1" t="str">
        <f t="shared" ref="BC74:BC77" si="21">$B$72</f>
        <v>Cap Rate 2</v>
      </c>
    </row>
    <row r="75" spans="2:55" x14ac:dyDescent="0.35">
      <c r="E75" s="4" t="s">
        <v>170</v>
      </c>
      <c r="G75" t="str">
        <f>price_label</f>
        <v>£m 23/24 prices</v>
      </c>
      <c r="AU75" s="152">
        <f t="shared" si="19"/>
        <v>0.10206121530286198</v>
      </c>
      <c r="AV75" s="12">
        <f t="shared" si="19"/>
        <v>0.12990934690692862</v>
      </c>
      <c r="AW75" s="12">
        <f t="shared" si="19"/>
        <v>0.14575828722957393</v>
      </c>
      <c r="AX75" s="12">
        <f t="shared" si="19"/>
        <v>3.2607343619369966</v>
      </c>
      <c r="AY75" s="12">
        <f t="shared" si="19"/>
        <v>3.2759283772781451</v>
      </c>
      <c r="BA75" s="34" t="str">
        <f t="shared" ca="1" si="1"/>
        <v>Totex</v>
      </c>
      <c r="BB75" s="1" t="str">
        <f t="shared" si="20"/>
        <v>Actual totex</v>
      </c>
      <c r="BC75" s="1" t="str">
        <f t="shared" si="21"/>
        <v>Cap Rate 2</v>
      </c>
    </row>
    <row r="76" spans="2:55" x14ac:dyDescent="0.35">
      <c r="E76" s="4" t="s">
        <v>171</v>
      </c>
      <c r="G76" t="str">
        <f>price_label</f>
        <v>£m 23/24 prices</v>
      </c>
      <c r="AU76" s="152">
        <f t="shared" si="19"/>
        <v>0.99139983195091386</v>
      </c>
      <c r="AV76" s="12">
        <f t="shared" si="19"/>
        <v>1.0213717231846045</v>
      </c>
      <c r="AW76" s="12">
        <f t="shared" si="19"/>
        <v>1.013011193652458</v>
      </c>
      <c r="AX76" s="12">
        <f t="shared" si="19"/>
        <v>0.92864857803526746</v>
      </c>
      <c r="AY76" s="12">
        <f t="shared" si="19"/>
        <v>0.87159721498776899</v>
      </c>
      <c r="BA76" s="34" t="str">
        <f t="shared" ca="1" si="1"/>
        <v>Totex</v>
      </c>
      <c r="BB76" s="1" t="str">
        <f t="shared" si="20"/>
        <v>Actual totex</v>
      </c>
      <c r="BC76" s="1" t="str">
        <f t="shared" si="21"/>
        <v>Cap Rate 2</v>
      </c>
    </row>
    <row r="77" spans="2:55" x14ac:dyDescent="0.35">
      <c r="E77" s="4" t="s">
        <v>172</v>
      </c>
      <c r="G77" t="str">
        <f>price_label</f>
        <v>£m 23/24 prices</v>
      </c>
      <c r="AU77" s="152">
        <f t="shared" si="19"/>
        <v>0</v>
      </c>
      <c r="AV77" s="12">
        <f t="shared" si="19"/>
        <v>3.1877999999999997</v>
      </c>
      <c r="AW77" s="12">
        <f t="shared" si="19"/>
        <v>3.1877999999999997</v>
      </c>
      <c r="AX77" s="12">
        <f t="shared" si="19"/>
        <v>3.1877999999999997</v>
      </c>
      <c r="AY77" s="12">
        <f t="shared" si="19"/>
        <v>3.1877999999999997</v>
      </c>
      <c r="BA77" s="34" t="str">
        <f t="shared" ca="1" si="1"/>
        <v>Totex</v>
      </c>
      <c r="BB77" s="1" t="str">
        <f t="shared" si="20"/>
        <v>Actual totex</v>
      </c>
      <c r="BC77" s="1" t="str">
        <f t="shared" si="21"/>
        <v>Cap Rate 2</v>
      </c>
    </row>
    <row r="78" spans="2:55" x14ac:dyDescent="0.35">
      <c r="E78" s="4"/>
      <c r="AU78" s="51"/>
      <c r="AV78" s="51"/>
      <c r="AW78" s="51"/>
      <c r="AX78" s="51"/>
      <c r="AY78" s="51"/>
      <c r="BA78" s="34"/>
    </row>
    <row r="79" spans="2:55" ht="17.5" thickBot="1" x14ac:dyDescent="0.45">
      <c r="B79" s="15" t="s">
        <v>242</v>
      </c>
      <c r="E79" s="4"/>
      <c r="AU79" s="51"/>
      <c r="AV79" s="51"/>
      <c r="AW79" s="51"/>
      <c r="AX79" s="51"/>
      <c r="AY79" s="51"/>
      <c r="BA79" s="34"/>
    </row>
    <row r="80" spans="2:55" ht="16.5" thickTop="1" x14ac:dyDescent="0.35">
      <c r="E80" s="4" t="s">
        <v>168</v>
      </c>
      <c r="G80" t="str">
        <f>price_label</f>
        <v>£m 23/24 prices</v>
      </c>
      <c r="AU80" s="152">
        <f t="shared" ref="AU80:AX80" si="22">SUM(AU66,AU73)</f>
        <v>7.6143037918343746</v>
      </c>
      <c r="AV80" s="12">
        <f t="shared" si="22"/>
        <v>7.1280186981753131</v>
      </c>
      <c r="AW80" s="12">
        <f t="shared" si="22"/>
        <v>6.6705142400857698</v>
      </c>
      <c r="AX80" s="12">
        <f t="shared" si="22"/>
        <v>6.6869166496186097</v>
      </c>
      <c r="AY80" s="12">
        <f>SUM(AY66,AY73)</f>
        <v>6.8154219946426151</v>
      </c>
      <c r="AZ80" s="1"/>
      <c r="BA80" s="34" t="str">
        <f t="shared" ca="1" si="1"/>
        <v>Totex</v>
      </c>
      <c r="BB80" s="1" t="str">
        <f t="shared" ref="BB80:BB85" si="23">$A$64</f>
        <v>Actual totex</v>
      </c>
      <c r="BC80" s="1" t="str">
        <f>$B$79</f>
        <v>Total</v>
      </c>
    </row>
    <row r="81" spans="1:55" x14ac:dyDescent="0.35">
      <c r="E81" s="4" t="s">
        <v>169</v>
      </c>
      <c r="G81" t="str">
        <f>price_label</f>
        <v>£m 23/24 prices</v>
      </c>
      <c r="AU81" s="152">
        <f t="shared" ref="AU81:AY81" si="24">SUM(AU67,AU74)</f>
        <v>55.595104369152857</v>
      </c>
      <c r="AV81" s="12">
        <f t="shared" si="24"/>
        <v>63.821466017735254</v>
      </c>
      <c r="AW81" s="12">
        <f t="shared" si="24"/>
        <v>66.859538549061241</v>
      </c>
      <c r="AX81" s="12">
        <f t="shared" si="24"/>
        <v>53.735064406369297</v>
      </c>
      <c r="AY81" s="12">
        <f t="shared" si="24"/>
        <v>45.439685772859491</v>
      </c>
      <c r="AZ81" s="1"/>
      <c r="BA81" s="34" t="str">
        <f t="shared" ca="1" si="1"/>
        <v>Totex</v>
      </c>
      <c r="BB81" s="1" t="str">
        <f t="shared" si="23"/>
        <v>Actual totex</v>
      </c>
      <c r="BC81" s="1" t="str">
        <f t="shared" ref="BC81:BC85" si="25">$B$79</f>
        <v>Total</v>
      </c>
    </row>
    <row r="82" spans="1:55" x14ac:dyDescent="0.35">
      <c r="E82" s="4" t="s">
        <v>170</v>
      </c>
      <c r="G82" t="str">
        <f>price_label</f>
        <v>£m 23/24 prices</v>
      </c>
      <c r="AU82" s="152">
        <f t="shared" ref="AU82:AY82" si="26">SUM(AU68,AU75)</f>
        <v>24.071744166948285</v>
      </c>
      <c r="AV82" s="12">
        <f t="shared" si="26"/>
        <v>21.885724305323308</v>
      </c>
      <c r="AW82" s="12">
        <f t="shared" si="26"/>
        <v>21.585665075318726</v>
      </c>
      <c r="AX82" s="12">
        <f t="shared" si="26"/>
        <v>24.837986985015121</v>
      </c>
      <c r="AY82" s="12">
        <f t="shared" si="26"/>
        <v>22.769454314640747</v>
      </c>
      <c r="AZ82" s="1"/>
      <c r="BA82" s="34" t="str">
        <f t="shared" ca="1" si="1"/>
        <v>Totex</v>
      </c>
      <c r="BB82" s="1" t="str">
        <f t="shared" si="23"/>
        <v>Actual totex</v>
      </c>
      <c r="BC82" s="1" t="str">
        <f t="shared" si="25"/>
        <v>Total</v>
      </c>
    </row>
    <row r="83" spans="1:55" x14ac:dyDescent="0.35">
      <c r="E83" s="4" t="s">
        <v>171</v>
      </c>
      <c r="G83" t="str">
        <f>price_label</f>
        <v>£m 23/24 prices</v>
      </c>
      <c r="AU83" s="152">
        <f t="shared" ref="AU83:AY83" si="27">SUM(AU69,AU76)</f>
        <v>89.889181129373952</v>
      </c>
      <c r="AV83" s="12">
        <f t="shared" si="27"/>
        <v>90.882195724326166</v>
      </c>
      <c r="AW83" s="12">
        <f t="shared" si="27"/>
        <v>91.10469213124307</v>
      </c>
      <c r="AX83" s="12">
        <f t="shared" si="27"/>
        <v>90.670046709596207</v>
      </c>
      <c r="AY83" s="12">
        <f t="shared" si="27"/>
        <v>90.626954850913307</v>
      </c>
      <c r="AZ83" s="1"/>
      <c r="BA83" s="34" t="str">
        <f t="shared" ca="1" si="1"/>
        <v>Totex</v>
      </c>
      <c r="BB83" s="1" t="str">
        <f t="shared" si="23"/>
        <v>Actual totex</v>
      </c>
      <c r="BC83" s="1" t="str">
        <f t="shared" si="25"/>
        <v>Total</v>
      </c>
    </row>
    <row r="84" spans="1:55" x14ac:dyDescent="0.35">
      <c r="E84" s="4" t="s">
        <v>172</v>
      </c>
      <c r="G84" t="str">
        <f>price_label</f>
        <v>£m 23/24 prices</v>
      </c>
      <c r="AU84" s="152">
        <f t="shared" ref="AU84:AY84" si="28">SUM(AU70,AU77)</f>
        <v>82.561096335585418</v>
      </c>
      <c r="AV84" s="12">
        <f t="shared" si="28"/>
        <v>88.081558418321379</v>
      </c>
      <c r="AW84" s="12">
        <f t="shared" si="28"/>
        <v>84.887332022054224</v>
      </c>
      <c r="AX84" s="12">
        <f t="shared" si="28"/>
        <v>81.225345218962659</v>
      </c>
      <c r="AY84" s="12">
        <f t="shared" si="28"/>
        <v>78.880792013280498</v>
      </c>
      <c r="AZ84" s="1"/>
      <c r="BA84" s="34" t="str">
        <f t="shared" ca="1" si="1"/>
        <v>Totex</v>
      </c>
      <c r="BB84" s="1" t="str">
        <f t="shared" si="23"/>
        <v>Actual totex</v>
      </c>
      <c r="BC84" s="1" t="str">
        <f t="shared" si="25"/>
        <v>Total</v>
      </c>
    </row>
    <row r="85" spans="1:55" x14ac:dyDescent="0.35">
      <c r="E85" s="4" t="s">
        <v>242</v>
      </c>
      <c r="AU85" s="155">
        <f t="shared" ref="AU85:AY85" si="29">SUM(AU80:AU84)</f>
        <v>259.73142979289491</v>
      </c>
      <c r="AV85" s="52">
        <f t="shared" si="29"/>
        <v>271.79896316388141</v>
      </c>
      <c r="AW85" s="52">
        <f t="shared" si="29"/>
        <v>271.10774201776303</v>
      </c>
      <c r="AX85" s="52">
        <f t="shared" si="29"/>
        <v>257.15535996956191</v>
      </c>
      <c r="AY85" s="52">
        <f t="shared" si="29"/>
        <v>244.53230894633663</v>
      </c>
      <c r="AZ85" s="1"/>
      <c r="BA85" s="34" t="str">
        <f t="shared" ca="1" si="1"/>
        <v>Totex</v>
      </c>
      <c r="BB85" s="1" t="str">
        <f t="shared" si="23"/>
        <v>Actual totex</v>
      </c>
      <c r="BC85" s="1" t="str">
        <f t="shared" si="25"/>
        <v>Total</v>
      </c>
    </row>
    <row r="86" spans="1:55" x14ac:dyDescent="0.35"/>
    <row r="87" spans="1:55" ht="20" thickBot="1" x14ac:dyDescent="0.5">
      <c r="A87" s="13" t="s">
        <v>386</v>
      </c>
    </row>
    <row r="88" spans="1:55" ht="16.5" thickTop="1" x14ac:dyDescent="0.35"/>
    <row r="89" spans="1:55" x14ac:dyDescent="0.35"/>
  </sheetData>
  <conditionalFormatting sqref="H1">
    <cfRule type="cellIs" dxfId="12" priority="1" operator="equal">
      <formula>"ERROR"</formula>
    </cfRule>
  </conditionalFormatting>
  <pageMargins left="0.7" right="0.7" top="0.75" bottom="0.75" header="0.3" footer="0.3"/>
  <pageSetup paperSize="9" orientation="portrait" r:id="rId1"/>
  <headerFooter>
    <oddHeader>&amp;L&amp;"Aptos"&amp;10&amp;K000000 Classified as Internal&amp;1#_x000D_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Drop Down 1">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2A27D-2AB3-4C2E-8198-1E50CF09B230}">
  <sheetPr codeName="Sheet6">
    <tabColor rgb="FFBAA0CC"/>
    <pageSetUpPr autoPageBreaks="0"/>
  </sheetPr>
  <dimension ref="A1:BF70"/>
  <sheetViews>
    <sheetView zoomScaleNormal="100" workbookViewId="0">
      <pane xSplit="46" ySplit="4" topLeftCell="AU5" activePane="bottomRight" state="frozen"/>
      <selection pane="topRight" activeCell="AU1" sqref="AU1"/>
      <selection pane="bottomLeft" activeCell="A5" sqref="A5"/>
      <selection pane="bottomRight"/>
    </sheetView>
  </sheetViews>
  <sheetFormatPr defaultColWidth="0" defaultRowHeight="16" zeroHeight="1" outlineLevelRow="1" outlineLevelCol="1" x14ac:dyDescent="0.35"/>
  <cols>
    <col min="1" max="3" width="1.90625" customWidth="1"/>
    <col min="4" max="4" width="15.6328125" customWidth="1"/>
    <col min="5" max="5" width="65.6328125" customWidth="1"/>
    <col min="6" max="6" width="8.6328125" customWidth="1"/>
    <col min="7" max="7" width="17.6328125" customWidth="1"/>
    <col min="8" max="8" width="9.6328125" customWidth="1"/>
    <col min="9" max="9" width="11.6328125" customWidth="1"/>
    <col min="10" max="10" width="2.08984375" customWidth="1"/>
    <col min="11" max="45" width="11.6328125" hidden="1" customWidth="1" outlineLevel="1"/>
    <col min="46" max="46" width="11.6328125" style="61" hidden="1" customWidth="1" outlineLevel="1"/>
    <col min="47" max="47" width="11.6328125" customWidth="1" collapsed="1"/>
    <col min="48" max="51" width="11.6328125" customWidth="1"/>
    <col min="52" max="52" width="18.6328125" customWidth="1"/>
    <col min="53" max="55" width="10.6328125" style="1" customWidth="1"/>
    <col min="56" max="57" width="10.6328125" customWidth="1"/>
    <col min="58" max="58" width="1.6328125" style="6" customWidth="1"/>
    <col min="59" max="16384" width="9.08984375" hidden="1"/>
  </cols>
  <sheetData>
    <row r="1" spans="1:55" s="90" customFormat="1" x14ac:dyDescent="0.35">
      <c r="A1" s="95" t="str" cm="1">
        <f t="array" aca="1" ref="A1" ca="1">MID(CELL("filename",$A$1),FIND("]",CELL("filename",$A$1))+1,255)</f>
        <v>TIM</v>
      </c>
      <c r="E1" s="107"/>
      <c r="G1" s="90" t="s">
        <v>572</v>
      </c>
      <c r="H1" s="27" t="e">
        <f>Checks!I7</f>
        <v>#REF!</v>
      </c>
      <c r="AT1" s="96"/>
    </row>
    <row r="2" spans="1:55" s="90" customFormat="1" ht="15" customHeight="1" x14ac:dyDescent="0.35">
      <c r="AT2" s="96"/>
    </row>
    <row r="3" spans="1:55" s="90" customFormat="1" ht="15" customHeight="1" x14ac:dyDescent="0.35">
      <c r="E3" s="90" t="s">
        <v>1</v>
      </c>
      <c r="F3" s="90" t="s">
        <v>2</v>
      </c>
      <c r="G3" s="90" t="s">
        <v>3</v>
      </c>
      <c r="H3" s="90" t="s">
        <v>4</v>
      </c>
      <c r="I3" s="90" t="s">
        <v>5</v>
      </c>
      <c r="AT3" s="96"/>
      <c r="AU3" s="90" t="s">
        <v>6</v>
      </c>
    </row>
    <row r="4" spans="1:55" s="90" customFormat="1" ht="15" customHeight="1" x14ac:dyDescent="0.35">
      <c r="D4" s="92" t="s">
        <v>459</v>
      </c>
      <c r="E4" s="90" t="s">
        <v>7</v>
      </c>
      <c r="K4" s="93">
        <v>33328</v>
      </c>
      <c r="L4" s="93">
        <v>33694</v>
      </c>
      <c r="M4" s="93">
        <v>34059</v>
      </c>
      <c r="N4" s="93">
        <v>34424</v>
      </c>
      <c r="O4" s="93">
        <v>34789</v>
      </c>
      <c r="P4" s="93">
        <v>35155</v>
      </c>
      <c r="Q4" s="93">
        <v>35520</v>
      </c>
      <c r="R4" s="93">
        <v>35885</v>
      </c>
      <c r="S4" s="93">
        <v>36250</v>
      </c>
      <c r="T4" s="93">
        <v>36616</v>
      </c>
      <c r="U4" s="93">
        <v>36981</v>
      </c>
      <c r="V4" s="93">
        <v>37346</v>
      </c>
      <c r="W4" s="93">
        <v>37711</v>
      </c>
      <c r="X4" s="93">
        <v>38077</v>
      </c>
      <c r="Y4" s="93">
        <v>38442</v>
      </c>
      <c r="Z4" s="93">
        <v>38807</v>
      </c>
      <c r="AA4" s="93">
        <v>39172</v>
      </c>
      <c r="AB4" s="93">
        <v>39538</v>
      </c>
      <c r="AC4" s="93">
        <v>39903</v>
      </c>
      <c r="AD4" s="93">
        <v>40268</v>
      </c>
      <c r="AE4" s="93">
        <v>40633</v>
      </c>
      <c r="AF4" s="93">
        <v>40999</v>
      </c>
      <c r="AG4" s="93">
        <v>41364</v>
      </c>
      <c r="AH4" s="93">
        <v>41729</v>
      </c>
      <c r="AI4" s="93">
        <v>42094</v>
      </c>
      <c r="AJ4" s="93">
        <v>42460</v>
      </c>
      <c r="AK4" s="93">
        <v>42825</v>
      </c>
      <c r="AL4" s="93">
        <v>43190</v>
      </c>
      <c r="AM4" s="93">
        <v>43555</v>
      </c>
      <c r="AN4" s="93">
        <v>43921</v>
      </c>
      <c r="AO4" s="93">
        <v>44286</v>
      </c>
      <c r="AP4" s="93">
        <v>44651</v>
      </c>
      <c r="AQ4" s="93">
        <v>45016</v>
      </c>
      <c r="AR4" s="93">
        <v>45382</v>
      </c>
      <c r="AS4" s="93">
        <v>45747</v>
      </c>
      <c r="AT4" s="94">
        <v>46112</v>
      </c>
      <c r="AU4" s="93">
        <v>46477</v>
      </c>
      <c r="AV4" s="93">
        <v>46843</v>
      </c>
      <c r="AW4" s="93">
        <v>47208</v>
      </c>
      <c r="AX4" s="93">
        <v>47573</v>
      </c>
      <c r="AY4" s="93">
        <v>47938</v>
      </c>
      <c r="BA4" s="92" t="s">
        <v>591</v>
      </c>
      <c r="BB4" s="92" t="s">
        <v>592</v>
      </c>
      <c r="BC4" s="92" t="s">
        <v>593</v>
      </c>
    </row>
    <row r="5" spans="1:55" x14ac:dyDescent="0.35"/>
    <row r="6" spans="1:55" ht="20" thickBot="1" x14ac:dyDescent="0.5">
      <c r="A6" s="13" t="s">
        <v>484</v>
      </c>
    </row>
    <row r="7" spans="1:55" ht="16.5" outlineLevel="1" thickTop="1" x14ac:dyDescent="0.35">
      <c r="D7" s="1" t="str" cm="1">
        <f t="array" aca="1" ref="D7" ca="1">IFERROR(MID(_xlfn.FORMULATEXT(I7),FIND("=",_xlfn.FORMULATEXT(I7))+1,FIND("!",_xlfn.FORMULATEXT(I7))-2),MID(_xlfn.FORMULATEXT(INDEX(L7:AV7,MATCH(FALSE,ISBLANK(L7:AV7),0))),FIND("=",_xlfn.FORMULATEXT(INDEX(L7:AV7,MATCH(FALSE,ISBLANK(L7:AV7),0))))+1,FIND("!",_xlfn.FORMULATEXT(INDEX(L7:AV7,MATCH(FALSE,ISBLANK(L7:AV7),0))))-2))</f>
        <v>Totex</v>
      </c>
      <c r="E7" t="s">
        <v>765</v>
      </c>
      <c r="G7" t="str">
        <f>price_label</f>
        <v>£m 23/24 prices</v>
      </c>
      <c r="AU7" s="148">
        <f>Totex!AU66</f>
        <v>3.6143037918343746</v>
      </c>
      <c r="AV7" s="50">
        <f>Totex!AV66</f>
        <v>3.1280186981753131</v>
      </c>
      <c r="AW7" s="50">
        <f>Totex!AW66</f>
        <v>2.6705142400857698</v>
      </c>
      <c r="AX7" s="50">
        <f>Totex!AX66</f>
        <v>2.6869166496186092</v>
      </c>
      <c r="AY7" s="50">
        <f>Totex!AY66</f>
        <v>2.8154219946426151</v>
      </c>
    </row>
    <row r="8" spans="1:55" outlineLevel="1" x14ac:dyDescent="0.35">
      <c r="D8" s="1" t="str" cm="1">
        <f t="array" aca="1" ref="D8" ca="1">IFERROR(MID(_xlfn.FORMULATEXT(I8),FIND("=",_xlfn.FORMULATEXT(I8))+1,FIND("!",_xlfn.FORMULATEXT(I8))-2),MID(_xlfn.FORMULATEXT(INDEX(L8:AV8,MATCH(FALSE,ISBLANK(L8:AV8),0))),FIND("=",_xlfn.FORMULATEXT(INDEX(L8:AV8,MATCH(FALSE,ISBLANK(L8:AV8),0))))+1,FIND("!",_xlfn.FORMULATEXT(INDEX(L8:AV8,MATCH(FALSE,ISBLANK(L8:AV8),0))))-2))</f>
        <v>Totex</v>
      </c>
      <c r="E8" t="s">
        <v>766</v>
      </c>
      <c r="G8" t="str">
        <f>price_label</f>
        <v>£m 23/24 prices</v>
      </c>
      <c r="AU8" s="148">
        <f>Totex!AU67</f>
        <v>53.36325441116513</v>
      </c>
      <c r="AV8" s="50">
        <f>Totex!AV67</f>
        <v>61.582123086939106</v>
      </c>
      <c r="AW8" s="50">
        <f>Totex!AW67</f>
        <v>64.622285750648132</v>
      </c>
      <c r="AX8" s="50">
        <f>Totex!AX67</f>
        <v>48.419445157734557</v>
      </c>
      <c r="AY8" s="50">
        <f>Totex!AY67</f>
        <v>40.138329364986632</v>
      </c>
    </row>
    <row r="9" spans="1:55" outlineLevel="1" x14ac:dyDescent="0.35">
      <c r="D9" s="1" t="str" cm="1">
        <f t="array" aca="1" ref="D9" ca="1">IFERROR(MID(_xlfn.FORMULATEXT(I9),FIND("=",_xlfn.FORMULATEXT(I9))+1,FIND("!",_xlfn.FORMULATEXT(I9))-2),MID(_xlfn.FORMULATEXT(INDEX(L9:AV9,MATCH(FALSE,ISBLANK(L9:AV9),0))),FIND("=",_xlfn.FORMULATEXT(INDEX(L9:AV9,MATCH(FALSE,ISBLANK(L9:AV9),0))))+1,FIND("!",_xlfn.FORMULATEXT(INDEX(L9:AV9,MATCH(FALSE,ISBLANK(L9:AV9),0))))-2))</f>
        <v>Totex</v>
      </c>
      <c r="E9" t="s">
        <v>767</v>
      </c>
      <c r="G9" t="str">
        <f>price_label</f>
        <v>£m 23/24 prices</v>
      </c>
      <c r="AU9" s="148">
        <f>Totex!AU68</f>
        <v>23.969682951645424</v>
      </c>
      <c r="AV9" s="50">
        <f>Totex!AV68</f>
        <v>21.75581495841638</v>
      </c>
      <c r="AW9" s="50">
        <f>Totex!AW68</f>
        <v>21.439906788089154</v>
      </c>
      <c r="AX9" s="50">
        <f>Totex!AX68</f>
        <v>21.577252623078124</v>
      </c>
      <c r="AY9" s="50">
        <f>Totex!AY68</f>
        <v>19.493525937362602</v>
      </c>
    </row>
    <row r="10" spans="1:55" outlineLevel="1" x14ac:dyDescent="0.35">
      <c r="D10" s="1" t="str" cm="1">
        <f t="array" aca="1" ref="D10" ca="1">IFERROR(MID(_xlfn.FORMULATEXT(I10),FIND("=",_xlfn.FORMULATEXT(I10))+1,FIND("!",_xlfn.FORMULATEXT(I10))-2),MID(_xlfn.FORMULATEXT(INDEX(L10:AV10,MATCH(FALSE,ISBLANK(L10:AV10),0))),FIND("=",_xlfn.FORMULATEXT(INDEX(L10:AV10,MATCH(FALSE,ISBLANK(L10:AV10),0))))+1,FIND("!",_xlfn.FORMULATEXT(INDEX(L10:AV10,MATCH(FALSE,ISBLANK(L10:AV10),0))))-2))</f>
        <v>Totex</v>
      </c>
      <c r="E10" t="s">
        <v>768</v>
      </c>
      <c r="G10" t="str">
        <f>price_label</f>
        <v>£m 23/24 prices</v>
      </c>
      <c r="AU10" s="148">
        <f>Totex!AU69</f>
        <v>88.897781297423037</v>
      </c>
      <c r="AV10" s="50">
        <f>Totex!AV69</f>
        <v>89.860824001141566</v>
      </c>
      <c r="AW10" s="50">
        <f>Totex!AW69</f>
        <v>90.09168093759061</v>
      </c>
      <c r="AX10" s="50">
        <f>Totex!AX69</f>
        <v>89.741398131560942</v>
      </c>
      <c r="AY10" s="50">
        <f>Totex!AY69</f>
        <v>89.755357635925535</v>
      </c>
    </row>
    <row r="11" spans="1:55" outlineLevel="1" x14ac:dyDescent="0.35">
      <c r="D11" s="1" t="str" cm="1">
        <f t="array" aca="1" ref="D11" ca="1">IFERROR(MID(_xlfn.FORMULATEXT(I11),FIND("=",_xlfn.FORMULATEXT(I11))+1,FIND("!",_xlfn.FORMULATEXT(I11))-2),MID(_xlfn.FORMULATEXT(INDEX(L11:AV11,MATCH(FALSE,ISBLANK(L11:AV11),0))),FIND("=",_xlfn.FORMULATEXT(INDEX(L11:AV11,MATCH(FALSE,ISBLANK(L11:AV11),0))))+1,FIND("!",_xlfn.FORMULATEXT(INDEX(L11:AV11,MATCH(FALSE,ISBLANK(L11:AV11),0))))-2))</f>
        <v>Totex</v>
      </c>
      <c r="E11" t="s">
        <v>769</v>
      </c>
      <c r="G11" t="str">
        <f>price_label</f>
        <v>£m 23/24 prices</v>
      </c>
      <c r="AU11" s="148">
        <f>Totex!AU70</f>
        <v>82.561096335585418</v>
      </c>
      <c r="AV11" s="50">
        <f>Totex!AV70</f>
        <v>84.893758418321383</v>
      </c>
      <c r="AW11" s="50">
        <f>Totex!AW70</f>
        <v>81.699532022054228</v>
      </c>
      <c r="AX11" s="50">
        <f>Totex!AX70</f>
        <v>78.037545218962663</v>
      </c>
      <c r="AY11" s="50">
        <f>Totex!AY70</f>
        <v>75.692992013280502</v>
      </c>
    </row>
    <row r="12" spans="1:55" outlineLevel="1" x14ac:dyDescent="0.35">
      <c r="D12" s="1"/>
    </row>
    <row r="13" spans="1:55" outlineLevel="1" x14ac:dyDescent="0.35">
      <c r="D13" s="1" t="str" cm="1">
        <f t="array" aca="1" ref="D13" ca="1">IFERROR(MID(_xlfn.FORMULATEXT(I13),FIND("=",_xlfn.FORMULATEXT(I13))+1,FIND("!",_xlfn.FORMULATEXT(I13))-2),MID(_xlfn.FORMULATEXT(INDEX(L13:AV13,MATCH(FALSE,ISBLANK(L13:AV13),0))),FIND("=",_xlfn.FORMULATEXT(INDEX(L13:AV13,MATCH(FALSE,ISBLANK(L13:AV13),0))))+1,FIND("!",_xlfn.FORMULATEXT(INDEX(L13:AV13,MATCH(FALSE,ISBLANK(L13:AV13),0))))-2))</f>
        <v>Totex</v>
      </c>
      <c r="E13" t="s">
        <v>775</v>
      </c>
      <c r="G13" t="str">
        <f>price_label</f>
        <v>£m 23/24 prices</v>
      </c>
      <c r="AU13" s="148">
        <f>Totex!AU73</f>
        <v>4</v>
      </c>
      <c r="AV13" s="50">
        <f>Totex!AV73</f>
        <v>4</v>
      </c>
      <c r="AW13" s="50">
        <f>Totex!AW73</f>
        <v>4</v>
      </c>
      <c r="AX13" s="50">
        <f>Totex!AX73</f>
        <v>4</v>
      </c>
      <c r="AY13" s="50">
        <f>Totex!AY73</f>
        <v>4</v>
      </c>
    </row>
    <row r="14" spans="1:55" outlineLevel="1" x14ac:dyDescent="0.35">
      <c r="D14" s="1" t="str" cm="1">
        <f t="array" aca="1" ref="D14" ca="1">IFERROR(MID(_xlfn.FORMULATEXT(I14),FIND("=",_xlfn.FORMULATEXT(I14))+1,FIND("!",_xlfn.FORMULATEXT(I14))-2),MID(_xlfn.FORMULATEXT(INDEX(L14:AV14,MATCH(FALSE,ISBLANK(L14:AV14),0))),FIND("=",_xlfn.FORMULATEXT(INDEX(L14:AV14,MATCH(FALSE,ISBLANK(L14:AV14),0))))+1,FIND("!",_xlfn.FORMULATEXT(INDEX(L14:AV14,MATCH(FALSE,ISBLANK(L14:AV14),0))))-2))</f>
        <v>Totex</v>
      </c>
      <c r="E14" t="s">
        <v>776</v>
      </c>
      <c r="G14" t="str">
        <f>price_label</f>
        <v>£m 23/24 prices</v>
      </c>
      <c r="AU14" s="148">
        <f>Totex!AU74</f>
        <v>2.2318499579877287</v>
      </c>
      <c r="AV14" s="50">
        <f>Totex!AV74</f>
        <v>2.239342930796151</v>
      </c>
      <c r="AW14" s="50">
        <f>Totex!AW74</f>
        <v>2.2372527984131145</v>
      </c>
      <c r="AX14" s="50">
        <f>Totex!AX74</f>
        <v>5.3156192486347376</v>
      </c>
      <c r="AY14" s="50">
        <f>Totex!AY74</f>
        <v>5.3013564078728628</v>
      </c>
    </row>
    <row r="15" spans="1:55" outlineLevel="1" x14ac:dyDescent="0.35">
      <c r="D15" s="1" t="str" cm="1">
        <f t="array" aca="1" ref="D15" ca="1">IFERROR(MID(_xlfn.FORMULATEXT(I15),FIND("=",_xlfn.FORMULATEXT(I15))+1,FIND("!",_xlfn.FORMULATEXT(I15))-2),MID(_xlfn.FORMULATEXT(INDEX(L15:AV15,MATCH(FALSE,ISBLANK(L15:AV15),0))),FIND("=",_xlfn.FORMULATEXT(INDEX(L15:AV15,MATCH(FALSE,ISBLANK(L15:AV15),0))))+1,FIND("!",_xlfn.FORMULATEXT(INDEX(L15:AV15,MATCH(FALSE,ISBLANK(L15:AV15),0))))-2))</f>
        <v>Totex</v>
      </c>
      <c r="E15" t="s">
        <v>777</v>
      </c>
      <c r="G15" t="str">
        <f>price_label</f>
        <v>£m 23/24 prices</v>
      </c>
      <c r="AU15" s="148">
        <f>Totex!AU75</f>
        <v>0.10206121530286198</v>
      </c>
      <c r="AV15" s="50">
        <f>Totex!AV75</f>
        <v>0.12990934690692862</v>
      </c>
      <c r="AW15" s="50">
        <f>Totex!AW75</f>
        <v>0.14575828722957393</v>
      </c>
      <c r="AX15" s="50">
        <f>Totex!AX75</f>
        <v>3.2607343619369966</v>
      </c>
      <c r="AY15" s="50">
        <f>Totex!AY75</f>
        <v>3.2759283772781451</v>
      </c>
    </row>
    <row r="16" spans="1:55" outlineLevel="1" x14ac:dyDescent="0.35">
      <c r="A16" s="1"/>
      <c r="D16" s="1" t="str" cm="1">
        <f t="array" aca="1" ref="D16" ca="1">IFERROR(MID(_xlfn.FORMULATEXT(I16),FIND("=",_xlfn.FORMULATEXT(I16))+1,FIND("!",_xlfn.FORMULATEXT(I16))-2),MID(_xlfn.FORMULATEXT(INDEX(L16:AV16,MATCH(FALSE,ISBLANK(L16:AV16),0))),FIND("=",_xlfn.FORMULATEXT(INDEX(L16:AV16,MATCH(FALSE,ISBLANK(L16:AV16),0))))+1,FIND("!",_xlfn.FORMULATEXT(INDEX(L16:AV16,MATCH(FALSE,ISBLANK(L16:AV16),0))))-2))</f>
        <v>Totex</v>
      </c>
      <c r="E16" t="s">
        <v>778</v>
      </c>
      <c r="G16" t="str">
        <f>price_label</f>
        <v>£m 23/24 prices</v>
      </c>
      <c r="AU16" s="148">
        <f>Totex!AU76</f>
        <v>0.99139983195091386</v>
      </c>
      <c r="AV16" s="50">
        <f>Totex!AV76</f>
        <v>1.0213717231846045</v>
      </c>
      <c r="AW16" s="50">
        <f>Totex!AW76</f>
        <v>1.013011193652458</v>
      </c>
      <c r="AX16" s="50">
        <f>Totex!AX76</f>
        <v>0.92864857803526746</v>
      </c>
      <c r="AY16" s="50">
        <f>Totex!AY76</f>
        <v>0.87159721498776899</v>
      </c>
      <c r="BA16" s="34"/>
    </row>
    <row r="17" spans="1:58" outlineLevel="1" x14ac:dyDescent="0.35">
      <c r="A17" s="1"/>
      <c r="D17" s="1" t="str" cm="1">
        <f t="array" aca="1" ref="D17" ca="1">IFERROR(MID(_xlfn.FORMULATEXT(I17),FIND("=",_xlfn.FORMULATEXT(I17))+1,FIND("!",_xlfn.FORMULATEXT(I17))-2),MID(_xlfn.FORMULATEXT(INDEX(L17:AV17,MATCH(FALSE,ISBLANK(L17:AV17),0))),FIND("=",_xlfn.FORMULATEXT(INDEX(L17:AV17,MATCH(FALSE,ISBLANK(L17:AV17),0))))+1,FIND("!",_xlfn.FORMULATEXT(INDEX(L17:AV17,MATCH(FALSE,ISBLANK(L17:AV17),0))))-2))</f>
        <v>Totex</v>
      </c>
      <c r="E17" t="s">
        <v>779</v>
      </c>
      <c r="G17" t="str">
        <f>price_label</f>
        <v>£m 23/24 prices</v>
      </c>
      <c r="AU17" s="148">
        <f>Totex!AU77</f>
        <v>0</v>
      </c>
      <c r="AV17" s="50">
        <f>Totex!AV77</f>
        <v>3.1877999999999997</v>
      </c>
      <c r="AW17" s="50">
        <f>Totex!AW77</f>
        <v>3.1877999999999997</v>
      </c>
      <c r="AX17" s="50">
        <f>Totex!AX77</f>
        <v>3.1877999999999997</v>
      </c>
      <c r="AY17" s="50">
        <f>Totex!AY77</f>
        <v>3.1877999999999997</v>
      </c>
      <c r="BA17" s="34"/>
    </row>
    <row r="18" spans="1:58" outlineLevel="1" x14ac:dyDescent="0.35">
      <c r="A18" s="3"/>
      <c r="AU18" s="51"/>
      <c r="AV18" s="51"/>
      <c r="AW18" s="51"/>
      <c r="AX18" s="51"/>
      <c r="AY18" s="51"/>
      <c r="BA18" s="34"/>
    </row>
    <row r="19" spans="1:58" outlineLevel="1" x14ac:dyDescent="0.35">
      <c r="A19" s="1"/>
      <c r="D19" s="1" t="str" cm="1">
        <f t="array" aca="1" ref="D19" ca="1">IFERROR(MID(_xlfn.FORMULATEXT(I19),FIND("=",_xlfn.FORMULATEXT(I19))+1,FIND("!",_xlfn.FORMULATEXT(I19))-2),MID(_xlfn.FORMULATEXT(INDEX(L19:AV19,MATCH(FALSE,ISBLANK(L19:AV19),0))),FIND("=",_xlfn.FORMULATEXT(INDEX(L19:AV19,MATCH(FALSE,ISBLANK(L19:AV19),0))))+1,FIND("!",_xlfn.FORMULATEXT(INDEX(L19:AV19,MATCH(FALSE,ISBLANK(L19:AV19),0))))-2))</f>
        <v>Totex</v>
      </c>
      <c r="E19" t="s">
        <v>770</v>
      </c>
      <c r="G19" t="str">
        <f>price_label</f>
        <v>£m 23/24 prices</v>
      </c>
      <c r="AU19" s="148">
        <f>Totex!AU43</f>
        <v>3.6143037918343746</v>
      </c>
      <c r="AV19" s="50">
        <f>Totex!AV43</f>
        <v>3.1280186981753131</v>
      </c>
      <c r="AW19" s="50">
        <f>Totex!AW43</f>
        <v>2.6705142400857698</v>
      </c>
      <c r="AX19" s="50">
        <f>Totex!AX43</f>
        <v>2.6869166496186092</v>
      </c>
      <c r="AY19" s="50">
        <f>Totex!AY43</f>
        <v>2.8154219946426151</v>
      </c>
    </row>
    <row r="20" spans="1:58" outlineLevel="1" x14ac:dyDescent="0.35">
      <c r="A20" s="1"/>
      <c r="D20" s="1" t="str" cm="1">
        <f t="array" aca="1" ref="D20" ca="1">IFERROR(MID(_xlfn.FORMULATEXT(I20),FIND("=",_xlfn.FORMULATEXT(I20))+1,FIND("!",_xlfn.FORMULATEXT(I20))-2),MID(_xlfn.FORMULATEXT(INDEX(L20:AV20,MATCH(FALSE,ISBLANK(L20:AV20),0))),FIND("=",_xlfn.FORMULATEXT(INDEX(L20:AV20,MATCH(FALSE,ISBLANK(L20:AV20),0))))+1,FIND("!",_xlfn.FORMULATEXT(INDEX(L20:AV20,MATCH(FALSE,ISBLANK(L20:AV20),0))))-2))</f>
        <v>Totex</v>
      </c>
      <c r="E20" t="s">
        <v>771</v>
      </c>
      <c r="G20" t="str">
        <f>price_label</f>
        <v>£m 23/24 prices</v>
      </c>
      <c r="AU20" s="148">
        <f>Totex!AU44</f>
        <v>53.953377094905505</v>
      </c>
      <c r="AV20" s="50">
        <f>Totex!AV44</f>
        <v>62.172245770679481</v>
      </c>
      <c r="AW20" s="50">
        <f>Totex!AW44</f>
        <v>65.212408434388507</v>
      </c>
      <c r="AX20" s="50">
        <f>Totex!AX44</f>
        <v>49.009567841474933</v>
      </c>
      <c r="AY20" s="50">
        <f>Totex!AY44</f>
        <v>40.728452048727007</v>
      </c>
    </row>
    <row r="21" spans="1:58" outlineLevel="1" x14ac:dyDescent="0.35">
      <c r="A21" s="1"/>
      <c r="D21" s="1" t="str" cm="1">
        <f t="array" aca="1" ref="D21" ca="1">IFERROR(MID(_xlfn.FORMULATEXT(I21),FIND("=",_xlfn.FORMULATEXT(I21))+1,FIND("!",_xlfn.FORMULATEXT(I21))-2),MID(_xlfn.FORMULATEXT(INDEX(L21:AV21,MATCH(FALSE,ISBLANK(L21:AV21),0))),FIND("=",_xlfn.FORMULATEXT(INDEX(L21:AV21,MATCH(FALSE,ISBLANK(L21:AV21),0))))+1,FIND("!",_xlfn.FORMULATEXT(INDEX(L21:AV21,MATCH(FALSE,ISBLANK(L21:AV21),0))))-2))</f>
        <v>Totex</v>
      </c>
      <c r="E21" t="s">
        <v>772</v>
      </c>
      <c r="G21" t="str">
        <f>price_label</f>
        <v>£m 23/24 prices</v>
      </c>
      <c r="AU21" s="148">
        <f>Totex!AU45</f>
        <v>23.969682951645424</v>
      </c>
      <c r="AV21" s="50">
        <f>Totex!AV45</f>
        <v>21.75581495841638</v>
      </c>
      <c r="AW21" s="50">
        <f>Totex!AW45</f>
        <v>21.439906788089154</v>
      </c>
      <c r="AX21" s="50">
        <f>Totex!AX45</f>
        <v>21.577252623078124</v>
      </c>
      <c r="AY21" s="50">
        <f>Totex!AY45</f>
        <v>19.493525937362602</v>
      </c>
    </row>
    <row r="22" spans="1:58" outlineLevel="1" x14ac:dyDescent="0.35">
      <c r="A22" s="1"/>
      <c r="D22" s="1" t="str" cm="1">
        <f t="array" aca="1" ref="D22" ca="1">IFERROR(MID(_xlfn.FORMULATEXT(I22),FIND("=",_xlfn.FORMULATEXT(I22))+1,FIND("!",_xlfn.FORMULATEXT(I22))-2),MID(_xlfn.FORMULATEXT(INDEX(L22:AV22,MATCH(FALSE,ISBLANK(L22:AV22),0))),FIND("=",_xlfn.FORMULATEXT(INDEX(L22:AV22,MATCH(FALSE,ISBLANK(L22:AV22),0))))+1,FIND("!",_xlfn.FORMULATEXT(INDEX(L22:AV22,MATCH(FALSE,ISBLANK(L22:AV22),0))))-2))</f>
        <v>Totex</v>
      </c>
      <c r="E22" t="s">
        <v>773</v>
      </c>
      <c r="G22" t="str">
        <f>price_label</f>
        <v>£m 23/24 prices</v>
      </c>
      <c r="AU22" s="148">
        <f>Totex!AU46</f>
        <v>88.897781297423037</v>
      </c>
      <c r="AV22" s="50">
        <f>Totex!AV46</f>
        <v>89.860824001141566</v>
      </c>
      <c r="AW22" s="50">
        <f>Totex!AW46</f>
        <v>90.09168093759061</v>
      </c>
      <c r="AX22" s="50">
        <f>Totex!AX46</f>
        <v>89.741398131560942</v>
      </c>
      <c r="AY22" s="50">
        <f>Totex!AY46</f>
        <v>89.755357635925535</v>
      </c>
    </row>
    <row r="23" spans="1:58" outlineLevel="1" x14ac:dyDescent="0.35">
      <c r="A23" s="1"/>
      <c r="D23" s="1" t="str" cm="1">
        <f t="array" aca="1" ref="D23" ca="1">IFERROR(MID(_xlfn.FORMULATEXT(I23),FIND("=",_xlfn.FORMULATEXT(I23))+1,FIND("!",_xlfn.FORMULATEXT(I23))-2),MID(_xlfn.FORMULATEXT(INDEX(L23:AV23,MATCH(FALSE,ISBLANK(L23:AV23),0))),FIND("=",_xlfn.FORMULATEXT(INDEX(L23:AV23,MATCH(FALSE,ISBLANK(L23:AV23),0))))+1,FIND("!",_xlfn.FORMULATEXT(INDEX(L23:AV23,MATCH(FALSE,ISBLANK(L23:AV23),0))))-2))</f>
        <v>Totex</v>
      </c>
      <c r="E23" t="s">
        <v>774</v>
      </c>
      <c r="G23" t="str">
        <f>price_label</f>
        <v>£m 23/24 prices</v>
      </c>
      <c r="AU23" s="148">
        <f>Totex!AU47</f>
        <v>82.561096335585418</v>
      </c>
      <c r="AV23" s="50">
        <f>Totex!AV47</f>
        <v>84.893758418321383</v>
      </c>
      <c r="AW23" s="50">
        <f>Totex!AW47</f>
        <v>81.699532022054228</v>
      </c>
      <c r="AX23" s="50">
        <f>Totex!AX47</f>
        <v>78.037545218962663</v>
      </c>
      <c r="AY23" s="50">
        <f>Totex!AY47</f>
        <v>75.692992013280502</v>
      </c>
    </row>
    <row r="24" spans="1:58" outlineLevel="1" x14ac:dyDescent="0.35"/>
    <row r="25" spans="1:58" outlineLevel="1" x14ac:dyDescent="0.35">
      <c r="D25" s="1" t="str" cm="1">
        <f t="array" aca="1" ref="D25" ca="1">IFERROR(MID(_xlfn.FORMULATEXT(I25),FIND("=",_xlfn.FORMULATEXT(I25))+1,FIND("!",_xlfn.FORMULATEXT(I25))-2),MID(_xlfn.FORMULATEXT(INDEX(L25:AV25,MATCH(FALSE,ISBLANK(L25:AV25),0))),FIND("=",_xlfn.FORMULATEXT(INDEX(L25:AV25,MATCH(FALSE,ISBLANK(L25:AV25),0))))+1,FIND("!",_xlfn.FORMULATEXT(INDEX(L25:AV25,MATCH(FALSE,ISBLANK(L25:AV25),0))))-2))</f>
        <v>Totex</v>
      </c>
      <c r="E25" t="s">
        <v>780</v>
      </c>
      <c r="G25" t="str">
        <f>price_label</f>
        <v>£m 23/24 prices</v>
      </c>
      <c r="AU25" s="148">
        <f>Totex!AU50</f>
        <v>4</v>
      </c>
      <c r="AV25" s="50">
        <f>Totex!AV50</f>
        <v>4</v>
      </c>
      <c r="AW25" s="50">
        <f>Totex!AW50</f>
        <v>4</v>
      </c>
      <c r="AX25" s="50">
        <f>Totex!AX50</f>
        <v>4</v>
      </c>
      <c r="AY25" s="50">
        <f>Totex!AY50</f>
        <v>4</v>
      </c>
    </row>
    <row r="26" spans="1:58" outlineLevel="1" x14ac:dyDescent="0.35">
      <c r="D26" s="1" t="str" cm="1">
        <f t="array" aca="1" ref="D26" ca="1">IFERROR(MID(_xlfn.FORMULATEXT(I26),FIND("=",_xlfn.FORMULATEXT(I26))+1,FIND("!",_xlfn.FORMULATEXT(I26))-2),MID(_xlfn.FORMULATEXT(INDEX(L26:AV26,MATCH(FALSE,ISBLANK(L26:AV26),0))),FIND("=",_xlfn.FORMULATEXT(INDEX(L26:AV26,MATCH(FALSE,ISBLANK(L26:AV26),0))))+1,FIND("!",_xlfn.FORMULATEXT(INDEX(L26:AV26,MATCH(FALSE,ISBLANK(L26:AV26),0))))-2))</f>
        <v>Totex</v>
      </c>
      <c r="E26" t="s">
        <v>781</v>
      </c>
      <c r="G26" t="str">
        <f>price_label</f>
        <v>£m 23/24 prices</v>
      </c>
      <c r="AU26" s="148">
        <f>Totex!AU51</f>
        <v>2.2318499579877287</v>
      </c>
      <c r="AV26" s="50">
        <f>Totex!AV51</f>
        <v>2.239342930796151</v>
      </c>
      <c r="AW26" s="50">
        <f>Totex!AW51</f>
        <v>2.2372527984131145</v>
      </c>
      <c r="AX26" s="50">
        <f>Totex!AX51</f>
        <v>5.3156192486347376</v>
      </c>
      <c r="AY26" s="50">
        <f>Totex!AY51</f>
        <v>5.3013564078728628</v>
      </c>
    </row>
    <row r="27" spans="1:58" outlineLevel="1" x14ac:dyDescent="0.35">
      <c r="D27" s="1" t="str" cm="1">
        <f t="array" aca="1" ref="D27" ca="1">IFERROR(MID(_xlfn.FORMULATEXT(I27),FIND("=",_xlfn.FORMULATEXT(I27))+1,FIND("!",_xlfn.FORMULATEXT(I27))-2),MID(_xlfn.FORMULATEXT(INDEX(L27:AV27,MATCH(FALSE,ISBLANK(L27:AV27),0))),FIND("=",_xlfn.FORMULATEXT(INDEX(L27:AV27,MATCH(FALSE,ISBLANK(L27:AV27),0))))+1,FIND("!",_xlfn.FORMULATEXT(INDEX(L27:AV27,MATCH(FALSE,ISBLANK(L27:AV27),0))))-2))</f>
        <v>Totex</v>
      </c>
      <c r="E27" t="s">
        <v>782</v>
      </c>
      <c r="G27" t="str">
        <f>price_label</f>
        <v>£m 23/24 prices</v>
      </c>
      <c r="AU27" s="148">
        <f>Totex!AU52</f>
        <v>0.10206121530286198</v>
      </c>
      <c r="AV27" s="50">
        <f>Totex!AV52</f>
        <v>0.12990934690692862</v>
      </c>
      <c r="AW27" s="50">
        <f>Totex!AW52</f>
        <v>0.14575828722957393</v>
      </c>
      <c r="AX27" s="50">
        <f>Totex!AX52</f>
        <v>3.2607343619369966</v>
      </c>
      <c r="AY27" s="50">
        <f>Totex!AY52</f>
        <v>3.2759283772781451</v>
      </c>
    </row>
    <row r="28" spans="1:58" outlineLevel="1" x14ac:dyDescent="0.35">
      <c r="D28" s="1" t="str" cm="1">
        <f t="array" aca="1" ref="D28" ca="1">IFERROR(MID(_xlfn.FORMULATEXT(I28),FIND("=",_xlfn.FORMULATEXT(I28))+1,FIND("!",_xlfn.FORMULATEXT(I28))-2),MID(_xlfn.FORMULATEXT(INDEX(L28:AV28,MATCH(FALSE,ISBLANK(L28:AV28),0))),FIND("=",_xlfn.FORMULATEXT(INDEX(L28:AV28,MATCH(FALSE,ISBLANK(L28:AV28),0))))+1,FIND("!",_xlfn.FORMULATEXT(INDEX(L28:AV28,MATCH(FALSE,ISBLANK(L28:AV28),0))))-2))</f>
        <v>Totex</v>
      </c>
      <c r="E28" t="s">
        <v>783</v>
      </c>
      <c r="G28" t="str">
        <f>price_label</f>
        <v>£m 23/24 prices</v>
      </c>
      <c r="AU28" s="148">
        <f>Totex!AU53</f>
        <v>0.99139983195091386</v>
      </c>
      <c r="AV28" s="50">
        <f>Totex!AV53</f>
        <v>1.0213717231846045</v>
      </c>
      <c r="AW28" s="50">
        <f>Totex!AW53</f>
        <v>1.013011193652458</v>
      </c>
      <c r="AX28" s="50">
        <f>Totex!AX53</f>
        <v>0.92864857803526746</v>
      </c>
      <c r="AY28" s="50">
        <f>Totex!AY53</f>
        <v>0.87159721498776899</v>
      </c>
    </row>
    <row r="29" spans="1:58" outlineLevel="1" x14ac:dyDescent="0.35">
      <c r="D29" s="1" t="str" cm="1">
        <f t="array" aca="1" ref="D29" ca="1">IFERROR(MID(_xlfn.FORMULATEXT(I29),FIND("=",_xlfn.FORMULATEXT(I29))+1,FIND("!",_xlfn.FORMULATEXT(I29))-2),MID(_xlfn.FORMULATEXT(INDEX(L29:AV29,MATCH(FALSE,ISBLANK(L29:AV29),0))),FIND("=",_xlfn.FORMULATEXT(INDEX(L29:AV29,MATCH(FALSE,ISBLANK(L29:AV29),0))))+1,FIND("!",_xlfn.FORMULATEXT(INDEX(L29:AV29,MATCH(FALSE,ISBLANK(L29:AV29),0))))-2))</f>
        <v>Totex</v>
      </c>
      <c r="E29" t="s">
        <v>784</v>
      </c>
      <c r="G29" t="str">
        <f>price_label</f>
        <v>£m 23/24 prices</v>
      </c>
      <c r="AU29" s="148">
        <f>Totex!AU54</f>
        <v>0</v>
      </c>
      <c r="AV29" s="50">
        <f>Totex!AV54</f>
        <v>3.1877999999999997</v>
      </c>
      <c r="AW29" s="50">
        <f>Totex!AW54</f>
        <v>3.1877999999999997</v>
      </c>
      <c r="AX29" s="50">
        <f>Totex!AX54</f>
        <v>3.1877999999999997</v>
      </c>
      <c r="AY29" s="50">
        <f>Totex!AY54</f>
        <v>3.1877999999999997</v>
      </c>
    </row>
    <row r="30" spans="1:58" ht="14.5" outlineLevel="1" x14ac:dyDescent="0.35">
      <c r="BA30"/>
      <c r="BB30"/>
      <c r="BC30"/>
      <c r="BF30"/>
    </row>
    <row r="31" spans="1:58" outlineLevel="1" x14ac:dyDescent="0.35">
      <c r="D31" s="1" t="str" cm="1">
        <f t="array" aca="1" ref="D31" ca="1">IFERROR(MID(_xlfn.FORMULATEXT(I31),FIND("=",_xlfn.FORMULATEXT(I31))+1,FIND("!",_xlfn.FORMULATEXT(I31))-2),MID(_xlfn.FORMULATEXT(INDEX(L31:AV31,MATCH(FALSE,ISBLANK(L31:AV31),0))),FIND("=",_xlfn.FORMULATEXT(INDEX(L31:AV31,MATCH(FALSE,ISBLANK(L31:AV31),0))))+1,FIND("!",_xlfn.FORMULATEXT(INDEX(L31:AV31,MATCH(FALSE,ISBLANK(L31:AV31),0))))-2))</f>
        <v>Transform</v>
      </c>
      <c r="E31" t="s">
        <v>483</v>
      </c>
      <c r="G31" t="s">
        <v>109</v>
      </c>
      <c r="I31" s="53">
        <f>Transform!I40</f>
        <v>0.5</v>
      </c>
      <c r="AT31" s="71"/>
    </row>
    <row r="32" spans="1:58" outlineLevel="1" x14ac:dyDescent="0.35">
      <c r="D32" s="1" t="str" cm="1">
        <f t="array" aca="1" ref="D32" ca="1">IFERROR(MID(_xlfn.FORMULATEXT(I32),FIND("=",_xlfn.FORMULATEXT(I32))+1,FIND("!",_xlfn.FORMULATEXT(I32))-2),MID(_xlfn.FORMULATEXT(INDEX(L32:AV32,MATCH(FALSE,ISBLANK(L32:AV32),0))),FIND("=",_xlfn.FORMULATEXT(INDEX(L32:AV32,MATCH(FALSE,ISBLANK(L32:AV32),0))))+1,FIND("!",_xlfn.FORMULATEXT(INDEX(L32:AV32,MATCH(FALSE,ISBLANK(L32:AV32),0))))-2))</f>
        <v>Transform</v>
      </c>
      <c r="E32" t="s">
        <v>10</v>
      </c>
      <c r="G32" t="s">
        <v>109</v>
      </c>
      <c r="AU32" s="149">
        <f>Transform!AU36</f>
        <v>0.31</v>
      </c>
      <c r="AV32" s="53">
        <f>Transform!AV36</f>
        <v>0.31</v>
      </c>
      <c r="AW32" s="53">
        <f>Transform!AW36</f>
        <v>0.31</v>
      </c>
      <c r="AX32" s="53">
        <f>Transform!AX36</f>
        <v>0.31</v>
      </c>
      <c r="AY32" s="53">
        <f>Transform!AY36</f>
        <v>0.31</v>
      </c>
    </row>
    <row r="33" spans="1:54" outlineLevel="1" x14ac:dyDescent="0.35">
      <c r="D33" s="1" t="str" cm="1">
        <f t="array" aca="1" ref="D33" ca="1">IFERROR(MID(_xlfn.FORMULATEXT(I33),FIND("=",_xlfn.FORMULATEXT(I33))+1,FIND("!",_xlfn.FORMULATEXT(I33))-2),MID(_xlfn.FORMULATEXT(INDEX(L33:AV33,MATCH(FALSE,ISBLANK(L33:AV33),0))),FIND("=",_xlfn.FORMULATEXT(INDEX(L33:AV33,MATCH(FALSE,ISBLANK(L33:AV33),0))))+1,FIND("!",_xlfn.FORMULATEXT(INDEX(L33:AV33,MATCH(FALSE,ISBLANK(L33:AV33),0))))-2))</f>
        <v>Transform</v>
      </c>
      <c r="E33" t="s">
        <v>21</v>
      </c>
      <c r="G33" t="s">
        <v>109</v>
      </c>
      <c r="AU33" s="149">
        <f>Transform!AU37</f>
        <v>0.7</v>
      </c>
      <c r="AV33" s="53">
        <f>Transform!AV37</f>
        <v>0.7</v>
      </c>
      <c r="AW33" s="53">
        <f>Transform!AW37</f>
        <v>0.7</v>
      </c>
      <c r="AX33" s="53">
        <f>Transform!AX37</f>
        <v>0.7</v>
      </c>
      <c r="AY33" s="53">
        <f>Transform!AY37</f>
        <v>0.7</v>
      </c>
    </row>
    <row r="34" spans="1:54" outlineLevel="1" x14ac:dyDescent="0.35">
      <c r="D34" s="1" t="str" cm="1">
        <f t="array" aca="1" ref="D34" ca="1">IFERROR(MID(_xlfn.FORMULATEXT(I34),FIND("=",_xlfn.FORMULATEXT(I34))+1,FIND("!",_xlfn.FORMULATEXT(I34))-2),MID(_xlfn.FORMULATEXT(INDEX(L34:AV34,MATCH(FALSE,ISBLANK(L34:AV34),0))),FIND("=",_xlfn.FORMULATEXT(INDEX(L34:AV34,MATCH(FALSE,ISBLANK(L34:AV34),0))))+1,FIND("!",_xlfn.FORMULATEXT(INDEX(L34:AV34,MATCH(FALSE,ISBLANK(L34:AV34),0))))-2))</f>
        <v>Transform</v>
      </c>
      <c r="E34" t="s">
        <v>416</v>
      </c>
      <c r="G34" t="s">
        <v>109</v>
      </c>
      <c r="AU34" s="149">
        <f>Transform!AU38</f>
        <v>1</v>
      </c>
      <c r="AV34" s="53">
        <f>Transform!AV38</f>
        <v>1</v>
      </c>
      <c r="AW34" s="53">
        <f>Transform!AW38</f>
        <v>1</v>
      </c>
      <c r="AX34" s="53">
        <f>Transform!AX38</f>
        <v>1</v>
      </c>
      <c r="AY34" s="53">
        <f>Transform!AY38</f>
        <v>1</v>
      </c>
    </row>
    <row r="35" spans="1:54" x14ac:dyDescent="0.35">
      <c r="D35" s="1"/>
    </row>
    <row r="36" spans="1:54" ht="20" thickBot="1" x14ac:dyDescent="0.5">
      <c r="A36" s="13" t="s">
        <v>277</v>
      </c>
      <c r="AU36" s="51"/>
      <c r="AV36" s="51"/>
      <c r="AW36" s="51"/>
      <c r="AX36" s="51"/>
      <c r="AY36" s="51"/>
      <c r="BA36" s="34"/>
    </row>
    <row r="37" spans="1:54" ht="16.5" thickTop="1" x14ac:dyDescent="0.35">
      <c r="E37" t="s">
        <v>785</v>
      </c>
      <c r="G37" t="str">
        <f>price_label</f>
        <v>£m 23/24 prices</v>
      </c>
      <c r="AU37" s="152">
        <f>SUM(AU7:AU10)-SUM(AU19:AU22)</f>
        <v>-0.59012268374038968</v>
      </c>
      <c r="AV37" s="12">
        <f>SUM(AV7:AV10)-SUM(AV19:AV22)</f>
        <v>-0.59012268374038968</v>
      </c>
      <c r="AW37" s="12">
        <f>SUM(AW7:AW10)-SUM(AW19:AW22)</f>
        <v>-0.59012268374036125</v>
      </c>
      <c r="AX37" s="12">
        <f>SUM(AX7:AX10)-SUM(AX19:AX22)</f>
        <v>-0.59012268374038968</v>
      </c>
      <c r="AY37" s="12">
        <f>SUM(AY7:AY10)-SUM(AY19:AY22)</f>
        <v>-0.59012268374038968</v>
      </c>
      <c r="AZ37" s="1"/>
      <c r="BA37" s="34" t="str">
        <f ca="1">$A$1</f>
        <v>TIM</v>
      </c>
      <c r="BB37" s="1" t="str">
        <f>$A$36</f>
        <v>Pre-TIM overspend (underspend)</v>
      </c>
    </row>
    <row r="38" spans="1:54" x14ac:dyDescent="0.35">
      <c r="E38" t="s">
        <v>786</v>
      </c>
      <c r="G38" t="str">
        <f>price_label</f>
        <v>£m 23/24 prices</v>
      </c>
      <c r="AU38" s="152">
        <f>SUM(AU13:AU16)-SUM(AU25:AU28)</f>
        <v>0</v>
      </c>
      <c r="AV38" s="12">
        <f>SUM(AV13:AV16)-SUM(AV25:AV28)</f>
        <v>0</v>
      </c>
      <c r="AW38" s="12">
        <f>SUM(AW13:AW16)-SUM(AW25:AW28)</f>
        <v>0</v>
      </c>
      <c r="AX38" s="12">
        <f>SUM(AX13:AX16)-SUM(AX25:AX28)</f>
        <v>0</v>
      </c>
      <c r="AY38" s="12">
        <f>SUM(AY13:AY16)-SUM(AY25:AY28)</f>
        <v>0</v>
      </c>
      <c r="AZ38" s="1"/>
      <c r="BA38" s="34" t="str">
        <f t="shared" ref="BA38:BA66" ca="1" si="0">$A$1</f>
        <v>TIM</v>
      </c>
      <c r="BB38" s="1" t="str">
        <f t="shared" ref="BB38:BB39" si="1">$A$36</f>
        <v>Pre-TIM overspend (underspend)</v>
      </c>
    </row>
    <row r="39" spans="1:54" x14ac:dyDescent="0.35">
      <c r="E39" t="s">
        <v>787</v>
      </c>
      <c r="G39" t="str">
        <f>price_label</f>
        <v>£m 23/24 prices</v>
      </c>
      <c r="AU39" s="152">
        <f>SUM(AU11,AU17)-SUM(AU23,AU29)</f>
        <v>0</v>
      </c>
      <c r="AV39" s="12">
        <f>SUM(AV11,AV17)-SUM(AV23,AV29)</f>
        <v>0</v>
      </c>
      <c r="AW39" s="12">
        <f>SUM(AW11,AW17)-SUM(AW23,AW29)</f>
        <v>0</v>
      </c>
      <c r="AX39" s="12">
        <f>SUM(AX11,AX17)-SUM(AX23,AX29)</f>
        <v>0</v>
      </c>
      <c r="AY39" s="12">
        <f>SUM(AY11,AY17)-SUM(AY23,AY29)</f>
        <v>0</v>
      </c>
      <c r="AZ39" s="1"/>
      <c r="BA39" s="34" t="str">
        <f t="shared" ca="1" si="0"/>
        <v>TIM</v>
      </c>
      <c r="BB39" s="1" t="str">
        <f t="shared" si="1"/>
        <v>Pre-TIM overspend (underspend)</v>
      </c>
    </row>
    <row r="40" spans="1:54" x14ac:dyDescent="0.35">
      <c r="BA40" s="34"/>
    </row>
    <row r="41" spans="1:54" ht="20" thickBot="1" x14ac:dyDescent="0.5">
      <c r="A41" s="13" t="s">
        <v>278</v>
      </c>
      <c r="BA41" s="34"/>
    </row>
    <row r="42" spans="1:54" ht="16.5" thickTop="1" x14ac:dyDescent="0.35">
      <c r="E42" t="s">
        <v>387</v>
      </c>
      <c r="G42" t="str">
        <f>price_label</f>
        <v>£m 23/24 prices</v>
      </c>
      <c r="AU42" s="152">
        <f t="shared" ref="AU42:AY44" si="2">AU37*$I$31</f>
        <v>-0.29506134187019484</v>
      </c>
      <c r="AV42" s="12">
        <f t="shared" si="2"/>
        <v>-0.29506134187019484</v>
      </c>
      <c r="AW42" s="12">
        <f t="shared" si="2"/>
        <v>-0.29506134187018063</v>
      </c>
      <c r="AX42" s="12">
        <f t="shared" si="2"/>
        <v>-0.29506134187019484</v>
      </c>
      <c r="AY42" s="12">
        <f t="shared" si="2"/>
        <v>-0.29506134187019484</v>
      </c>
      <c r="BA42" s="34" t="str">
        <f t="shared" ca="1" si="0"/>
        <v>TIM</v>
      </c>
      <c r="BB42" s="1" t="str">
        <f>$A$41</f>
        <v>Post-TIM overspend (underspend)</v>
      </c>
    </row>
    <row r="43" spans="1:54" x14ac:dyDescent="0.35">
      <c r="E43" t="s">
        <v>388</v>
      </c>
      <c r="G43" t="str">
        <f>price_label</f>
        <v>£m 23/24 prices</v>
      </c>
      <c r="AU43" s="152">
        <f t="shared" si="2"/>
        <v>0</v>
      </c>
      <c r="AV43" s="12">
        <f t="shared" si="2"/>
        <v>0</v>
      </c>
      <c r="AW43" s="12">
        <f t="shared" si="2"/>
        <v>0</v>
      </c>
      <c r="AX43" s="12">
        <f t="shared" si="2"/>
        <v>0</v>
      </c>
      <c r="AY43" s="12">
        <f t="shared" si="2"/>
        <v>0</v>
      </c>
      <c r="BA43" s="34" t="str">
        <f t="shared" ca="1" si="0"/>
        <v>TIM</v>
      </c>
      <c r="BB43" s="1" t="str">
        <f t="shared" ref="BB43:BB44" si="3">$A$41</f>
        <v>Post-TIM overspend (underspend)</v>
      </c>
    </row>
    <row r="44" spans="1:54" x14ac:dyDescent="0.35">
      <c r="E44" t="s">
        <v>389</v>
      </c>
      <c r="G44" t="str">
        <f>price_label</f>
        <v>£m 23/24 prices</v>
      </c>
      <c r="AU44" s="152">
        <f t="shared" si="2"/>
        <v>0</v>
      </c>
      <c r="AV44" s="12">
        <f t="shared" si="2"/>
        <v>0</v>
      </c>
      <c r="AW44" s="12">
        <f t="shared" si="2"/>
        <v>0</v>
      </c>
      <c r="AX44" s="12">
        <f t="shared" si="2"/>
        <v>0</v>
      </c>
      <c r="AY44" s="12">
        <f t="shared" si="2"/>
        <v>0</v>
      </c>
      <c r="BA44" s="34" t="str">
        <f t="shared" ca="1" si="0"/>
        <v>TIM</v>
      </c>
      <c r="BB44" s="1" t="str">
        <f t="shared" si="3"/>
        <v>Post-TIM overspend (underspend)</v>
      </c>
    </row>
    <row r="45" spans="1:54" x14ac:dyDescent="0.35">
      <c r="BA45" s="34"/>
    </row>
    <row r="46" spans="1:54" ht="20" thickBot="1" x14ac:dyDescent="0.5">
      <c r="A46" s="13" t="s">
        <v>279</v>
      </c>
      <c r="BA46" s="34"/>
    </row>
    <row r="47" spans="1:54" ht="16.5" thickTop="1" x14ac:dyDescent="0.35">
      <c r="E47" t="s">
        <v>390</v>
      </c>
      <c r="G47" t="str">
        <f>price_label</f>
        <v>£m 23/24 prices</v>
      </c>
      <c r="AU47" s="152">
        <f>SUM(AU19:AU22,AU42)</f>
        <v>170.14008379393815</v>
      </c>
      <c r="AV47" s="12">
        <f>SUM(AV19:AV22,AV42)</f>
        <v>176.62184208654256</v>
      </c>
      <c r="AW47" s="12">
        <f>SUM(AW19:AW22,AW42)</f>
        <v>179.11944905828386</v>
      </c>
      <c r="AX47" s="12">
        <f>SUM(AX19:AX22,AX42)</f>
        <v>162.72007390386241</v>
      </c>
      <c r="AY47" s="12">
        <f>SUM(AY19:AY22,AY42)</f>
        <v>152.49769627478756</v>
      </c>
      <c r="BA47" s="34" t="str">
        <f t="shared" ca="1" si="0"/>
        <v>TIM</v>
      </c>
      <c r="BB47" s="1" t="str">
        <f>$A$46</f>
        <v>Post-TIM totex</v>
      </c>
    </row>
    <row r="48" spans="1:54" x14ac:dyDescent="0.35">
      <c r="E48" t="s">
        <v>391</v>
      </c>
      <c r="G48" t="str">
        <f>price_label</f>
        <v>£m 23/24 prices</v>
      </c>
      <c r="AU48" s="152">
        <f>SUM(AU25:AU28,AU43)</f>
        <v>7.3253110052415042</v>
      </c>
      <c r="AV48" s="12">
        <f>SUM(AV25:AV28,AV43)</f>
        <v>7.3906240008876836</v>
      </c>
      <c r="AW48" s="12">
        <f>SUM(AW25:AW28,AW43)</f>
        <v>7.3960222792951473</v>
      </c>
      <c r="AX48" s="12">
        <f>SUM(AX25:AX28,AX43)</f>
        <v>13.505002188607001</v>
      </c>
      <c r="AY48" s="12">
        <f>SUM(AY25:AY28,AY43)</f>
        <v>13.448882000138777</v>
      </c>
      <c r="BA48" s="34" t="str">
        <f t="shared" ca="1" si="0"/>
        <v>TIM</v>
      </c>
      <c r="BB48" s="1" t="str">
        <f>$A$46</f>
        <v>Post-TIM totex</v>
      </c>
    </row>
    <row r="49" spans="1:55" x14ac:dyDescent="0.35">
      <c r="E49" t="s">
        <v>392</v>
      </c>
      <c r="G49" t="str">
        <f>price_label</f>
        <v>£m 23/24 prices</v>
      </c>
      <c r="AU49" s="152">
        <f>SUM(AU23,AU29,AU44)</f>
        <v>82.561096335585418</v>
      </c>
      <c r="AV49" s="12">
        <f>SUM(AV23,AV29,AV44)</f>
        <v>88.081558418321379</v>
      </c>
      <c r="AW49" s="12">
        <f>SUM(AW23,AW29,AW44)</f>
        <v>84.887332022054224</v>
      </c>
      <c r="AX49" s="12">
        <f>SUM(AX23,AX29,AX44)</f>
        <v>81.225345218962659</v>
      </c>
      <c r="AY49" s="12">
        <f>SUM(AY23,AY29,AY44)</f>
        <v>78.880792013280498</v>
      </c>
      <c r="BA49" s="34" t="str">
        <f t="shared" ca="1" si="0"/>
        <v>TIM</v>
      </c>
      <c r="BB49" s="1" t="str">
        <f>$A$46</f>
        <v>Post-TIM totex</v>
      </c>
    </row>
    <row r="50" spans="1:55" x14ac:dyDescent="0.35">
      <c r="BA50" s="34"/>
    </row>
    <row r="51" spans="1:55" ht="20" thickBot="1" x14ac:dyDescent="0.5">
      <c r="A51" s="13" t="s">
        <v>280</v>
      </c>
      <c r="BA51" s="34"/>
    </row>
    <row r="52" spans="1:55" ht="18" thickTop="1" thickBot="1" x14ac:dyDescent="0.45">
      <c r="B52" s="15" t="s">
        <v>275</v>
      </c>
      <c r="BA52" s="34"/>
    </row>
    <row r="53" spans="1:55" ht="16.5" thickTop="1" x14ac:dyDescent="0.35">
      <c r="E53" t="s">
        <v>423</v>
      </c>
      <c r="G53" t="str">
        <f>price_label</f>
        <v>£m 23/24 prices</v>
      </c>
      <c r="AU53" s="152">
        <f>AU47*(1-AU32)</f>
        <v>117.39665781781731</v>
      </c>
      <c r="AV53" s="12">
        <f>AV47*(1-AV32)</f>
        <v>121.86907103971436</v>
      </c>
      <c r="AW53" s="12">
        <f>AW47*(1-AW32)</f>
        <v>123.59241985021586</v>
      </c>
      <c r="AX53" s="12">
        <f>AX47*(1-AX32)</f>
        <v>112.27685099366505</v>
      </c>
      <c r="AY53" s="12">
        <f>AY47*(1-AY32)</f>
        <v>105.2234104296034</v>
      </c>
      <c r="BA53" s="34" t="str">
        <f t="shared" ca="1" si="0"/>
        <v>TIM</v>
      </c>
      <c r="BB53" s="1" t="str">
        <f>$A$51</f>
        <v>Capitalisation split</v>
      </c>
      <c r="BC53" s="1" t="str">
        <f>$B$52</f>
        <v>Cap Rate 1</v>
      </c>
    </row>
    <row r="54" spans="1:55" x14ac:dyDescent="0.35">
      <c r="E54" t="s">
        <v>424</v>
      </c>
      <c r="G54" t="str">
        <f>price_label</f>
        <v>£m 23/24 prices</v>
      </c>
      <c r="AU54" s="152">
        <f>AU47*AU32</f>
        <v>52.743425976120825</v>
      </c>
      <c r="AV54" s="12">
        <f>AV47*AV32</f>
        <v>54.752771046828194</v>
      </c>
      <c r="AW54" s="12">
        <f>AW47*AW32</f>
        <v>55.527029208067994</v>
      </c>
      <c r="AX54" s="12">
        <f>AX47*AX32</f>
        <v>50.443222910197349</v>
      </c>
      <c r="AY54" s="12">
        <f>AY47*AY32</f>
        <v>47.274285845184146</v>
      </c>
      <c r="BA54" s="34" t="str">
        <f t="shared" ca="1" si="0"/>
        <v>TIM</v>
      </c>
      <c r="BB54" s="1" t="str">
        <f>$A$51</f>
        <v>Capitalisation split</v>
      </c>
      <c r="BC54" s="1" t="str">
        <f>$B$52</f>
        <v>Cap Rate 1</v>
      </c>
    </row>
    <row r="55" spans="1:55" x14ac:dyDescent="0.35">
      <c r="BA55" s="34"/>
    </row>
    <row r="56" spans="1:55" ht="17.5" thickBot="1" x14ac:dyDescent="0.45">
      <c r="B56" s="15" t="s">
        <v>276</v>
      </c>
      <c r="BA56" s="34"/>
    </row>
    <row r="57" spans="1:55" ht="16.5" thickTop="1" x14ac:dyDescent="0.35">
      <c r="E57" t="s">
        <v>425</v>
      </c>
      <c r="G57" t="str">
        <f>price_label</f>
        <v>£m 23/24 prices</v>
      </c>
      <c r="AU57" s="152">
        <f>AU48*(1-AU33)</f>
        <v>2.1975933015724518</v>
      </c>
      <c r="AV57" s="12">
        <f>AV48*(1-AV33)</f>
        <v>2.2171872002663053</v>
      </c>
      <c r="AW57" s="12">
        <f>AW48*(1-AW33)</f>
        <v>2.2188066837885447</v>
      </c>
      <c r="AX57" s="12">
        <f>AX48*(1-AX33)</f>
        <v>4.0515006565821006</v>
      </c>
      <c r="AY57" s="12">
        <f>AY48*(1-AY33)</f>
        <v>4.0346646000416335</v>
      </c>
      <c r="BA57" s="34" t="str">
        <f t="shared" ca="1" si="0"/>
        <v>TIM</v>
      </c>
      <c r="BB57" s="1" t="str">
        <f t="shared" ref="BB57:BB58" si="4">$A$51</f>
        <v>Capitalisation split</v>
      </c>
      <c r="BC57" s="1" t="str">
        <f>$B$56</f>
        <v>Cap Rate 2</v>
      </c>
    </row>
    <row r="58" spans="1:55" x14ac:dyDescent="0.35">
      <c r="E58" t="s">
        <v>426</v>
      </c>
      <c r="G58" t="str">
        <f>price_label</f>
        <v>£m 23/24 prices</v>
      </c>
      <c r="AU58" s="152">
        <f>AU48*AU33</f>
        <v>5.1277177036690524</v>
      </c>
      <c r="AV58" s="12">
        <f>AV48*AV33</f>
        <v>5.1734368006213778</v>
      </c>
      <c r="AW58" s="12">
        <f>AW48*AW33</f>
        <v>5.1772155955066026</v>
      </c>
      <c r="AX58" s="12">
        <f>AX48*AX33</f>
        <v>9.4535015320248998</v>
      </c>
      <c r="AY58" s="12">
        <f>AY48*AY33</f>
        <v>9.4142174000971437</v>
      </c>
      <c r="BA58" s="34" t="str">
        <f t="shared" ca="1" si="0"/>
        <v>TIM</v>
      </c>
      <c r="BB58" s="1" t="str">
        <f t="shared" si="4"/>
        <v>Capitalisation split</v>
      </c>
      <c r="BC58" s="1" t="str">
        <f>$B$56</f>
        <v>Cap Rate 2</v>
      </c>
    </row>
    <row r="59" spans="1:55" x14ac:dyDescent="0.35">
      <c r="BA59" s="34"/>
    </row>
    <row r="60" spans="1:55" ht="17.5" thickBot="1" x14ac:dyDescent="0.45">
      <c r="B60" s="15" t="s">
        <v>281</v>
      </c>
      <c r="BA60" s="34"/>
    </row>
    <row r="61" spans="1:55" ht="16.5" thickTop="1" x14ac:dyDescent="0.35">
      <c r="E61" t="s">
        <v>427</v>
      </c>
      <c r="G61" t="str">
        <f>price_label</f>
        <v>£m 23/24 prices</v>
      </c>
      <c r="AU61" s="152">
        <f>AU49*(1-AU34)</f>
        <v>0</v>
      </c>
      <c r="AV61" s="12">
        <f>AV49*(1-AV34)</f>
        <v>0</v>
      </c>
      <c r="AW61" s="12">
        <f>AW49*(1-AW34)</f>
        <v>0</v>
      </c>
      <c r="AX61" s="12">
        <f>AX49*(1-AX34)</f>
        <v>0</v>
      </c>
      <c r="AY61" s="12">
        <f>AY49*(1-AY34)</f>
        <v>0</v>
      </c>
      <c r="BA61" s="34" t="str">
        <f t="shared" ca="1" si="0"/>
        <v>TIM</v>
      </c>
      <c r="BB61" s="1" t="str">
        <f t="shared" ref="BB61:BB62" si="5">$A$51</f>
        <v>Capitalisation split</v>
      </c>
      <c r="BC61" s="1" t="str">
        <f>$B$60</f>
        <v>Cap Rate Repex</v>
      </c>
    </row>
    <row r="62" spans="1:55" x14ac:dyDescent="0.35">
      <c r="E62" t="s">
        <v>428</v>
      </c>
      <c r="G62" t="str">
        <f>price_label</f>
        <v>£m 23/24 prices</v>
      </c>
      <c r="AU62" s="152">
        <f>AU49*AU34</f>
        <v>82.561096335585418</v>
      </c>
      <c r="AV62" s="12">
        <f>AV49*AV34</f>
        <v>88.081558418321379</v>
      </c>
      <c r="AW62" s="12">
        <f>AW49*AW34</f>
        <v>84.887332022054224</v>
      </c>
      <c r="AX62" s="12">
        <f>AX49*AX34</f>
        <v>81.225345218962659</v>
      </c>
      <c r="AY62" s="12">
        <f>AY49*AY34</f>
        <v>78.880792013280498</v>
      </c>
      <c r="BA62" s="34" t="str">
        <f t="shared" ca="1" si="0"/>
        <v>TIM</v>
      </c>
      <c r="BB62" s="1" t="str">
        <f t="shared" si="5"/>
        <v>Capitalisation split</v>
      </c>
      <c r="BC62" s="1" t="str">
        <f>$B$60</f>
        <v>Cap Rate Repex</v>
      </c>
    </row>
    <row r="63" spans="1:55" x14ac:dyDescent="0.35">
      <c r="BA63" s="34"/>
    </row>
    <row r="64" spans="1:55" ht="20" thickBot="1" x14ac:dyDescent="0.5">
      <c r="A64" s="13" t="s">
        <v>282</v>
      </c>
      <c r="BA64" s="34"/>
    </row>
    <row r="65" spans="1:54" ht="16.5" thickTop="1" x14ac:dyDescent="0.35">
      <c r="E65" t="s">
        <v>429</v>
      </c>
      <c r="G65" t="str">
        <f>price_label</f>
        <v>£m 23/24 prices</v>
      </c>
      <c r="AU65" s="155">
        <f t="shared" ref="AU65:AY65" si="6">SUM(AU53,AU57,AU61)</f>
        <v>119.59425111938977</v>
      </c>
      <c r="AV65" s="52">
        <f t="shared" si="6"/>
        <v>124.08625823998067</v>
      </c>
      <c r="AW65" s="52">
        <f t="shared" si="6"/>
        <v>125.8112265340044</v>
      </c>
      <c r="AX65" s="52">
        <f t="shared" si="6"/>
        <v>116.32835165024716</v>
      </c>
      <c r="AY65" s="52">
        <f t="shared" si="6"/>
        <v>109.25807502964504</v>
      </c>
      <c r="AZ65" s="1"/>
      <c r="BA65" s="34" t="str">
        <f t="shared" ca="1" si="0"/>
        <v>TIM</v>
      </c>
      <c r="BB65" s="1" t="str">
        <f>$A$64</f>
        <v>Totex</v>
      </c>
    </row>
    <row r="66" spans="1:54" x14ac:dyDescent="0.35">
      <c r="E66" t="s">
        <v>298</v>
      </c>
      <c r="G66" t="str">
        <f>price_label</f>
        <v>£m 23/24 prices</v>
      </c>
      <c r="AU66" s="155">
        <f t="shared" ref="AU66:AY66" si="7">SUM(AU54,AU58,AU62)</f>
        <v>140.4322400153753</v>
      </c>
      <c r="AV66" s="52">
        <f t="shared" si="7"/>
        <v>148.00776626577095</v>
      </c>
      <c r="AW66" s="52">
        <f t="shared" si="7"/>
        <v>145.59157682562881</v>
      </c>
      <c r="AX66" s="52">
        <f t="shared" si="7"/>
        <v>141.12206966118492</v>
      </c>
      <c r="AY66" s="52">
        <f t="shared" si="7"/>
        <v>135.56929525856179</v>
      </c>
      <c r="AZ66" s="1"/>
      <c r="BA66" s="34" t="str">
        <f t="shared" ca="1" si="0"/>
        <v>TIM</v>
      </c>
      <c r="BB66" s="1" t="str">
        <f>$A$64</f>
        <v>Totex</v>
      </c>
    </row>
    <row r="67" spans="1:54" x14ac:dyDescent="0.35"/>
    <row r="68" spans="1:54" ht="20" thickBot="1" x14ac:dyDescent="0.5">
      <c r="A68" s="13" t="s">
        <v>386</v>
      </c>
    </row>
    <row r="69" spans="1:54" ht="16.5" thickTop="1" x14ac:dyDescent="0.35"/>
    <row r="70" spans="1:54" x14ac:dyDescent="0.35"/>
  </sheetData>
  <conditionalFormatting sqref="H1">
    <cfRule type="cellIs" dxfId="11" priority="1" operator="equal">
      <formula>"ERROR"</formula>
    </cfRule>
  </conditionalFormatting>
  <pageMargins left="0.7" right="0.7" top="0.75" bottom="0.75" header="0.3" footer="0.3"/>
  <pageSetup paperSize="9" orientation="portrait" r:id="rId1"/>
  <headerFooter>
    <oddHeader>&amp;L&amp;"Aptos"&amp;10&amp;K000000 Classified as Internal&amp;1#_x000D_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Drop Down 1">
              <controlPr defaultSize="0" autoLine="0" autoPict="0" altText="Dropdown box for selecting licensee">
                <anchor moveWithCells="1">
                  <from>
                    <xdr:col>4</xdr:col>
                    <xdr:colOff>2273300</xdr:colOff>
                    <xdr:row>0</xdr:row>
                    <xdr:rowOff>114300</xdr:rowOff>
                  </from>
                  <to>
                    <xdr:col>4</xdr:col>
                    <xdr:colOff>3606800</xdr:colOff>
                    <xdr:row>2</xdr:row>
                    <xdr:rowOff>6350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978a1c12-3ab7-471e-b134-e7ba3975f64f">
      <Terms xmlns="http://schemas.microsoft.com/office/infopath/2007/PartnerControls"/>
    </lcf76f155ced4ddcb4097134ff3c332f>
    <TaxCatchAll xmlns="f35b5cbd-7b0b-4440-92cd-b510cab4ec67" xsi:nil="true"/>
    <Publish xmlns="978a1c12-3ab7-471e-b134-e7ba3975f64f">false</Publish>
    <Permission_x0020_to_x0020_publish xmlns="978a1c12-3ab7-471e-b134-e7ba3975f64f">false</Permission_x0020_to_x0020_publish>
    <_Flow_SignoffStatus xmlns="978a1c12-3ab7-471e-b134-e7ba3975f64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3D6E278D99252B4B99C7589ABDD35CB5" ma:contentTypeVersion="25" ma:contentTypeDescription="Create a new document." ma:contentTypeScope="" ma:versionID="bd58fd190f4175b73c858e243a68f4ec">
  <xsd:schema xmlns:xsd="http://www.w3.org/2001/XMLSchema" xmlns:xs="http://www.w3.org/2001/XMLSchema" xmlns:p="http://schemas.microsoft.com/office/2006/metadata/properties" xmlns:ns1="http://schemas.microsoft.com/sharepoint/v3" xmlns:ns2="978a1c12-3ab7-471e-b134-e7ba3975f64f" xmlns:ns3="f35b5cbd-7b0b-4440-92cd-b510cab4ec67" targetNamespace="http://schemas.microsoft.com/office/2006/metadata/properties" ma:root="true" ma:fieldsID="6695d1ff5fed76cbc648fa763bd68a5b" ns1:_="" ns2:_="" ns3:_="">
    <xsd:import namespace="http://schemas.microsoft.com/sharepoint/v3"/>
    <xsd:import namespace="978a1c12-3ab7-471e-b134-e7ba3975f64f"/>
    <xsd:import namespace="f35b5cbd-7b0b-4440-92cd-b510cab4ec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1:_ip_UnifiedCompliancePolicyProperties" minOccurs="0"/>
                <xsd:element ref="ns1:_ip_UnifiedCompliancePolicyUIAction" minOccurs="0"/>
                <xsd:element ref="ns2:lcf76f155ced4ddcb4097134ff3c332f" minOccurs="0"/>
                <xsd:element ref="ns3:TaxCatchAll" minOccurs="0"/>
                <xsd:element ref="ns2:Permission_x0020_to_x0020_publish" minOccurs="0"/>
                <xsd:element ref="ns2:Publish" minOccurs="0"/>
                <xsd:element ref="ns2:MediaServiceObjectDetectorVersions" minOccurs="0"/>
                <xsd:element ref="ns2:MediaServiceSearchProperties"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78a1c12-3ab7-471e-b134-e7ba3975f6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1db303c-1d0a-4523-bf11-6998614b3713" ma:termSetId="09814cd3-568e-fe90-9814-8d621ff8fb84" ma:anchorId="fba54fb3-c3e1-fe81-a776-ca4b69148c4d" ma:open="true" ma:isKeyword="false">
      <xsd:complexType>
        <xsd:sequence>
          <xsd:element ref="pc:Terms" minOccurs="0" maxOccurs="1"/>
        </xsd:sequence>
      </xsd:complexType>
    </xsd:element>
    <xsd:element name="Permission_x0020_to_x0020_publish" ma:index="24" nillable="true" ma:displayName="Permission to publish" ma:default="1" ma:internalName="Permission_x0020_to_x0020_publish">
      <xsd:simpleType>
        <xsd:restriction base="dms:Boolean"/>
      </xsd:simpleType>
    </xsd:element>
    <xsd:element name="Publish" ma:index="25" nillable="true" ma:displayName="Publish" ma:default="0" ma:internalName="Publish">
      <xsd:simpleType>
        <xsd:restriction base="dms:Boolea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Location" ma:index="28" nillable="true" ma:displayName="Location" ma:description="" ma:indexed="true" ma:internalName="MediaServiceLocation" ma:readOnly="true">
      <xsd:simpleType>
        <xsd:restriction base="dms:Text"/>
      </xsd:simpleType>
    </xsd:element>
    <xsd:element name="_Flow_SignoffStatus" ma:index="29" nillable="true" ma:displayName="Sign-off status" ma:internalName="_x0024_Resources_x003a_core_x002c_Signoff_Status">
      <xsd:simpleType>
        <xsd:restriction base="dms:Text"/>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35b5cbd-7b0b-4440-92cd-b510cab4ec6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7a2cc27-9336-4350-bc0d-088c503e09fe}" ma:internalName="TaxCatchAll" ma:showField="CatchAllData" ma:web="f35b5cbd-7b0b-4440-92cd-b510cab4ec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B0B0E1-7D5C-4548-BE40-DFCFA485679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9A05B528-3BED-4E7B-BA89-7D2E601A3391}">
  <ds:schemaRefs>
    <ds:schemaRef ds:uri="http://schemas.microsoft.com/sharepoint/v3"/>
    <ds:schemaRef ds:uri="http://schemas.microsoft.com/office/2006/documentManagement/types"/>
    <ds:schemaRef ds:uri="http://purl.org/dc/terms/"/>
    <ds:schemaRef ds:uri="http://www.w3.org/XML/1998/namespace"/>
    <ds:schemaRef ds:uri="http://purl.org/dc/elements/1.1/"/>
    <ds:schemaRef ds:uri="http://schemas.openxmlformats.org/package/2006/metadata/core-properties"/>
    <ds:schemaRef ds:uri="http://schemas.microsoft.com/office/infopath/2007/PartnerControls"/>
    <ds:schemaRef ds:uri="5e79ee33-b7aa-48c1-93a0-353a160840fd"/>
    <ds:schemaRef ds:uri="8fcf80a8-0328-437d-92dd-d6951f8755f5"/>
    <ds:schemaRef ds:uri="http://schemas.microsoft.com/office/2006/metadata/properties"/>
    <ds:schemaRef ds:uri="http://purl.org/dc/dcmitype/"/>
    <ds:schemaRef ds:uri="978a1c12-3ab7-471e-b134-e7ba3975f64f"/>
    <ds:schemaRef ds:uri="f35b5cbd-7b0b-4440-92cd-b510cab4ec67"/>
  </ds:schemaRefs>
</ds:datastoreItem>
</file>

<file path=customXml/itemProps3.xml><?xml version="1.0" encoding="utf-8"?>
<ds:datastoreItem xmlns:ds="http://schemas.openxmlformats.org/officeDocument/2006/customXml" ds:itemID="{8D3FA01A-C3D0-41CC-8993-C1085C72CD1A}">
  <ds:schemaRefs>
    <ds:schemaRef ds:uri="http://schemas.microsoft.com/sharepoint/v3/contenttype/forms"/>
  </ds:schemaRefs>
</ds:datastoreItem>
</file>

<file path=customXml/itemProps4.xml><?xml version="1.0" encoding="utf-8"?>
<ds:datastoreItem xmlns:ds="http://schemas.openxmlformats.org/officeDocument/2006/customXml" ds:itemID="{4BBEE8F4-D6B8-4257-A2FE-59125BC229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78a1c12-3ab7-471e-b134-e7ba3975f64f"/>
    <ds:schemaRef ds:uri="f35b5cbd-7b0b-4440-92cd-b510cab4ec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13</vt:i4>
      </vt:variant>
    </vt:vector>
  </HeadingPairs>
  <TitlesOfParts>
    <vt:vector size="34" baseType="lpstr">
      <vt:lpstr>Cover</vt:lpstr>
      <vt:lpstr>UserInterface</vt:lpstr>
      <vt:lpstr>Checks</vt:lpstr>
      <vt:lpstr>Post-FD ChangeLog</vt:lpstr>
      <vt:lpstr>LicenseeSelect</vt:lpstr>
      <vt:lpstr>VariantAllowances</vt:lpstr>
      <vt:lpstr>Transform</vt:lpstr>
      <vt:lpstr>Totex</vt:lpstr>
      <vt:lpstr>TIM</vt:lpstr>
      <vt:lpstr>Depreciation</vt:lpstr>
      <vt:lpstr>FuelPoor</vt:lpstr>
      <vt:lpstr>Return&amp;RAV</vt:lpstr>
      <vt:lpstr>TaxPools</vt:lpstr>
      <vt:lpstr>Finance</vt:lpstr>
      <vt:lpstr>Tax</vt:lpstr>
      <vt:lpstr>ReturnAdj</vt:lpstr>
      <vt:lpstr>Revenue</vt:lpstr>
      <vt:lpstr>AllowedRevenue</vt:lpstr>
      <vt:lpstr>Inflation</vt:lpstr>
      <vt:lpstr>Scotland</vt:lpstr>
      <vt:lpstr>Southern</vt:lpstr>
      <vt:lpstr>_2026</vt:lpstr>
      <vt:lpstr>BaseYear</vt:lpstr>
      <vt:lpstr>m_identity</vt:lpstr>
      <vt:lpstr>n_identity</vt:lpstr>
      <vt:lpstr>PCf</vt:lpstr>
      <vt:lpstr>price_label</vt:lpstr>
      <vt:lpstr>RIIO1</vt:lpstr>
      <vt:lpstr>RIIO2</vt:lpstr>
      <vt:lpstr>RIIO3</vt:lpstr>
      <vt:lpstr>Checks!RoundFac</vt:lpstr>
      <vt:lpstr>StartingBalance</vt:lpstr>
      <vt:lpstr>StartPreVest</vt:lpstr>
      <vt:lpstr>StartRIIO3</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Catriona Bogle</dc:creator>
  <cp:keywords/>
  <dc:description/>
  <cp:lastModifiedBy>Paul Whitton</cp:lastModifiedBy>
  <cp:revision/>
  <dcterms:created xsi:type="dcterms:W3CDTF">2024-12-04T11:55:37Z</dcterms:created>
  <dcterms:modified xsi:type="dcterms:W3CDTF">2026-01-30T09:23:55Z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dbdcee38-8725-41c9-af0e-ec63445400af</vt:lpwstr>
  </property>
  <property fmtid="{D5CDD505-2E9C-101B-9397-08002B2CF9AE}" pid="3" name="bjSaver">
    <vt:lpwstr>eisx7XtYQ36R9CxYW3Z5VPmSFfrGgaKo</vt:lpwstr>
  </property>
  <property fmtid="{D5CDD505-2E9C-101B-9397-08002B2CF9AE}" pid="4" name="bjClsUserRVM">
    <vt:lpwstr>[]</vt:lpwstr>
  </property>
  <property fmtid="{D5CDD505-2E9C-101B-9397-08002B2CF9AE}" pid="5" name="ContentTypeId">
    <vt:lpwstr>0x0101003D6E278D99252B4B99C7589ABDD35CB5</vt:lpwstr>
  </property>
  <property fmtid="{D5CDD505-2E9C-101B-9397-08002B2CF9AE}" pid="6" name="MediaServiceImageTags">
    <vt:lpwstr/>
  </property>
  <property fmtid="{D5CDD505-2E9C-101B-9397-08002B2CF9AE}" pid="7" name="MSIP_Label_7b67b050-2e12-4c1b-9cc6-12fcbcc0bbf7_Enabled">
    <vt:lpwstr>true</vt:lpwstr>
  </property>
  <property fmtid="{D5CDD505-2E9C-101B-9397-08002B2CF9AE}" pid="8" name="MSIP_Label_7b67b050-2e12-4c1b-9cc6-12fcbcc0bbf7_SetDate">
    <vt:lpwstr>2025-09-09T08:10:32Z</vt:lpwstr>
  </property>
  <property fmtid="{D5CDD505-2E9C-101B-9397-08002B2CF9AE}" pid="9" name="MSIP_Label_7b67b050-2e12-4c1b-9cc6-12fcbcc0bbf7_Method">
    <vt:lpwstr>Privileged</vt:lpwstr>
  </property>
  <property fmtid="{D5CDD505-2E9C-101B-9397-08002B2CF9AE}" pid="10" name="MSIP_Label_7b67b050-2e12-4c1b-9cc6-12fcbcc0bbf7_Name">
    <vt:lpwstr>All</vt:lpwstr>
  </property>
  <property fmtid="{D5CDD505-2E9C-101B-9397-08002B2CF9AE}" pid="11" name="MSIP_Label_7b67b050-2e12-4c1b-9cc6-12fcbcc0bbf7_SiteId">
    <vt:lpwstr>185562ad-39bc-4840-8e40-be6216340c52</vt:lpwstr>
  </property>
  <property fmtid="{D5CDD505-2E9C-101B-9397-08002B2CF9AE}" pid="12" name="MSIP_Label_7b67b050-2e12-4c1b-9cc6-12fcbcc0bbf7_ActionId">
    <vt:lpwstr>8ba72c68-b9e8-4bd5-a198-cca787a37aa1</vt:lpwstr>
  </property>
  <property fmtid="{D5CDD505-2E9C-101B-9397-08002B2CF9AE}" pid="13" name="MSIP_Label_7b67b050-2e12-4c1b-9cc6-12fcbcc0bbf7_ContentBits">
    <vt:lpwstr>2</vt:lpwstr>
  </property>
  <property fmtid="{D5CDD505-2E9C-101B-9397-08002B2CF9AE}" pid="14" name="MSIP_Label_7b67b050-2e12-4c1b-9cc6-12fcbcc0bbf7_Tag">
    <vt:lpwstr>10, 0, 1, 1</vt:lpwstr>
  </property>
  <property fmtid="{D5CDD505-2E9C-101B-9397-08002B2CF9AE}" pid="15"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16" name="bjDocumentLabelXML-0">
    <vt:lpwstr>ames.com/2008/01/sie/internal/label"&gt;&lt;element uid="id_classification_nonbusiness" value="" /&gt;&lt;/sisl&gt;</vt:lpwstr>
  </property>
  <property fmtid="{D5CDD505-2E9C-101B-9397-08002B2CF9AE}" pid="17" name="bjDocumentSecurityLabel">
    <vt:lpwstr>OFFICIAL</vt:lpwstr>
  </property>
  <property fmtid="{D5CDD505-2E9C-101B-9397-08002B2CF9AE}" pid="18" name="Comparison_Cover1RowInsertions49">
    <vt:lpwstr/>
  </property>
  <property fmtid="{D5CDD505-2E9C-101B-9397-08002B2CF9AE}" pid="19" name="Comparison_Cover1ColumnInsertions50">
    <vt:lpwstr/>
  </property>
  <property fmtid="{D5CDD505-2E9C-101B-9397-08002B2CF9AE}" pid="20" name="Comparison_Checks2RowInsertions51">
    <vt:lpwstr/>
  </property>
  <property fmtid="{D5CDD505-2E9C-101B-9397-08002B2CF9AE}" pid="21" name="Comparison_Checks2ColumnInsertions52">
    <vt:lpwstr/>
  </property>
  <property fmtid="{D5CDD505-2E9C-101B-9397-08002B2CF9AE}" pid="22" name="Comparison_LicenseeSelect3RowInsertions53">
    <vt:lpwstr/>
  </property>
  <property fmtid="{D5CDD505-2E9C-101B-9397-08002B2CF9AE}" pid="23" name="Comparison_LicenseeSelect3ColumnInsertions54">
    <vt:lpwstr/>
  </property>
  <property fmtid="{D5CDD505-2E9C-101B-9397-08002B2CF9AE}" pid="24" name="Comparison_VariantAllowances4RowInsertions55">
    <vt:lpwstr/>
  </property>
  <property fmtid="{D5CDD505-2E9C-101B-9397-08002B2CF9AE}" pid="25" name="Comparison_VariantAllowances4ColumnInsertions56">
    <vt:lpwstr/>
  </property>
  <property fmtid="{D5CDD505-2E9C-101B-9397-08002B2CF9AE}" pid="26" name="Comparison_Transform5RowInsertions57">
    <vt:lpwstr/>
  </property>
  <property fmtid="{D5CDD505-2E9C-101B-9397-08002B2CF9AE}" pid="27" name="Comparison_Transform5ColumnInsertions58">
    <vt:lpwstr/>
  </property>
  <property fmtid="{D5CDD505-2E9C-101B-9397-08002B2CF9AE}" pid="28" name="Comparison_Totex6RowInsertions59">
    <vt:lpwstr/>
  </property>
  <property fmtid="{D5CDD505-2E9C-101B-9397-08002B2CF9AE}" pid="29" name="Comparison_Totex6ColumnInsertions60">
    <vt:lpwstr/>
  </property>
  <property fmtid="{D5CDD505-2E9C-101B-9397-08002B2CF9AE}" pid="30" name="Comparison_TIM7RowInsertions61">
    <vt:lpwstr/>
  </property>
  <property fmtid="{D5CDD505-2E9C-101B-9397-08002B2CF9AE}" pid="31" name="Comparison_TIM7ColumnInsertions62">
    <vt:lpwstr/>
  </property>
  <property fmtid="{D5CDD505-2E9C-101B-9397-08002B2CF9AE}" pid="32" name="Comparison_FuelPoor8RowInsertions63">
    <vt:lpwstr/>
  </property>
  <property fmtid="{D5CDD505-2E9C-101B-9397-08002B2CF9AE}" pid="33" name="Comparison_FuelPoor8ColumnInsertions64">
    <vt:lpwstr/>
  </property>
  <property fmtid="{D5CDD505-2E9C-101B-9397-08002B2CF9AE}" pid="34" name="Comparison_Depreciation9RowInsertions65">
    <vt:lpwstr/>
  </property>
  <property fmtid="{D5CDD505-2E9C-101B-9397-08002B2CF9AE}" pid="35" name="Comparison_Depreciation9ColumnInsertions66">
    <vt:lpwstr/>
  </property>
  <property fmtid="{D5CDD505-2E9C-101B-9397-08002B2CF9AE}" pid="36" name="Comparison_Return&amp;RAV10RowInsertions67">
    <vt:lpwstr/>
  </property>
  <property fmtid="{D5CDD505-2E9C-101B-9397-08002B2CF9AE}" pid="37" name="Comparison_Return&amp;RAV10ColumnInsertions68">
    <vt:lpwstr/>
  </property>
  <property fmtid="{D5CDD505-2E9C-101B-9397-08002B2CF9AE}" pid="38" name="Comparison_TaxPools11RowInsertions69">
    <vt:lpwstr/>
  </property>
  <property fmtid="{D5CDD505-2E9C-101B-9397-08002B2CF9AE}" pid="39" name="Comparison_TaxPools11ColumnInsertions70">
    <vt:lpwstr/>
  </property>
  <property fmtid="{D5CDD505-2E9C-101B-9397-08002B2CF9AE}" pid="40" name="Comparison_Finance12RowInsertions71">
    <vt:lpwstr/>
  </property>
  <property fmtid="{D5CDD505-2E9C-101B-9397-08002B2CF9AE}" pid="41" name="Comparison_Finance12ColumnInsertions72">
    <vt:lpwstr/>
  </property>
  <property fmtid="{D5CDD505-2E9C-101B-9397-08002B2CF9AE}" pid="42" name="Comparison_Tax13RowInsertions73">
    <vt:lpwstr/>
  </property>
  <property fmtid="{D5CDD505-2E9C-101B-9397-08002B2CF9AE}" pid="43" name="Comparison_Tax13ColumnInsertions74">
    <vt:lpwstr/>
  </property>
  <property fmtid="{D5CDD505-2E9C-101B-9397-08002B2CF9AE}" pid="44" name="Comparison_Revenue14RowInsertions75">
    <vt:lpwstr/>
  </property>
  <property fmtid="{D5CDD505-2E9C-101B-9397-08002B2CF9AE}" pid="45" name="Comparison_Revenue14ColumnInsertions76">
    <vt:lpwstr/>
  </property>
  <property fmtid="{D5CDD505-2E9C-101B-9397-08002B2CF9AE}" pid="46" name="Comparison_AllowedRevenue15RowInsertions77">
    <vt:lpwstr/>
  </property>
  <property fmtid="{D5CDD505-2E9C-101B-9397-08002B2CF9AE}" pid="47" name="Comparison_AllowedRevenue15ColumnInsertions78">
    <vt:lpwstr/>
  </property>
  <property fmtid="{D5CDD505-2E9C-101B-9397-08002B2CF9AE}" pid="48" name="Comparison_Inflation16RowInsertions79">
    <vt:lpwstr/>
  </property>
  <property fmtid="{D5CDD505-2E9C-101B-9397-08002B2CF9AE}" pid="49" name="Comparison_Inflation16ColumnInsertions80">
    <vt:lpwstr/>
  </property>
  <property fmtid="{D5CDD505-2E9C-101B-9397-08002B2CF9AE}" pid="50" name="Comparison_East17RowInsertions81">
    <vt:lpwstr/>
  </property>
  <property fmtid="{D5CDD505-2E9C-101B-9397-08002B2CF9AE}" pid="51" name="Comparison_East17ColumnInsertions82">
    <vt:lpwstr/>
  </property>
  <property fmtid="{D5CDD505-2E9C-101B-9397-08002B2CF9AE}" pid="52" name="Comparison_London18RowInsertions83">
    <vt:lpwstr/>
  </property>
  <property fmtid="{D5CDD505-2E9C-101B-9397-08002B2CF9AE}" pid="53" name="Comparison_London18ColumnInsertions84">
    <vt:lpwstr/>
  </property>
  <property fmtid="{D5CDD505-2E9C-101B-9397-08002B2CF9AE}" pid="54" name="Comparison_North West19RowInsertions85">
    <vt:lpwstr/>
  </property>
  <property fmtid="{D5CDD505-2E9C-101B-9397-08002B2CF9AE}" pid="55" name="Comparison_North West19ColumnInsertions86">
    <vt:lpwstr/>
  </property>
  <property fmtid="{D5CDD505-2E9C-101B-9397-08002B2CF9AE}" pid="56" name="Comparison_West Midlands20RowInsertions87">
    <vt:lpwstr/>
  </property>
  <property fmtid="{D5CDD505-2E9C-101B-9397-08002B2CF9AE}" pid="57" name="Comparison_West Midlands20ColumnInsertions88">
    <vt:lpwstr/>
  </property>
  <property fmtid="{D5CDD505-2E9C-101B-9397-08002B2CF9AE}" pid="58" name="Comparison_Northern21RowInsertions89">
    <vt:lpwstr/>
  </property>
  <property fmtid="{D5CDD505-2E9C-101B-9397-08002B2CF9AE}" pid="59" name="Comparison_Northern21ColumnInsertions90">
    <vt:lpwstr/>
  </property>
  <property fmtid="{D5CDD505-2E9C-101B-9397-08002B2CF9AE}" pid="60" name="Comparison_Scotland22RowInsertions91">
    <vt:lpwstr/>
  </property>
  <property fmtid="{D5CDD505-2E9C-101B-9397-08002B2CF9AE}" pid="61" name="Comparison_Scotland22ColumnInsertions92">
    <vt:lpwstr/>
  </property>
  <property fmtid="{D5CDD505-2E9C-101B-9397-08002B2CF9AE}" pid="62" name="Comparison_Southern23RowInsertions93">
    <vt:lpwstr/>
  </property>
  <property fmtid="{D5CDD505-2E9C-101B-9397-08002B2CF9AE}" pid="63" name="Comparison_Southern23ColumnInsertions94">
    <vt:lpwstr/>
  </property>
  <property fmtid="{D5CDD505-2E9C-101B-9397-08002B2CF9AE}" pid="64" name="Comparison_Wales &amp; West24RowInsertions95">
    <vt:lpwstr/>
  </property>
  <property fmtid="{D5CDD505-2E9C-101B-9397-08002B2CF9AE}" pid="65" name="Comparison_Wales &amp; West24ColumnInsertions96">
    <vt:lpwstr/>
  </property>
  <property fmtid="{D5CDD505-2E9C-101B-9397-08002B2CF9AE}" pid="66" name="MSIP_Label_2b73dd0b-afe1-4a46-943f-1bdb914b8a49_Enabled">
    <vt:lpwstr>true</vt:lpwstr>
  </property>
  <property fmtid="{D5CDD505-2E9C-101B-9397-08002B2CF9AE}" pid="67" name="MSIP_Label_2b73dd0b-afe1-4a46-943f-1bdb914b8a49_SetDate">
    <vt:lpwstr>2025-12-31T10:43:12Z</vt:lpwstr>
  </property>
  <property fmtid="{D5CDD505-2E9C-101B-9397-08002B2CF9AE}" pid="68" name="MSIP_Label_2b73dd0b-afe1-4a46-943f-1bdb914b8a49_Method">
    <vt:lpwstr>Standard</vt:lpwstr>
  </property>
  <property fmtid="{D5CDD505-2E9C-101B-9397-08002B2CF9AE}" pid="69" name="MSIP_Label_2b73dd0b-afe1-4a46-943f-1bdb914b8a49_Name">
    <vt:lpwstr>Internal</vt:lpwstr>
  </property>
  <property fmtid="{D5CDD505-2E9C-101B-9397-08002B2CF9AE}" pid="70" name="MSIP_Label_2b73dd0b-afe1-4a46-943f-1bdb914b8a49_SiteId">
    <vt:lpwstr>b9563cbc-9874-41ab-b448-7e0f61aff3eb</vt:lpwstr>
  </property>
  <property fmtid="{D5CDD505-2E9C-101B-9397-08002B2CF9AE}" pid="71" name="MSIP_Label_2b73dd0b-afe1-4a46-943f-1bdb914b8a49_ActionId">
    <vt:lpwstr>77aa699a-26f0-4e71-93d8-f5e789da921b</vt:lpwstr>
  </property>
  <property fmtid="{D5CDD505-2E9C-101B-9397-08002B2CF9AE}" pid="72" name="MSIP_Label_2b73dd0b-afe1-4a46-943f-1bdb914b8a49_ContentBits">
    <vt:lpwstr>1</vt:lpwstr>
  </property>
  <property fmtid="{D5CDD505-2E9C-101B-9397-08002B2CF9AE}" pid="73" name="MSIP_Label_2b73dd0b-afe1-4a46-943f-1bdb914b8a49_Tag">
    <vt:lpwstr>10, 3, 0, 1</vt:lpwstr>
  </property>
</Properties>
</file>